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5\ABC\"/>
    </mc:Choice>
  </mc:AlternateContent>
  <bookViews>
    <workbookView xWindow="-15" yWindow="12105" windowWidth="7560" windowHeight="1200" firstSheet="9" activeTab="9"/>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H T11" sheetId="35" state="hidden" r:id="rId9"/>
    <sheet name="CN" sheetId="6" r:id="rId10"/>
    <sheet name="NH" sheetId="2" state="hidden" r:id="rId11"/>
    <sheet name="CN mới" sheetId="9" state="hidden" r:id="rId12"/>
    <sheet name="THPT mới" sheetId="10" state="hidden" r:id="rId13"/>
    <sheet name="NH mới" sheetId="11" state="hidden" r:id="rId14"/>
    <sheet name="111" sheetId="22" r:id="rId15"/>
    <sheet name="T5" sheetId="41"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4" hidden="1">'111'!$A$12:$BJ$12</definedName>
    <definedName name="_xlnm._FilterDatabase" localSheetId="9" hidden="1">CN!$A$12:$Z$272</definedName>
    <definedName name="_xlnm._FilterDatabase" localSheetId="15" hidden="1">'T5'!$A$10:$R$269</definedName>
    <definedName name="_xlnm._FilterDatabase" localSheetId="2" hidden="1">TL!$A$11:$BK$200</definedName>
    <definedName name="_xlnm._FilterDatabase" localSheetId="1" hidden="1">TH!$A$19:$AR$354</definedName>
    <definedName name="_xlnm._FilterDatabase" localSheetId="5" hidden="1">'TH T10'!$A$12:$AI$342</definedName>
    <definedName name="_xlnm._FilterDatabase" localSheetId="8"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Print_Area" localSheetId="9">CN!$A$1:$R$285</definedName>
    <definedName name="_xlnm.Print_Area" localSheetId="10">NH!$A$1:$Y$27</definedName>
    <definedName name="_xlnm.Print_Area" localSheetId="2">TL!$A$1:$Z$213</definedName>
    <definedName name="_xlnm.Print_Area" localSheetId="1">TH!$A$1:$AD$368</definedName>
    <definedName name="_xlnm.Print_Area" localSheetId="5">'TH T10'!$A$1:$U$356</definedName>
    <definedName name="_xlnm.Print_Area" localSheetId="8">'TH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Titles" localSheetId="14">'111'!$10:$12</definedName>
    <definedName name="_xlnm.Print_Titles" localSheetId="9">CN!$10:$12</definedName>
    <definedName name="_xlnm.Print_Titles" localSheetId="15">'T5'!$8:$10</definedName>
    <definedName name="_xlnm.Print_Titles" localSheetId="2">TL!$10:$11</definedName>
    <definedName name="_xlnm.Print_Titles" localSheetId="1">TH!$18:$19</definedName>
    <definedName name="_xlnm.Print_Titles" localSheetId="5">'TH T10'!$10:$12</definedName>
    <definedName name="_xlnm.Print_Titles" localSheetId="8">'TH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s>
  <calcPr calcId="162913"/>
</workbook>
</file>

<file path=xl/calcChain.xml><?xml version="1.0" encoding="utf-8"?>
<calcChain xmlns="http://schemas.openxmlformats.org/spreadsheetml/2006/main">
  <c r="V76" i="22" l="1"/>
  <c r="I279" i="41" l="1"/>
  <c r="I283" i="41"/>
  <c r="I299" i="41"/>
  <c r="I307" i="41"/>
  <c r="I331" i="41"/>
  <c r="H333" i="41"/>
  <c r="G270" i="41"/>
  <c r="I270" i="41" s="1"/>
  <c r="G271" i="41"/>
  <c r="I271" i="41" s="1"/>
  <c r="G272" i="41"/>
  <c r="I272" i="41" s="1"/>
  <c r="G273" i="41"/>
  <c r="I273" i="41" s="1"/>
  <c r="G274" i="41"/>
  <c r="I274" i="41" s="1"/>
  <c r="G275" i="41"/>
  <c r="I275" i="41" s="1"/>
  <c r="G276" i="41"/>
  <c r="I276" i="41" s="1"/>
  <c r="G277" i="41"/>
  <c r="I277" i="41" s="1"/>
  <c r="G278" i="41"/>
  <c r="I278" i="41" s="1"/>
  <c r="G279" i="41"/>
  <c r="G280" i="41"/>
  <c r="I280" i="41" s="1"/>
  <c r="G281" i="41"/>
  <c r="I281" i="41" s="1"/>
  <c r="G282" i="41"/>
  <c r="I282" i="41" s="1"/>
  <c r="G283" i="41"/>
  <c r="G284" i="41"/>
  <c r="I284" i="41" s="1"/>
  <c r="G285" i="41"/>
  <c r="I285" i="41" s="1"/>
  <c r="G286" i="41"/>
  <c r="I286" i="41" s="1"/>
  <c r="G287" i="41"/>
  <c r="I287" i="41" s="1"/>
  <c r="G288" i="41"/>
  <c r="I288" i="41" s="1"/>
  <c r="G289" i="41"/>
  <c r="I289" i="41" s="1"/>
  <c r="G290" i="41"/>
  <c r="I290" i="41" s="1"/>
  <c r="G291" i="41"/>
  <c r="I291" i="41" s="1"/>
  <c r="G292" i="41"/>
  <c r="I292" i="41" s="1"/>
  <c r="G293" i="41"/>
  <c r="I293" i="41" s="1"/>
  <c r="G294" i="41"/>
  <c r="I294" i="41" s="1"/>
  <c r="G295" i="41"/>
  <c r="I295" i="41" s="1"/>
  <c r="G296" i="41"/>
  <c r="I296" i="41" s="1"/>
  <c r="G297" i="41"/>
  <c r="I297" i="41" s="1"/>
  <c r="G298" i="41"/>
  <c r="I298" i="41" s="1"/>
  <c r="G299" i="41"/>
  <c r="G300" i="41"/>
  <c r="I300" i="41" s="1"/>
  <c r="G301" i="41"/>
  <c r="I301" i="41" s="1"/>
  <c r="G302" i="41"/>
  <c r="I302" i="41" s="1"/>
  <c r="G303" i="41"/>
  <c r="I303" i="41" s="1"/>
  <c r="G304" i="41"/>
  <c r="I304" i="41" s="1"/>
  <c r="G305" i="41"/>
  <c r="I305" i="41" s="1"/>
  <c r="G306" i="41"/>
  <c r="I306" i="41" s="1"/>
  <c r="G307" i="41"/>
  <c r="G308" i="41"/>
  <c r="I308" i="41" s="1"/>
  <c r="G309" i="41"/>
  <c r="I309" i="41" s="1"/>
  <c r="G310" i="41"/>
  <c r="I310" i="41" s="1"/>
  <c r="G311" i="41"/>
  <c r="I311" i="41" s="1"/>
  <c r="G312" i="41"/>
  <c r="I312" i="41" s="1"/>
  <c r="G313" i="41"/>
  <c r="I313" i="41" s="1"/>
  <c r="G314" i="41"/>
  <c r="I314" i="41" s="1"/>
  <c r="G315" i="41"/>
  <c r="I315" i="41" s="1"/>
  <c r="G316" i="41"/>
  <c r="I316" i="41" s="1"/>
  <c r="G317" i="41"/>
  <c r="I317" i="41" s="1"/>
  <c r="G318" i="41"/>
  <c r="I318" i="41" s="1"/>
  <c r="G319" i="41"/>
  <c r="I319" i="41" s="1"/>
  <c r="G320" i="41"/>
  <c r="I320" i="41" s="1"/>
  <c r="G321" i="41"/>
  <c r="I321" i="41" s="1"/>
  <c r="G322" i="41"/>
  <c r="I322" i="41" s="1"/>
  <c r="G323" i="41"/>
  <c r="I323" i="41" s="1"/>
  <c r="G324" i="41"/>
  <c r="I324" i="41" s="1"/>
  <c r="G325" i="41"/>
  <c r="I325" i="41" s="1"/>
  <c r="G326" i="41"/>
  <c r="I326" i="41" s="1"/>
  <c r="G327" i="41"/>
  <c r="I327" i="41" s="1"/>
  <c r="G328" i="41"/>
  <c r="I328" i="41" s="1"/>
  <c r="G329" i="41"/>
  <c r="I329" i="41" s="1"/>
  <c r="G330" i="41"/>
  <c r="I330" i="41" s="1"/>
  <c r="G331" i="41"/>
  <c r="G332" i="41"/>
  <c r="I332" i="41" s="1"/>
  <c r="E323" i="41"/>
  <c r="E328" i="41"/>
  <c r="E329" i="41"/>
  <c r="K269" i="41"/>
  <c r="K268" i="41"/>
  <c r="K267" i="41"/>
  <c r="K266" i="41"/>
  <c r="K265" i="41"/>
  <c r="K264" i="41"/>
  <c r="K263" i="41"/>
  <c r="K262" i="41"/>
  <c r="K261" i="41"/>
  <c r="K260" i="41"/>
  <c r="K259" i="41"/>
  <c r="K258" i="41"/>
  <c r="K257" i="41"/>
  <c r="K256" i="41"/>
  <c r="K255" i="41"/>
  <c r="K254" i="41"/>
  <c r="K253" i="41"/>
  <c r="K252" i="41"/>
  <c r="K251" i="41"/>
  <c r="K250" i="41"/>
  <c r="K249" i="41"/>
  <c r="K248" i="41"/>
  <c r="K247" i="41"/>
  <c r="K246" i="41"/>
  <c r="K245" i="41"/>
  <c r="K244" i="41"/>
  <c r="K243" i="41"/>
  <c r="K242" i="41"/>
  <c r="K241" i="41"/>
  <c r="K240" i="41"/>
  <c r="K239" i="41"/>
  <c r="K238" i="41"/>
  <c r="K236" i="41"/>
  <c r="K235" i="41"/>
  <c r="K234" i="41"/>
  <c r="K233" i="41"/>
  <c r="K232" i="41"/>
  <c r="K231" i="41"/>
  <c r="K230" i="41"/>
  <c r="K229" i="41"/>
  <c r="K228" i="41"/>
  <c r="K227" i="41"/>
  <c r="K226" i="41"/>
  <c r="K225" i="41"/>
  <c r="K224" i="41"/>
  <c r="K223" i="41"/>
  <c r="K222" i="41"/>
  <c r="K221" i="41"/>
  <c r="K220" i="41"/>
  <c r="K219" i="41"/>
  <c r="K218" i="41"/>
  <c r="K217" i="41"/>
  <c r="K216" i="41"/>
  <c r="K215" i="41"/>
  <c r="K214" i="41"/>
  <c r="K213" i="41"/>
  <c r="K212" i="41"/>
  <c r="K211" i="41"/>
  <c r="K210" i="41"/>
  <c r="K209" i="41"/>
  <c r="K208" i="41"/>
  <c r="K207" i="41"/>
  <c r="K206" i="41"/>
  <c r="K205" i="41"/>
  <c r="K204" i="41"/>
  <c r="K203" i="41"/>
  <c r="K202" i="41"/>
  <c r="K201" i="41"/>
  <c r="K200" i="41"/>
  <c r="K199" i="41"/>
  <c r="K198" i="41"/>
  <c r="K197" i="41"/>
  <c r="K196" i="41"/>
  <c r="K195" i="41"/>
  <c r="K194" i="41"/>
  <c r="K193" i="41"/>
  <c r="K192" i="41"/>
  <c r="K191" i="41"/>
  <c r="K190" i="41"/>
  <c r="K189" i="41"/>
  <c r="K188" i="41"/>
  <c r="K187" i="41"/>
  <c r="K186" i="41"/>
  <c r="K185" i="41"/>
  <c r="K184" i="41"/>
  <c r="K183" i="41"/>
  <c r="K182" i="41"/>
  <c r="K181" i="41"/>
  <c r="K180" i="41"/>
  <c r="K179" i="41"/>
  <c r="K178" i="41"/>
  <c r="K177" i="41"/>
  <c r="K176" i="41"/>
  <c r="K175" i="41"/>
  <c r="K174" i="41"/>
  <c r="K173" i="41"/>
  <c r="K172" i="41"/>
  <c r="K171" i="41"/>
  <c r="K170" i="41"/>
  <c r="K169" i="41"/>
  <c r="K168" i="41"/>
  <c r="K167" i="41"/>
  <c r="K165" i="41"/>
  <c r="K164" i="41"/>
  <c r="K163" i="41"/>
  <c r="K162" i="41"/>
  <c r="K161" i="41"/>
  <c r="K160" i="41"/>
  <c r="K159" i="41"/>
  <c r="K158" i="41"/>
  <c r="K157" i="41"/>
  <c r="K156" i="41"/>
  <c r="K155" i="41"/>
  <c r="K154" i="41"/>
  <c r="E154" i="41"/>
  <c r="K153" i="41"/>
  <c r="K152" i="41"/>
  <c r="K151" i="41"/>
  <c r="K150" i="41"/>
  <c r="K149" i="41"/>
  <c r="K148" i="41"/>
  <c r="K147" i="41"/>
  <c r="K146" i="41"/>
  <c r="K145" i="41"/>
  <c r="K144" i="41"/>
  <c r="E144" i="41"/>
  <c r="K143" i="41"/>
  <c r="K142" i="41"/>
  <c r="K141" i="41"/>
  <c r="K140" i="41"/>
  <c r="K139" i="41"/>
  <c r="K138" i="41"/>
  <c r="K137" i="41"/>
  <c r="K136" i="41"/>
  <c r="K135" i="41"/>
  <c r="K134" i="41"/>
  <c r="K133" i="41"/>
  <c r="K132" i="41"/>
  <c r="K131" i="41"/>
  <c r="K130" i="41"/>
  <c r="K129" i="41"/>
  <c r="K128" i="41"/>
  <c r="K127" i="41"/>
  <c r="K126" i="41"/>
  <c r="K125" i="41"/>
  <c r="K124" i="41"/>
  <c r="K123" i="41"/>
  <c r="K122" i="41"/>
  <c r="K121" i="41"/>
  <c r="K120" i="41"/>
  <c r="K119" i="41"/>
  <c r="K118" i="41"/>
  <c r="K117" i="41"/>
  <c r="K116" i="41"/>
  <c r="K115" i="41"/>
  <c r="K114" i="41"/>
  <c r="K113" i="41"/>
  <c r="K112" i="41"/>
  <c r="K111" i="41"/>
  <c r="K110" i="41"/>
  <c r="K109" i="41"/>
  <c r="K108" i="41"/>
  <c r="K107" i="41"/>
  <c r="K106" i="41"/>
  <c r="K105" i="41"/>
  <c r="K104" i="41"/>
  <c r="K103" i="41"/>
  <c r="K102" i="41"/>
  <c r="K101" i="41"/>
  <c r="K100" i="41"/>
  <c r="K99" i="41"/>
  <c r="K98" i="41"/>
  <c r="K97" i="41"/>
  <c r="K96" i="41"/>
  <c r="K95" i="41"/>
  <c r="K94" i="41"/>
  <c r="K93" i="41"/>
  <c r="K92" i="41"/>
  <c r="K91" i="41"/>
  <c r="K90" i="41"/>
  <c r="K89" i="41"/>
  <c r="K88" i="41"/>
  <c r="K87" i="41"/>
  <c r="K86" i="41"/>
  <c r="K85" i="41"/>
  <c r="K84" i="41"/>
  <c r="K83" i="41"/>
  <c r="K82" i="41"/>
  <c r="K81" i="41"/>
  <c r="E81" i="41"/>
  <c r="K80" i="41"/>
  <c r="E80" i="41"/>
  <c r="K79" i="41"/>
  <c r="K78" i="41"/>
  <c r="K77" i="41"/>
  <c r="K76" i="41"/>
  <c r="K75" i="41"/>
  <c r="K74" i="41"/>
  <c r="K73" i="41"/>
  <c r="K72" i="41"/>
  <c r="K71" i="41"/>
  <c r="K70" i="41"/>
  <c r="K69" i="41"/>
  <c r="K68" i="41"/>
  <c r="K67" i="41"/>
  <c r="K66" i="41"/>
  <c r="K65" i="41"/>
  <c r="K64" i="41"/>
  <c r="K63" i="41"/>
  <c r="K62" i="41"/>
  <c r="K61" i="41"/>
  <c r="K60" i="41"/>
  <c r="K59" i="41"/>
  <c r="K58" i="41"/>
  <c r="K57" i="41"/>
  <c r="K56" i="41"/>
  <c r="K55" i="41"/>
  <c r="K54" i="41"/>
  <c r="K53" i="41"/>
  <c r="K52" i="41"/>
  <c r="K51" i="41"/>
  <c r="K50" i="41"/>
  <c r="K49" i="41"/>
  <c r="K48" i="41"/>
  <c r="K47" i="41"/>
  <c r="K46" i="41"/>
  <c r="K45" i="41"/>
  <c r="K44" i="41"/>
  <c r="K43" i="41"/>
  <c r="K42" i="41"/>
  <c r="K41" i="41"/>
  <c r="K40" i="41"/>
  <c r="K39" i="41"/>
  <c r="K38" i="41"/>
  <c r="K37" i="41"/>
  <c r="K36" i="41"/>
  <c r="K35" i="41"/>
  <c r="K34" i="41"/>
  <c r="E34" i="41"/>
  <c r="K33" i="41"/>
  <c r="E33" i="41"/>
  <c r="K32" i="41"/>
  <c r="E32" i="41"/>
  <c r="K31" i="41"/>
  <c r="E31" i="41"/>
  <c r="K30" i="41"/>
  <c r="K29" i="41"/>
  <c r="K28" i="41"/>
  <c r="K27" i="41"/>
  <c r="K26" i="41"/>
  <c r="K25" i="41"/>
  <c r="K24" i="41"/>
  <c r="K23" i="41"/>
  <c r="K22" i="41"/>
  <c r="K21" i="41"/>
  <c r="K20" i="41"/>
  <c r="K19" i="41"/>
  <c r="K18" i="41"/>
  <c r="K17" i="41"/>
  <c r="K16" i="41"/>
  <c r="K15" i="41"/>
  <c r="K14" i="41"/>
  <c r="K13" i="41"/>
  <c r="K12" i="41"/>
  <c r="K11" i="41"/>
  <c r="A11" i="41"/>
  <c r="X67" i="22"/>
  <c r="G169" i="41" l="1"/>
  <c r="I169" i="41" s="1"/>
  <c r="G237" i="41"/>
  <c r="I237" i="41" s="1"/>
  <c r="G242" i="41"/>
  <c r="I242" i="41" s="1"/>
  <c r="G254" i="41"/>
  <c r="I254" i="41" s="1"/>
  <c r="G156" i="41"/>
  <c r="I156" i="41" s="1"/>
  <c r="G15" i="41"/>
  <c r="I15" i="41" s="1"/>
  <c r="G17" i="41"/>
  <c r="I17" i="41" s="1"/>
  <c r="G19" i="41"/>
  <c r="I19" i="41" s="1"/>
  <c r="G21" i="41"/>
  <c r="I21" i="41" s="1"/>
  <c r="G12" i="41"/>
  <c r="I12" i="41" s="1"/>
  <c r="G67" i="41"/>
  <c r="I67" i="41" s="1"/>
  <c r="G69" i="41"/>
  <c r="I69" i="41" s="1"/>
  <c r="G85" i="41"/>
  <c r="I85" i="41" s="1"/>
  <c r="G106" i="41"/>
  <c r="I106" i="41" s="1"/>
  <c r="G107" i="41"/>
  <c r="I107" i="41" s="1"/>
  <c r="G135" i="41"/>
  <c r="I135" i="41" s="1"/>
  <c r="G136" i="41"/>
  <c r="I136" i="41" s="1"/>
  <c r="G138" i="41"/>
  <c r="I138" i="41" s="1"/>
  <c r="G141" i="41"/>
  <c r="I141" i="41" s="1"/>
  <c r="G151" i="41"/>
  <c r="I151" i="41" s="1"/>
  <c r="G50" i="41"/>
  <c r="I50" i="41" s="1"/>
  <c r="G51" i="41"/>
  <c r="I51" i="41" s="1"/>
  <c r="G52" i="41"/>
  <c r="I52" i="41" s="1"/>
  <c r="G55" i="41"/>
  <c r="I55" i="41" s="1"/>
  <c r="G58" i="41"/>
  <c r="I58" i="41" s="1"/>
  <c r="G59" i="41"/>
  <c r="I59" i="41" s="1"/>
  <c r="G81" i="41"/>
  <c r="I81" i="41" s="1"/>
  <c r="G158" i="41"/>
  <c r="I158" i="41" s="1"/>
  <c r="G210" i="41"/>
  <c r="I210" i="41" s="1"/>
  <c r="G222" i="41"/>
  <c r="I222" i="41" s="1"/>
  <c r="G245" i="41"/>
  <c r="I245" i="41" s="1"/>
  <c r="G246" i="41"/>
  <c r="I246" i="41" s="1"/>
  <c r="G68" i="41"/>
  <c r="I68" i="41" s="1"/>
  <c r="G118" i="41"/>
  <c r="I118" i="41" s="1"/>
  <c r="G73" i="41"/>
  <c r="I73" i="41" s="1"/>
  <c r="G74" i="41"/>
  <c r="I74" i="41" s="1"/>
  <c r="G98" i="41"/>
  <c r="I98" i="41" s="1"/>
  <c r="G64" i="41"/>
  <c r="I64" i="41" s="1"/>
  <c r="G77" i="41"/>
  <c r="I77" i="41" s="1"/>
  <c r="G127" i="41"/>
  <c r="I127" i="41" s="1"/>
  <c r="G133" i="41"/>
  <c r="I133" i="41" s="1"/>
  <c r="G143" i="41"/>
  <c r="I143" i="41" s="1"/>
  <c r="G171" i="41"/>
  <c r="I171" i="41" s="1"/>
  <c r="G183" i="41"/>
  <c r="I183" i="41" s="1"/>
  <c r="G195" i="41"/>
  <c r="I195" i="41" s="1"/>
  <c r="G196" i="41"/>
  <c r="I196" i="41" s="1"/>
  <c r="G199" i="41"/>
  <c r="I199" i="41" s="1"/>
  <c r="G200" i="41"/>
  <c r="I200" i="41" s="1"/>
  <c r="G203" i="41"/>
  <c r="I203" i="41" s="1"/>
  <c r="G204" i="41"/>
  <c r="I204" i="41" s="1"/>
  <c r="G207" i="41"/>
  <c r="I207" i="41" s="1"/>
  <c r="G223" i="41"/>
  <c r="I223" i="41" s="1"/>
  <c r="G227" i="41"/>
  <c r="I227" i="41" s="1"/>
  <c r="G231" i="41"/>
  <c r="I231" i="41" s="1"/>
  <c r="G235" i="41"/>
  <c r="I235" i="41" s="1"/>
  <c r="G13" i="41"/>
  <c r="I13" i="41" s="1"/>
  <c r="G36" i="41"/>
  <c r="I36" i="41" s="1"/>
  <c r="G37" i="41"/>
  <c r="I37" i="41" s="1"/>
  <c r="G38" i="41"/>
  <c r="I38" i="41" s="1"/>
  <c r="G39" i="41"/>
  <c r="I39" i="41" s="1"/>
  <c r="G54" i="41"/>
  <c r="I54" i="41" s="1"/>
  <c r="G76" i="41"/>
  <c r="I76" i="41" s="1"/>
  <c r="G101" i="41"/>
  <c r="I101" i="41" s="1"/>
  <c r="G103" i="41"/>
  <c r="I103" i="41" s="1"/>
  <c r="G108" i="41"/>
  <c r="I108" i="41" s="1"/>
  <c r="G113" i="41"/>
  <c r="I113" i="41" s="1"/>
  <c r="G125" i="41"/>
  <c r="I125" i="41" s="1"/>
  <c r="G157" i="41"/>
  <c r="I157" i="41" s="1"/>
  <c r="G66" i="41"/>
  <c r="I66" i="41" s="1"/>
  <c r="G89" i="41"/>
  <c r="I89" i="41" s="1"/>
  <c r="G119" i="41"/>
  <c r="I119" i="41" s="1"/>
  <c r="G121" i="41"/>
  <c r="I121" i="41" s="1"/>
  <c r="G23" i="41"/>
  <c r="I23" i="41" s="1"/>
  <c r="G63" i="41"/>
  <c r="I63" i="41" s="1"/>
  <c r="G65" i="41"/>
  <c r="I65" i="41" s="1"/>
  <c r="G14" i="41"/>
  <c r="I14" i="41" s="1"/>
  <c r="G16" i="41"/>
  <c r="I16" i="41" s="1"/>
  <c r="G18" i="41"/>
  <c r="I18" i="41" s="1"/>
  <c r="G20" i="41"/>
  <c r="I20" i="41" s="1"/>
  <c r="G22" i="41"/>
  <c r="I22" i="41" s="1"/>
  <c r="G34" i="41"/>
  <c r="I34" i="41" s="1"/>
  <c r="G47" i="41"/>
  <c r="I47" i="41" s="1"/>
  <c r="G48" i="41"/>
  <c r="I48" i="41" s="1"/>
  <c r="G102" i="41"/>
  <c r="I102" i="41" s="1"/>
  <c r="G128" i="41"/>
  <c r="I128" i="41" s="1"/>
  <c r="G130" i="41"/>
  <c r="I130" i="41" s="1"/>
  <c r="G159" i="41"/>
  <c r="I159" i="41" s="1"/>
  <c r="G78" i="41"/>
  <c r="I78" i="41" s="1"/>
  <c r="G79" i="41"/>
  <c r="I79" i="41" s="1"/>
  <c r="G117" i="41"/>
  <c r="I117" i="41" s="1"/>
  <c r="G160" i="41"/>
  <c r="I160" i="41" s="1"/>
  <c r="G164" i="41"/>
  <c r="I164" i="41" s="1"/>
  <c r="G165" i="41"/>
  <c r="I165" i="41" s="1"/>
  <c r="G184" i="41"/>
  <c r="I184" i="41" s="1"/>
  <c r="G187" i="41"/>
  <c r="I187" i="41" s="1"/>
  <c r="G188" i="41"/>
  <c r="I188" i="41" s="1"/>
  <c r="G191" i="41"/>
  <c r="I191" i="41" s="1"/>
  <c r="G192" i="41"/>
  <c r="I192" i="41" s="1"/>
  <c r="G230" i="41"/>
  <c r="I230" i="41" s="1"/>
  <c r="G40" i="41"/>
  <c r="I40" i="41" s="1"/>
  <c r="G44" i="41"/>
  <c r="I44" i="41" s="1"/>
  <c r="G46" i="41"/>
  <c r="I46" i="41" s="1"/>
  <c r="G56" i="41"/>
  <c r="I56" i="41" s="1"/>
  <c r="G62" i="41"/>
  <c r="I62" i="41" s="1"/>
  <c r="G70" i="41"/>
  <c r="I70" i="41" s="1"/>
  <c r="G80" i="41"/>
  <c r="I80" i="41" s="1"/>
  <c r="G82" i="41"/>
  <c r="I82" i="41" s="1"/>
  <c r="G83" i="41"/>
  <c r="I83" i="41" s="1"/>
  <c r="G87" i="41"/>
  <c r="I87" i="41" s="1"/>
  <c r="G88" i="41"/>
  <c r="I88" i="41" s="1"/>
  <c r="G91" i="41"/>
  <c r="I91" i="41" s="1"/>
  <c r="G92" i="41"/>
  <c r="I92" i="41" s="1"/>
  <c r="G94" i="41"/>
  <c r="I94" i="41" s="1"/>
  <c r="G95" i="41"/>
  <c r="I95" i="41" s="1"/>
  <c r="G110" i="41"/>
  <c r="I110" i="41" s="1"/>
  <c r="G111" i="41"/>
  <c r="I111" i="41" s="1"/>
  <c r="G122" i="41"/>
  <c r="I122" i="41" s="1"/>
  <c r="G123" i="41"/>
  <c r="I123" i="41" s="1"/>
  <c r="G144" i="41"/>
  <c r="I144" i="41" s="1"/>
  <c r="G155" i="41"/>
  <c r="I155" i="41" s="1"/>
  <c r="G167" i="41"/>
  <c r="I167" i="41" s="1"/>
  <c r="G173" i="41"/>
  <c r="I173" i="41" s="1"/>
  <c r="G175" i="41"/>
  <c r="I175" i="41" s="1"/>
  <c r="G177" i="41"/>
  <c r="I177" i="41" s="1"/>
  <c r="G181" i="41"/>
  <c r="I181" i="41" s="1"/>
  <c r="G209" i="41"/>
  <c r="I209" i="41" s="1"/>
  <c r="G211" i="41"/>
  <c r="I211" i="41" s="1"/>
  <c r="G213" i="41"/>
  <c r="I213" i="41" s="1"/>
  <c r="G218" i="41"/>
  <c r="I218" i="41" s="1"/>
  <c r="G221" i="41"/>
  <c r="I221" i="41" s="1"/>
  <c r="G226" i="41"/>
  <c r="I226" i="41" s="1"/>
  <c r="G238" i="41"/>
  <c r="I238" i="41" s="1"/>
  <c r="G250" i="41"/>
  <c r="I250" i="41" s="1"/>
  <c r="G258" i="41"/>
  <c r="I258" i="41" s="1"/>
  <c r="G259" i="41"/>
  <c r="I259" i="41" s="1"/>
  <c r="G266" i="41"/>
  <c r="I266" i="41" s="1"/>
  <c r="G267" i="41"/>
  <c r="I267" i="41" s="1"/>
  <c r="G186" i="41"/>
  <c r="I186" i="41" s="1"/>
  <c r="G190" i="41"/>
  <c r="I190" i="41" s="1"/>
  <c r="G194" i="41"/>
  <c r="I194" i="41" s="1"/>
  <c r="G198" i="41"/>
  <c r="I198" i="41" s="1"/>
  <c r="G202" i="41"/>
  <c r="I202" i="41" s="1"/>
  <c r="G206" i="41"/>
  <c r="I206" i="41" s="1"/>
  <c r="G225" i="41"/>
  <c r="I225" i="41" s="1"/>
  <c r="G234" i="41"/>
  <c r="I234" i="41" s="1"/>
  <c r="G241" i="41"/>
  <c r="I241" i="41" s="1"/>
  <c r="G253" i="41"/>
  <c r="I253" i="41" s="1"/>
  <c r="G147" i="41"/>
  <c r="I147" i="41" s="1"/>
  <c r="G149" i="41"/>
  <c r="I149" i="41" s="1"/>
  <c r="G162" i="41"/>
  <c r="I162" i="41" s="1"/>
  <c r="G163" i="41"/>
  <c r="I163" i="41" s="1"/>
  <c r="G179" i="41"/>
  <c r="I179" i="41" s="1"/>
  <c r="G215" i="41"/>
  <c r="I215" i="41" s="1"/>
  <c r="G262" i="41"/>
  <c r="I262" i="41" s="1"/>
  <c r="G263" i="41"/>
  <c r="I263" i="41" s="1"/>
  <c r="G25" i="41"/>
  <c r="I25" i="41" s="1"/>
  <c r="G27" i="41"/>
  <c r="I27" i="41" s="1"/>
  <c r="G29" i="41"/>
  <c r="I29" i="41" s="1"/>
  <c r="G31" i="41"/>
  <c r="I31" i="41" s="1"/>
  <c r="G35" i="41"/>
  <c r="I35" i="41" s="1"/>
  <c r="G41" i="41"/>
  <c r="I41" i="41" s="1"/>
  <c r="G24" i="41"/>
  <c r="I24" i="41" s="1"/>
  <c r="G26" i="41"/>
  <c r="I26" i="41" s="1"/>
  <c r="G28" i="41"/>
  <c r="I28" i="41" s="1"/>
  <c r="G30" i="41"/>
  <c r="I30" i="41" s="1"/>
  <c r="G32" i="41"/>
  <c r="I32" i="41" s="1"/>
  <c r="G33" i="41"/>
  <c r="I33" i="41" s="1"/>
  <c r="G43" i="41"/>
  <c r="I43" i="41" s="1"/>
  <c r="G11" i="41"/>
  <c r="I11" i="41" s="1"/>
  <c r="A12" i="41"/>
  <c r="G72" i="41"/>
  <c r="I72" i="41" s="1"/>
  <c r="G75" i="41"/>
  <c r="I75" i="41" s="1"/>
  <c r="G84" i="41"/>
  <c r="I84" i="41" s="1"/>
  <c r="G71" i="41"/>
  <c r="I71" i="41" s="1"/>
  <c r="J11" i="41"/>
  <c r="G60" i="41"/>
  <c r="I60" i="41" s="1"/>
  <c r="G42" i="41"/>
  <c r="I42" i="41" s="1"/>
  <c r="G45" i="41"/>
  <c r="I45" i="41" s="1"/>
  <c r="G49" i="41"/>
  <c r="I49" i="41" s="1"/>
  <c r="G53" i="41"/>
  <c r="I53" i="41" s="1"/>
  <c r="G57" i="41"/>
  <c r="I57" i="41" s="1"/>
  <c r="G61" i="41"/>
  <c r="I61" i="41" s="1"/>
  <c r="G86" i="41"/>
  <c r="I86" i="41" s="1"/>
  <c r="G90" i="41"/>
  <c r="I90" i="41" s="1"/>
  <c r="G93" i="41"/>
  <c r="I93" i="41" s="1"/>
  <c r="G104" i="41"/>
  <c r="I104" i="41" s="1"/>
  <c r="G114" i="41"/>
  <c r="I114" i="41" s="1"/>
  <c r="G115" i="41"/>
  <c r="I115" i="41" s="1"/>
  <c r="G120" i="41"/>
  <c r="I120" i="41" s="1"/>
  <c r="G150" i="41"/>
  <c r="I150" i="41" s="1"/>
  <c r="G152" i="41"/>
  <c r="I152" i="41" s="1"/>
  <c r="G153" i="41"/>
  <c r="I153" i="41" s="1"/>
  <c r="G109" i="41"/>
  <c r="I109" i="41" s="1"/>
  <c r="G112" i="41"/>
  <c r="I112" i="41" s="1"/>
  <c r="G116" i="41"/>
  <c r="I116" i="41" s="1"/>
  <c r="G124" i="41"/>
  <c r="I124" i="41" s="1"/>
  <c r="G131" i="41"/>
  <c r="I131" i="41" s="1"/>
  <c r="G132" i="41"/>
  <c r="I132" i="41" s="1"/>
  <c r="G139" i="41"/>
  <c r="I139" i="41" s="1"/>
  <c r="G140" i="41"/>
  <c r="I140" i="41" s="1"/>
  <c r="G146" i="41"/>
  <c r="I146" i="41" s="1"/>
  <c r="G148" i="41"/>
  <c r="I148" i="41" s="1"/>
  <c r="G100" i="41"/>
  <c r="I100" i="41" s="1"/>
  <c r="G105" i="41"/>
  <c r="I105" i="41" s="1"/>
  <c r="G126" i="41"/>
  <c r="I126" i="41" s="1"/>
  <c r="G129" i="41"/>
  <c r="I129" i="41" s="1"/>
  <c r="G134" i="41"/>
  <c r="I134" i="41" s="1"/>
  <c r="G137" i="41"/>
  <c r="I137" i="41" s="1"/>
  <c r="G142" i="41"/>
  <c r="I142" i="41" s="1"/>
  <c r="G145" i="41"/>
  <c r="I145" i="41" s="1"/>
  <c r="G96" i="41"/>
  <c r="I96" i="41" s="1"/>
  <c r="G97" i="41"/>
  <c r="I97" i="41" s="1"/>
  <c r="G99" i="41"/>
  <c r="I99" i="41" s="1"/>
  <c r="G154" i="41"/>
  <c r="I154" i="41" s="1"/>
  <c r="G166" i="41"/>
  <c r="I166" i="41" s="1"/>
  <c r="G170" i="41"/>
  <c r="I170" i="41" s="1"/>
  <c r="G178" i="41"/>
  <c r="I178" i="41" s="1"/>
  <c r="G182" i="41"/>
  <c r="I182" i="41" s="1"/>
  <c r="G214" i="41"/>
  <c r="I214" i="41" s="1"/>
  <c r="G217" i="41"/>
  <c r="I217" i="41" s="1"/>
  <c r="G161" i="41"/>
  <c r="I161" i="41" s="1"/>
  <c r="G168" i="41"/>
  <c r="I168" i="41" s="1"/>
  <c r="G233" i="41"/>
  <c r="I233" i="41" s="1"/>
  <c r="G176" i="41"/>
  <c r="I176" i="41" s="1"/>
  <c r="G180" i="41"/>
  <c r="I180" i="41" s="1"/>
  <c r="G172" i="41"/>
  <c r="I172" i="41" s="1"/>
  <c r="G174" i="41"/>
  <c r="I174" i="41" s="1"/>
  <c r="G185" i="41"/>
  <c r="I185" i="41" s="1"/>
  <c r="G189" i="41"/>
  <c r="I189" i="41" s="1"/>
  <c r="G193" i="41"/>
  <c r="I193" i="41" s="1"/>
  <c r="G197" i="41"/>
  <c r="I197" i="41" s="1"/>
  <c r="G201" i="41"/>
  <c r="I201" i="41" s="1"/>
  <c r="G205" i="41"/>
  <c r="I205" i="41" s="1"/>
  <c r="G219" i="41"/>
  <c r="I219" i="41" s="1"/>
  <c r="G229" i="41"/>
  <c r="I229" i="41" s="1"/>
  <c r="G224" i="41"/>
  <c r="I224" i="41" s="1"/>
  <c r="G220" i="41"/>
  <c r="I220" i="41" s="1"/>
  <c r="G236" i="41"/>
  <c r="I236" i="41" s="1"/>
  <c r="G244" i="41"/>
  <c r="I244" i="41" s="1"/>
  <c r="G247" i="41"/>
  <c r="I247" i="41" s="1"/>
  <c r="G248" i="41"/>
  <c r="I248" i="41" s="1"/>
  <c r="G257" i="41"/>
  <c r="I257" i="41" s="1"/>
  <c r="G260" i="41"/>
  <c r="I260" i="41" s="1"/>
  <c r="G265" i="41"/>
  <c r="I265" i="41" s="1"/>
  <c r="G268" i="41"/>
  <c r="I268" i="41" s="1"/>
  <c r="G216" i="41"/>
  <c r="I216" i="41" s="1"/>
  <c r="G232" i="41"/>
  <c r="I232" i="41" s="1"/>
  <c r="G239" i="41"/>
  <c r="I239" i="41" s="1"/>
  <c r="G240" i="41"/>
  <c r="I240" i="41" s="1"/>
  <c r="G251" i="41"/>
  <c r="I251" i="41" s="1"/>
  <c r="G252" i="41"/>
  <c r="I252" i="41" s="1"/>
  <c r="G208" i="41"/>
  <c r="I208" i="41" s="1"/>
  <c r="G212" i="41"/>
  <c r="I212" i="41" s="1"/>
  <c r="G228" i="41"/>
  <c r="I228" i="41" s="1"/>
  <c r="G243" i="41"/>
  <c r="I243" i="41" s="1"/>
  <c r="G249" i="41"/>
  <c r="I249" i="41" s="1"/>
  <c r="G255" i="41"/>
  <c r="I255" i="41" s="1"/>
  <c r="G256" i="41"/>
  <c r="I256" i="41" s="1"/>
  <c r="G261" i="41"/>
  <c r="I261" i="41" s="1"/>
  <c r="G264" i="41"/>
  <c r="I264" i="41" s="1"/>
  <c r="G269" i="41"/>
  <c r="I269" i="41" s="1"/>
  <c r="I333" i="41" l="1"/>
  <c r="G333" i="41"/>
  <c r="F333" i="41"/>
  <c r="J12" i="41"/>
  <c r="A13" i="41"/>
  <c r="J13" i="41" l="1"/>
  <c r="A14" i="41"/>
  <c r="A15" i="41" l="1"/>
  <c r="J15" i="41" s="1"/>
  <c r="J14" i="41"/>
  <c r="A16" i="41"/>
  <c r="J16" i="41" l="1"/>
  <c r="A17" i="41"/>
  <c r="J17" i="41" l="1"/>
  <c r="A18" i="41"/>
  <c r="A19" i="41" s="1"/>
  <c r="J19" i="41" s="1"/>
  <c r="J18" i="41" l="1"/>
  <c r="A20" i="41"/>
  <c r="J20" i="41" l="1"/>
  <c r="A21" i="41"/>
  <c r="J21" i="41" l="1"/>
  <c r="A22" i="41"/>
  <c r="J22" i="41" l="1"/>
  <c r="A23" i="41"/>
  <c r="J23" i="41" l="1"/>
  <c r="A24" i="41"/>
  <c r="J24" i="41" l="1"/>
  <c r="A25" i="41"/>
  <c r="J25" i="41" l="1"/>
  <c r="A26" i="41"/>
  <c r="J26" i="41" l="1"/>
  <c r="A27" i="41"/>
  <c r="J27" i="41" l="1"/>
  <c r="A28" i="41"/>
  <c r="J28" i="41" l="1"/>
  <c r="A29" i="41"/>
  <c r="J29" i="41" l="1"/>
  <c r="A30" i="41"/>
  <c r="J30" i="41" l="1"/>
  <c r="A31" i="41"/>
  <c r="J31" i="41" l="1"/>
  <c r="A32" i="41"/>
  <c r="J32" i="41" l="1"/>
  <c r="A33" i="41"/>
  <c r="J33" i="41" l="1"/>
  <c r="A34" i="41"/>
  <c r="J34" i="41" l="1"/>
  <c r="A35" i="41"/>
  <c r="J35" i="41" l="1"/>
  <c r="A36" i="41"/>
  <c r="J36" i="41" l="1"/>
  <c r="A37" i="41"/>
  <c r="J37" i="41" l="1"/>
  <c r="A38" i="41"/>
  <c r="J38" i="41" l="1"/>
  <c r="A39" i="41"/>
  <c r="J39" i="41" l="1"/>
  <c r="A40" i="41"/>
  <c r="J40" i="41" l="1"/>
  <c r="A41" i="41"/>
  <c r="J41" i="41" l="1"/>
  <c r="A42" i="41"/>
  <c r="J42" i="41" l="1"/>
  <c r="A43" i="41"/>
  <c r="J43" i="41" l="1"/>
  <c r="A44" i="41"/>
  <c r="J44" i="41" l="1"/>
  <c r="A45" i="41"/>
  <c r="J45" i="41" l="1"/>
  <c r="A46" i="41"/>
  <c r="J46" i="41" l="1"/>
  <c r="A47" i="41"/>
  <c r="J47" i="41" l="1"/>
  <c r="A48" i="41"/>
  <c r="J48" i="41" l="1"/>
  <c r="A49" i="41"/>
  <c r="J49" i="41" l="1"/>
  <c r="A50" i="41"/>
  <c r="J50" i="41" l="1"/>
  <c r="A51" i="41"/>
  <c r="J51" i="41" l="1"/>
  <c r="A52" i="41"/>
  <c r="J52" i="41" l="1"/>
  <c r="A53" i="41"/>
  <c r="J53" i="41" l="1"/>
  <c r="A54" i="41"/>
  <c r="J54" i="41" l="1"/>
  <c r="A55" i="41"/>
  <c r="J55" i="41" l="1"/>
  <c r="A56" i="41"/>
  <c r="J56" i="41" l="1"/>
  <c r="A57" i="41"/>
  <c r="J57" i="41" l="1"/>
  <c r="A58" i="41"/>
  <c r="J58" i="41" l="1"/>
  <c r="A59" i="41"/>
  <c r="J59" i="41" l="1"/>
  <c r="A60" i="41"/>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13" i="22"/>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13" i="6"/>
  <c r="J284" i="6" l="1"/>
  <c r="J278" i="6"/>
  <c r="J275" i="6"/>
  <c r="J283" i="6"/>
  <c r="J282" i="6"/>
  <c r="J60" i="41"/>
  <c r="A61" i="41"/>
  <c r="R45" i="6"/>
  <c r="J61" i="41" l="1"/>
  <c r="A62" i="41"/>
  <c r="X15" i="22"/>
  <c r="X16" i="22"/>
  <c r="X17" i="22"/>
  <c r="X18" i="22"/>
  <c r="X19" i="22"/>
  <c r="X20" i="22"/>
  <c r="X21" i="22"/>
  <c r="X22" i="22"/>
  <c r="X23" i="22"/>
  <c r="X24" i="22"/>
  <c r="X25" i="22"/>
  <c r="X26" i="22"/>
  <c r="X27" i="22"/>
  <c r="X28" i="22"/>
  <c r="X29" i="22"/>
  <c r="X30" i="22"/>
  <c r="X31" i="22"/>
  <c r="X32" i="22"/>
  <c r="X33" i="22"/>
  <c r="X34" i="22"/>
  <c r="X35" i="22"/>
  <c r="X36" i="22"/>
  <c r="X37" i="22"/>
  <c r="X38" i="22"/>
  <c r="X39" i="22"/>
  <c r="X40" i="22"/>
  <c r="X41" i="22"/>
  <c r="X42" i="22"/>
  <c r="X43" i="22"/>
  <c r="X44" i="22"/>
  <c r="X45" i="22"/>
  <c r="X46" i="22"/>
  <c r="X47" i="22"/>
  <c r="X48" i="22"/>
  <c r="X49" i="22"/>
  <c r="X50" i="22"/>
  <c r="X51" i="22"/>
  <c r="X52" i="22"/>
  <c r="X53" i="22"/>
  <c r="X54" i="22"/>
  <c r="X55" i="22"/>
  <c r="X56" i="22"/>
  <c r="X57" i="22"/>
  <c r="X58" i="22"/>
  <c r="X59" i="22"/>
  <c r="X60" i="22"/>
  <c r="X61" i="22"/>
  <c r="X62" i="22"/>
  <c r="X63" i="22"/>
  <c r="X64" i="22"/>
  <c r="X65" i="22"/>
  <c r="X66" i="22"/>
  <c r="X68" i="22"/>
  <c r="X69" i="22"/>
  <c r="X70" i="22"/>
  <c r="X71" i="22"/>
  <c r="X72" i="22"/>
  <c r="X73" i="22"/>
  <c r="X74" i="22"/>
  <c r="X75" i="22"/>
  <c r="X14" i="22"/>
  <c r="X13" i="22"/>
  <c r="J62" i="41" l="1"/>
  <c r="A63" i="41"/>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14" i="6"/>
  <c r="R15" i="6"/>
  <c r="R16" i="6"/>
  <c r="R13" i="6"/>
  <c r="J63" i="41" l="1"/>
  <c r="A64" i="41"/>
  <c r="J64" i="41" l="1"/>
  <c r="A65" i="41"/>
  <c r="J65" i="41" l="1"/>
  <c r="A66" i="41"/>
  <c r="J66" i="41" l="1"/>
  <c r="A67" i="41"/>
  <c r="J67" i="41" l="1"/>
  <c r="A68" i="41"/>
  <c r="J68" i="41" l="1"/>
  <c r="A69" i="41"/>
  <c r="J69" i="41" l="1"/>
  <c r="A70" i="41"/>
  <c r="J70" i="41" l="1"/>
  <c r="A71" i="41"/>
  <c r="J71" i="41" l="1"/>
  <c r="A72" i="41"/>
  <c r="J72" i="41" l="1"/>
  <c r="A73" i="41"/>
  <c r="J73" i="41" l="1"/>
  <c r="A74" i="41"/>
  <c r="J74" i="41" l="1"/>
  <c r="A75" i="41"/>
  <c r="J75" i="41" l="1"/>
  <c r="A76" i="41"/>
  <c r="J76" i="41" l="1"/>
  <c r="A77" i="41"/>
  <c r="J77" i="41" l="1"/>
  <c r="A78" i="41"/>
  <c r="J78" i="41" l="1"/>
  <c r="A79" i="41"/>
  <c r="J79" i="41" l="1"/>
  <c r="A80" i="41"/>
  <c r="J80" i="41" l="1"/>
  <c r="A81" i="41"/>
  <c r="J81" i="41" l="1"/>
  <c r="A82" i="41"/>
  <c r="J82" i="41" l="1"/>
  <c r="A83" i="41"/>
  <c r="J83" i="41" l="1"/>
  <c r="A84" i="41"/>
  <c r="J84" i="41" l="1"/>
  <c r="A85" i="41"/>
  <c r="J85" i="41" l="1"/>
  <c r="A86" i="41"/>
  <c r="J86" i="41" l="1"/>
  <c r="A87" i="41"/>
  <c r="J87" i="41" l="1"/>
  <c r="A88" i="41"/>
  <c r="J88" i="41" l="1"/>
  <c r="A89" i="41"/>
  <c r="J89" i="41" l="1"/>
  <c r="A90" i="41"/>
  <c r="J90" i="41" l="1"/>
  <c r="A91" i="41"/>
  <c r="J91" i="41" l="1"/>
  <c r="A92" i="41"/>
  <c r="J92" i="41" l="1"/>
  <c r="A93" i="41"/>
  <c r="J93" i="41" l="1"/>
  <c r="A94" i="41"/>
  <c r="J94" i="41" l="1"/>
  <c r="A95" i="41"/>
  <c r="J95" i="41" l="1"/>
  <c r="A96" i="41"/>
  <c r="J96" i="41" l="1"/>
  <c r="A97" i="41"/>
  <c r="J97" i="41" l="1"/>
  <c r="A98" i="41"/>
  <c r="J98" i="41" l="1"/>
  <c r="A99" i="41"/>
  <c r="J99" i="41" l="1"/>
  <c r="A100" i="41"/>
  <c r="J100" i="41" l="1"/>
  <c r="A101" i="41"/>
  <c r="J101" i="41" l="1"/>
  <c r="A102" i="41"/>
  <c r="J102" i="41" l="1"/>
  <c r="A103" i="41"/>
  <c r="J103" i="41" l="1"/>
  <c r="A104" i="41"/>
  <c r="J104" i="41" l="1"/>
  <c r="A105" i="41"/>
  <c r="J105" i="41" l="1"/>
  <c r="A106" i="41"/>
  <c r="J106" i="41" l="1"/>
  <c r="A107" i="41"/>
  <c r="J107" i="41" l="1"/>
  <c r="A108" i="41"/>
  <c r="L22" i="22"/>
  <c r="M22" i="22" s="1"/>
  <c r="O22" i="22" s="1"/>
  <c r="J108" i="41" l="1"/>
  <c r="A109" i="41"/>
  <c r="V22" i="22"/>
  <c r="J109" i="41" l="1"/>
  <c r="A110" i="41"/>
  <c r="J110" i="41" l="1"/>
  <c r="A111" i="41"/>
  <c r="J111" i="41" l="1"/>
  <c r="A112" i="41"/>
  <c r="J112" i="41" l="1"/>
  <c r="A113" i="41"/>
  <c r="J113" i="41" l="1"/>
  <c r="A114" i="41"/>
  <c r="J114" i="41" l="1"/>
  <c r="A115" i="41"/>
  <c r="J115" i="41" l="1"/>
  <c r="A116" i="41"/>
  <c r="J116" i="41" l="1"/>
  <c r="A117" i="41"/>
  <c r="J117" i="41" l="1"/>
  <c r="A118" i="41"/>
  <c r="J118" i="41" l="1"/>
  <c r="A119" i="41"/>
  <c r="J119" i="41" l="1"/>
  <c r="A120" i="41"/>
  <c r="J120" i="41" l="1"/>
  <c r="A121" i="41"/>
  <c r="J121" i="41" l="1"/>
  <c r="A122" i="41"/>
  <c r="J122" i="41" l="1"/>
  <c r="A123" i="41"/>
  <c r="J123" i="41" l="1"/>
  <c r="A124" i="41"/>
  <c r="J124" i="41" l="1"/>
  <c r="A125" i="41"/>
  <c r="J125" i="41" l="1"/>
  <c r="A126" i="41"/>
  <c r="J126" i="41" l="1"/>
  <c r="A127" i="41"/>
  <c r="J127" i="41" l="1"/>
  <c r="A128" i="41"/>
  <c r="J128" i="41" l="1"/>
  <c r="A129" i="41"/>
  <c r="J129" i="41" l="1"/>
  <c r="A130" i="41"/>
  <c r="J130" i="41" l="1"/>
  <c r="A131" i="41"/>
  <c r="J131" i="41" l="1"/>
  <c r="A132" i="41"/>
  <c r="J132" i="41" l="1"/>
  <c r="A133" i="41"/>
  <c r="J133" i="41" l="1"/>
  <c r="A134" i="41"/>
  <c r="J134" i="41" l="1"/>
  <c r="A135" i="41"/>
  <c r="J135" i="41" l="1"/>
  <c r="A136" i="41"/>
  <c r="J136" i="41" l="1"/>
  <c r="A137" i="41"/>
  <c r="J137" i="41" l="1"/>
  <c r="A138" i="41"/>
  <c r="J138" i="41" l="1"/>
  <c r="A139" i="41"/>
  <c r="J139" i="41" l="1"/>
  <c r="A140" i="41"/>
  <c r="J140" i="41" l="1"/>
  <c r="A141" i="41"/>
  <c r="J141" i="41" l="1"/>
  <c r="A142" i="41"/>
  <c r="J142" i="41" l="1"/>
  <c r="A143" i="41"/>
  <c r="J143" i="41" l="1"/>
  <c r="A144" i="41"/>
  <c r="J144" i="41" l="1"/>
  <c r="A145" i="41"/>
  <c r="J145" i="41" l="1"/>
  <c r="A146" i="41"/>
  <c r="J146" i="41" l="1"/>
  <c r="A147" i="41"/>
  <c r="J147" i="41" l="1"/>
  <c r="A148" i="41"/>
  <c r="J148" i="41" l="1"/>
  <c r="A149" i="41"/>
  <c r="J149" i="41" l="1"/>
  <c r="A150" i="41"/>
  <c r="J150" i="41" l="1"/>
  <c r="A151" i="41"/>
  <c r="J151" i="41" l="1"/>
  <c r="A152" i="41"/>
  <c r="J152" i="41" l="1"/>
  <c r="A153" i="41"/>
  <c r="J153" i="41" l="1"/>
  <c r="A154" i="41"/>
  <c r="J154" i="41" l="1"/>
  <c r="A155" i="41"/>
  <c r="J155" i="41" l="1"/>
  <c r="A156" i="41"/>
  <c r="J156" i="41" l="1"/>
  <c r="A157" i="41"/>
  <c r="J157" i="41" l="1"/>
  <c r="A158" i="41"/>
  <c r="J158" i="41" l="1"/>
  <c r="A159" i="41"/>
  <c r="J159" i="41" l="1"/>
  <c r="A160" i="41"/>
  <c r="J160" i="41" l="1"/>
  <c r="A161" i="41"/>
  <c r="J161" i="41" l="1"/>
  <c r="A162" i="41"/>
  <c r="J162" i="41" l="1"/>
  <c r="A163" i="41"/>
  <c r="J163" i="41" l="1"/>
  <c r="A164" i="41"/>
  <c r="J164" i="41" l="1"/>
  <c r="A165" i="41"/>
  <c r="J165" i="41" l="1"/>
  <c r="A166" i="41"/>
  <c r="J166" i="41" l="1"/>
  <c r="A167" i="41"/>
  <c r="J167" i="41" l="1"/>
  <c r="A168" i="41"/>
  <c r="J168" i="41" l="1"/>
  <c r="A169" i="41"/>
  <c r="J169" i="41" l="1"/>
  <c r="A170" i="41"/>
  <c r="J170" i="41" l="1"/>
  <c r="A171" i="41"/>
  <c r="J171" i="41" l="1"/>
  <c r="A172" i="41"/>
  <c r="J172" i="41" l="1"/>
  <c r="A173" i="41"/>
  <c r="J173" i="41" l="1"/>
  <c r="A174" i="41"/>
  <c r="J174" i="41" l="1"/>
  <c r="A175" i="41"/>
  <c r="J175" i="41" l="1"/>
  <c r="A176" i="41"/>
  <c r="J176" i="41" l="1"/>
  <c r="A177" i="41"/>
  <c r="J177" i="41" l="1"/>
  <c r="A178" i="41"/>
  <c r="J178" i="41" l="1"/>
  <c r="A179" i="41"/>
  <c r="J179" i="41" l="1"/>
  <c r="A180" i="41"/>
  <c r="J180" i="41" l="1"/>
  <c r="A181" i="41"/>
  <c r="J181" i="41" l="1"/>
  <c r="A182" i="41"/>
  <c r="J182" i="41" l="1"/>
  <c r="A183" i="41"/>
  <c r="J183" i="41" l="1"/>
  <c r="A184" i="41"/>
  <c r="J184" i="41" l="1"/>
  <c r="A185" i="41"/>
  <c r="J185" i="41" l="1"/>
  <c r="A186" i="41"/>
  <c r="J186" i="41" l="1"/>
  <c r="A187" i="41"/>
  <c r="J187" i="41" l="1"/>
  <c r="A188" i="41"/>
  <c r="J188" i="41" l="1"/>
  <c r="A189" i="41"/>
  <c r="J189" i="41" l="1"/>
  <c r="A190" i="41"/>
  <c r="J190" i="41" l="1"/>
  <c r="A191" i="41"/>
  <c r="J191" i="41" l="1"/>
  <c r="A192" i="41"/>
  <c r="J192" i="41" l="1"/>
  <c r="A193" i="41"/>
  <c r="J193" i="41" l="1"/>
  <c r="A194" i="41"/>
  <c r="J194" i="41" l="1"/>
  <c r="A195" i="41"/>
  <c r="J195" i="41" l="1"/>
  <c r="A196" i="41"/>
  <c r="J196" i="41" l="1"/>
  <c r="A197" i="41"/>
  <c r="J197" i="41" l="1"/>
  <c r="A198" i="41"/>
  <c r="J198" i="41" l="1"/>
  <c r="A199" i="41"/>
  <c r="J199" i="41" l="1"/>
  <c r="A200" i="41"/>
  <c r="J200" i="41" l="1"/>
  <c r="A201" i="41"/>
  <c r="J201" i="41" l="1"/>
  <c r="A202" i="41"/>
  <c r="J202" i="41" l="1"/>
  <c r="A203" i="41"/>
  <c r="J203" i="41" l="1"/>
  <c r="A204" i="41"/>
  <c r="J204" i="41" l="1"/>
  <c r="A205" i="41"/>
  <c r="J205" i="41" l="1"/>
  <c r="A206" i="41"/>
  <c r="J206" i="41" l="1"/>
  <c r="A207" i="41"/>
  <c r="J207" i="41" l="1"/>
  <c r="A208" i="41"/>
  <c r="J208" i="41" l="1"/>
  <c r="A209" i="41"/>
  <c r="J209" i="41" l="1"/>
  <c r="A210" i="41"/>
  <c r="J210" i="41" l="1"/>
  <c r="A211" i="41"/>
  <c r="J211" i="41" l="1"/>
  <c r="A212" i="41"/>
  <c r="J212" i="41" l="1"/>
  <c r="A213" i="41"/>
  <c r="J213" i="41" l="1"/>
  <c r="A214" i="41"/>
  <c r="J214" i="41" l="1"/>
  <c r="A215" i="41"/>
  <c r="J215" i="41" l="1"/>
  <c r="A216" i="41"/>
  <c r="J216" i="41" l="1"/>
  <c r="A217" i="41"/>
  <c r="J217" i="41" l="1"/>
  <c r="A218" i="41"/>
  <c r="J218" i="41" l="1"/>
  <c r="A219" i="41"/>
  <c r="J219" i="41" l="1"/>
  <c r="A220" i="41"/>
  <c r="J220" i="41" l="1"/>
  <c r="A221" i="41"/>
  <c r="J221" i="41" l="1"/>
  <c r="A222" i="41"/>
  <c r="J222" i="41" l="1"/>
  <c r="A223" i="41"/>
  <c r="J223" i="41" l="1"/>
  <c r="A224" i="41"/>
  <c r="J224" i="41" l="1"/>
  <c r="A225" i="41"/>
  <c r="J225" i="41" l="1"/>
  <c r="A226" i="41"/>
  <c r="J226" i="41" l="1"/>
  <c r="A227" i="41"/>
  <c r="J227" i="41" l="1"/>
  <c r="A228" i="41"/>
  <c r="J228" i="41" l="1"/>
  <c r="A229" i="41"/>
  <c r="J229" i="41" l="1"/>
  <c r="A230" i="41"/>
  <c r="J230" i="41" l="1"/>
  <c r="A231" i="41"/>
  <c r="J231" i="41" l="1"/>
  <c r="A232" i="41"/>
  <c r="J232" i="41" l="1"/>
  <c r="A233" i="41"/>
  <c r="J233" i="41" l="1"/>
  <c r="A234" i="41"/>
  <c r="J234" i="41" l="1"/>
  <c r="A235" i="41"/>
  <c r="J235" i="41" l="1"/>
  <c r="A236" i="41"/>
  <c r="J236" i="41" l="1"/>
  <c r="A237" i="41"/>
  <c r="J237" i="41" l="1"/>
  <c r="A238" i="41"/>
  <c r="J238" i="41" l="1"/>
  <c r="A239" i="41"/>
  <c r="J239" i="41" l="1"/>
  <c r="A240" i="41"/>
  <c r="J240" i="41" l="1"/>
  <c r="A241" i="41"/>
  <c r="J241" i="41" l="1"/>
  <c r="A242" i="41"/>
  <c r="J242" i="41" l="1"/>
  <c r="A243" i="41"/>
  <c r="J243" i="41" l="1"/>
  <c r="A244" i="41"/>
  <c r="J244" i="41" l="1"/>
  <c r="A245" i="41"/>
  <c r="J245" i="41" l="1"/>
  <c r="A246" i="41"/>
  <c r="J246" i="41" l="1"/>
  <c r="A247" i="41"/>
  <c r="J247" i="41" l="1"/>
  <c r="A248" i="41"/>
  <c r="J248" i="41" l="1"/>
  <c r="A249" i="41"/>
  <c r="J249" i="41" l="1"/>
  <c r="A250" i="41"/>
  <c r="J250" i="41" l="1"/>
  <c r="A251" i="41"/>
  <c r="J251" i="41" l="1"/>
  <c r="A252" i="41"/>
  <c r="J252" i="41" l="1"/>
  <c r="A253" i="41"/>
  <c r="J253" i="41" l="1"/>
  <c r="A254" i="41"/>
  <c r="J254" i="41" l="1"/>
  <c r="A255" i="41"/>
  <c r="J255" i="41" l="1"/>
  <c r="A256" i="41"/>
  <c r="J256" i="41" l="1"/>
  <c r="A257" i="41"/>
  <c r="J257" i="41" l="1"/>
  <c r="A258" i="41"/>
  <c r="J258" i="41" l="1"/>
  <c r="A259" i="41"/>
  <c r="J259" i="41" l="1"/>
  <c r="A260" i="41"/>
  <c r="J260" i="41" l="1"/>
  <c r="A261" i="41"/>
  <c r="J261" i="41" l="1"/>
  <c r="A262" i="41"/>
  <c r="J262" i="41" l="1"/>
  <c r="A263" i="41"/>
  <c r="J263" i="41" l="1"/>
  <c r="A264" i="41"/>
  <c r="J264" i="41" l="1"/>
  <c r="A265" i="41"/>
  <c r="J265" i="41" l="1"/>
  <c r="A266" i="41"/>
  <c r="J266" i="41" l="1"/>
  <c r="A267" i="41"/>
  <c r="J267" i="41" l="1"/>
  <c r="A268" i="41"/>
  <c r="J268" i="41" l="1"/>
  <c r="A269" i="41"/>
  <c r="J269" i="41" l="1"/>
  <c r="A270" i="41"/>
  <c r="A271" i="41" l="1"/>
  <c r="J270" i="41"/>
  <c r="J271" i="41" l="1"/>
  <c r="A272" i="41"/>
  <c r="J272" i="41" l="1"/>
  <c r="A273" i="41"/>
  <c r="J273" i="41" s="1"/>
  <c r="A274" i="41" l="1"/>
  <c r="J274" i="41" l="1"/>
  <c r="A275" i="41"/>
  <c r="J275" i="41" l="1"/>
  <c r="A276" i="41"/>
  <c r="J276" i="41" l="1"/>
  <c r="A277" i="41"/>
  <c r="J277" i="41" l="1"/>
  <c r="A278" i="41"/>
  <c r="J278" i="41" l="1"/>
  <c r="A279" i="41"/>
  <c r="J279" i="41" l="1"/>
  <c r="A280" i="41"/>
  <c r="J280" i="41" l="1"/>
  <c r="A281" i="41"/>
  <c r="A282" i="41" l="1"/>
  <c r="J281" i="41"/>
  <c r="A283" i="41" l="1"/>
  <c r="J282" i="41"/>
  <c r="A284" i="41" l="1"/>
  <c r="J283" i="41"/>
  <c r="A285" i="41" l="1"/>
  <c r="J284" i="41"/>
  <c r="A286" i="41" l="1"/>
  <c r="J285" i="41"/>
  <c r="A287" i="41" l="1"/>
  <c r="J286" i="41"/>
  <c r="A288" i="41" l="1"/>
  <c r="J287" i="41"/>
  <c r="A289" i="41" l="1"/>
  <c r="J288" i="41"/>
  <c r="A290" i="41" l="1"/>
  <c r="J289" i="41"/>
  <c r="A291" i="41" l="1"/>
  <c r="J290" i="41"/>
  <c r="A292" i="41" l="1"/>
  <c r="J291" i="41"/>
  <c r="A293" i="41" l="1"/>
  <c r="J292" i="41"/>
  <c r="A294" i="41" l="1"/>
  <c r="J293" i="41"/>
  <c r="A295" i="41" l="1"/>
  <c r="J294" i="41"/>
  <c r="A296" i="41" l="1"/>
  <c r="J295" i="41"/>
  <c r="A297" i="41" l="1"/>
  <c r="J296" i="41"/>
  <c r="A298" i="41" l="1"/>
  <c r="J297" i="41"/>
  <c r="A299" i="41" l="1"/>
  <c r="J298" i="41"/>
  <c r="A300" i="41" l="1"/>
  <c r="J299" i="41"/>
  <c r="A301" i="41" l="1"/>
  <c r="J300" i="41"/>
  <c r="A302" i="41" l="1"/>
  <c r="J301" i="41"/>
  <c r="A303" i="41" l="1"/>
  <c r="J302" i="41"/>
  <c r="A304" i="41" l="1"/>
  <c r="J303" i="41"/>
  <c r="A305" i="41" l="1"/>
  <c r="J304" i="41"/>
  <c r="A306" i="41" l="1"/>
  <c r="J305" i="41"/>
  <c r="A307" i="41" l="1"/>
  <c r="J306" i="41"/>
  <c r="A308" i="41" l="1"/>
  <c r="J307" i="41"/>
  <c r="A309" i="41" l="1"/>
  <c r="J308" i="41"/>
  <c r="A310" i="41" l="1"/>
  <c r="J309" i="41"/>
  <c r="A311" i="41" l="1"/>
  <c r="J310" i="41"/>
  <c r="A312" i="41" l="1"/>
  <c r="J311" i="41"/>
  <c r="A313" i="41" l="1"/>
  <c r="J312" i="41"/>
  <c r="A314" i="41" l="1"/>
  <c r="J313" i="41"/>
  <c r="A315" i="41" l="1"/>
  <c r="J314" i="41"/>
  <c r="A316" i="41" l="1"/>
  <c r="J315" i="41"/>
  <c r="A317" i="41" l="1"/>
  <c r="J316" i="41"/>
  <c r="A318" i="41" l="1"/>
  <c r="J317" i="41"/>
  <c r="A319" i="41" l="1"/>
  <c r="J318" i="41"/>
  <c r="A320" i="41" l="1"/>
  <c r="J319" i="41"/>
  <c r="A321" i="41" l="1"/>
  <c r="J320" i="41"/>
  <c r="A322" i="41" l="1"/>
  <c r="J321" i="41"/>
  <c r="A323" i="41" l="1"/>
  <c r="J322" i="41"/>
  <c r="A324" i="41" l="1"/>
  <c r="J323" i="41"/>
  <c r="A325" i="41" l="1"/>
  <c r="J324" i="41"/>
  <c r="A326" i="41" l="1"/>
  <c r="J325" i="41"/>
  <c r="A327" i="41" l="1"/>
  <c r="J326" i="41"/>
  <c r="A328" i="41" l="1"/>
  <c r="J327" i="41"/>
  <c r="A329" i="41" l="1"/>
  <c r="J328" i="41"/>
  <c r="A330" i="41" l="1"/>
  <c r="J329" i="41"/>
  <c r="A331" i="41" l="1"/>
  <c r="J330" i="41"/>
  <c r="A332" i="41" l="1"/>
  <c r="J332" i="41" s="1"/>
  <c r="J331" i="41"/>
  <c r="T289" i="35" l="1"/>
  <c r="T290" i="35"/>
  <c r="T291" i="35"/>
  <c r="T292" i="35"/>
  <c r="T293" i="35"/>
  <c r="T294" i="35"/>
  <c r="T295" i="35"/>
  <c r="T296" i="35"/>
  <c r="T297" i="35"/>
  <c r="T298" i="35"/>
  <c r="T299" i="35"/>
  <c r="T300" i="35"/>
  <c r="T301" i="35"/>
  <c r="T302" i="35"/>
  <c r="T303" i="35"/>
  <c r="T304" i="35"/>
  <c r="T305" i="35"/>
  <c r="T306" i="35"/>
  <c r="T307" i="35"/>
  <c r="T308" i="35"/>
  <c r="T309" i="35"/>
  <c r="T310" i="35"/>
  <c r="T311" i="35"/>
  <c r="T312" i="35"/>
  <c r="T313" i="35"/>
  <c r="T314" i="35"/>
  <c r="T315" i="35"/>
  <c r="T316" i="35"/>
  <c r="T317" i="35"/>
  <c r="T318" i="35"/>
  <c r="T319" i="35"/>
  <c r="T320" i="35"/>
  <c r="T321" i="35"/>
  <c r="T322" i="35"/>
  <c r="T323" i="35"/>
  <c r="T324" i="35"/>
  <c r="T325" i="35"/>
  <c r="T326" i="35"/>
  <c r="T327" i="35"/>
  <c r="T328" i="35"/>
  <c r="T329" i="35"/>
  <c r="T330" i="35"/>
  <c r="T331" i="35"/>
  <c r="T332" i="35"/>
  <c r="T333" i="35"/>
  <c r="T334" i="35"/>
  <c r="T335" i="35"/>
  <c r="T336" i="35"/>
  <c r="T337" i="35"/>
  <c r="T338" i="35"/>
  <c r="T339" i="35"/>
  <c r="T340" i="35"/>
  <c r="T341" i="35"/>
  <c r="T342" i="35"/>
  <c r="T343" i="35"/>
  <c r="T344" i="35"/>
  <c r="T345" i="35"/>
  <c r="T346" i="35"/>
  <c r="T347" i="35"/>
  <c r="T348" i="35"/>
  <c r="T349" i="35"/>
  <c r="T350" i="35"/>
  <c r="T351" i="35"/>
  <c r="T352" i="35"/>
  <c r="A289" i="35"/>
  <c r="A290" i="35" s="1"/>
  <c r="S289" i="35"/>
  <c r="S290" i="35"/>
  <c r="S291" i="35"/>
  <c r="S292" i="35"/>
  <c r="S293" i="35"/>
  <c r="S294" i="35"/>
  <c r="S295" i="35"/>
  <c r="S296" i="35"/>
  <c r="S297" i="35"/>
  <c r="S298" i="35"/>
  <c r="S299" i="35"/>
  <c r="S300" i="35"/>
  <c r="S301" i="35"/>
  <c r="S302" i="35"/>
  <c r="S303" i="35"/>
  <c r="S304" i="35"/>
  <c r="S305" i="35"/>
  <c r="S306" i="35"/>
  <c r="S307" i="35"/>
  <c r="S308" i="35"/>
  <c r="S309" i="35"/>
  <c r="S310" i="35"/>
  <c r="S311" i="35"/>
  <c r="S312" i="35"/>
  <c r="S313" i="35"/>
  <c r="S314" i="35"/>
  <c r="S315" i="35"/>
  <c r="S316" i="35"/>
  <c r="S317" i="35"/>
  <c r="S318" i="35"/>
  <c r="S319" i="35"/>
  <c r="S320" i="35"/>
  <c r="S321" i="35"/>
  <c r="S322" i="35"/>
  <c r="S323" i="35"/>
  <c r="S324" i="35"/>
  <c r="S325" i="35"/>
  <c r="S326" i="35"/>
  <c r="S327" i="35"/>
  <c r="S328" i="35"/>
  <c r="S329" i="35"/>
  <c r="S330" i="35"/>
  <c r="S331" i="35"/>
  <c r="S332" i="35"/>
  <c r="S333" i="35"/>
  <c r="S334" i="35"/>
  <c r="S335" i="35"/>
  <c r="S336" i="35"/>
  <c r="S337" i="35"/>
  <c r="S338" i="35"/>
  <c r="S339" i="35"/>
  <c r="S340" i="35"/>
  <c r="S341" i="35"/>
  <c r="S342" i="35"/>
  <c r="S343" i="35"/>
  <c r="S344" i="35"/>
  <c r="S345" i="35"/>
  <c r="S346" i="35"/>
  <c r="S347" i="35"/>
  <c r="S348" i="35"/>
  <c r="S349" i="35"/>
  <c r="S350" i="35"/>
  <c r="S351" i="35"/>
  <c r="S352" i="35"/>
  <c r="Q289" i="35"/>
  <c r="Q290" i="35"/>
  <c r="Q291" i="35"/>
  <c r="Q292" i="35"/>
  <c r="Q293" i="35"/>
  <c r="Q294" i="35"/>
  <c r="Q295" i="35"/>
  <c r="Q296" i="35"/>
  <c r="Q297" i="35"/>
  <c r="Q298" i="35"/>
  <c r="Q299" i="35"/>
  <c r="Q300" i="35"/>
  <c r="Q301" i="35"/>
  <c r="Q302" i="35"/>
  <c r="Q303" i="35"/>
  <c r="Q304" i="35"/>
  <c r="Q305" i="35"/>
  <c r="Q306" i="35"/>
  <c r="Q307" i="35"/>
  <c r="Q308" i="35"/>
  <c r="Q309" i="35"/>
  <c r="Q310" i="35"/>
  <c r="Q311" i="35"/>
  <c r="Q312" i="35"/>
  <c r="Q313" i="35"/>
  <c r="Q314" i="35"/>
  <c r="Q315" i="35"/>
  <c r="Q316" i="35"/>
  <c r="Q317" i="35"/>
  <c r="Q318" i="35"/>
  <c r="Q319" i="35"/>
  <c r="Q320" i="35"/>
  <c r="Q321" i="35"/>
  <c r="Q322" i="35"/>
  <c r="Q323" i="35"/>
  <c r="Q324" i="35"/>
  <c r="Q325" i="35"/>
  <c r="Q326" i="35"/>
  <c r="Q327" i="35"/>
  <c r="Q328" i="35"/>
  <c r="Q329" i="35"/>
  <c r="Q330" i="35"/>
  <c r="Q331" i="35"/>
  <c r="Q332" i="35"/>
  <c r="Q333" i="35"/>
  <c r="Q334" i="35"/>
  <c r="Q335" i="35"/>
  <c r="Q336" i="35"/>
  <c r="Q337" i="35"/>
  <c r="Q338" i="35"/>
  <c r="Q339" i="35"/>
  <c r="Q340" i="35"/>
  <c r="Q341" i="35"/>
  <c r="Q342" i="35"/>
  <c r="Q343" i="35"/>
  <c r="Q344" i="35"/>
  <c r="Q345" i="35"/>
  <c r="Q346" i="35"/>
  <c r="Q347" i="35"/>
  <c r="Q348" i="35"/>
  <c r="Q349" i="35"/>
  <c r="Q350" i="35"/>
  <c r="Q351" i="35"/>
  <c r="Q352" i="35"/>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A291" i="35" l="1"/>
  <c r="A293" i="35" s="1"/>
  <c r="A292" i="35"/>
  <c r="N353" i="35"/>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A294" i="35"/>
  <c r="H353" i="35"/>
  <c r="P353" i="35"/>
  <c r="W32" i="35"/>
  <c r="A28" i="35"/>
  <c r="T28" i="35" s="1"/>
  <c r="W33" i="35"/>
  <c r="A295" i="35" l="1"/>
  <c r="A29" i="35"/>
  <c r="T29" i="35" s="1"/>
  <c r="W34" i="35"/>
  <c r="A30" i="35"/>
  <c r="A296" i="35" l="1"/>
  <c r="A297" i="35"/>
  <c r="W35" i="35"/>
  <c r="T30" i="35"/>
  <c r="A31" i="35"/>
  <c r="A32" i="35" s="1"/>
  <c r="T32" i="35" s="1"/>
  <c r="W36" i="35"/>
  <c r="A298" i="35" l="1"/>
  <c r="T31" i="35"/>
  <c r="A33" i="35"/>
  <c r="A34" i="35" s="1"/>
  <c r="T34" i="35" s="1"/>
  <c r="W37" i="35"/>
  <c r="W38" i="35" s="1"/>
  <c r="W39" i="35" s="1"/>
  <c r="A299" i="35" l="1"/>
  <c r="A35" i="35"/>
  <c r="T35" i="35" s="1"/>
  <c r="T33" i="35"/>
  <c r="W40" i="35"/>
  <c r="A300" i="35" l="1"/>
  <c r="A301" i="35" s="1"/>
  <c r="A302" i="35" s="1"/>
  <c r="A303" i="35" s="1"/>
  <c r="A304" i="35" s="1"/>
  <c r="A305" i="35" s="1"/>
  <c r="A306" i="35" s="1"/>
  <c r="A307" i="35" s="1"/>
  <c r="A308" i="35" s="1"/>
  <c r="A309" i="35" s="1"/>
  <c r="A310" i="35" s="1"/>
  <c r="A311" i="35" s="1"/>
  <c r="A312" i="35" s="1"/>
  <c r="A313" i="35" s="1"/>
  <c r="A314" i="35" s="1"/>
  <c r="A315" i="35" s="1"/>
  <c r="A316" i="35" s="1"/>
  <c r="A317" i="35" s="1"/>
  <c r="A318" i="35" s="1"/>
  <c r="A319" i="35" s="1"/>
  <c r="A320" i="35" s="1"/>
  <c r="A321" i="35" s="1"/>
  <c r="A322" i="35" s="1"/>
  <c r="A323" i="35" s="1"/>
  <c r="A324" i="35" s="1"/>
  <c r="A325" i="35" s="1"/>
  <c r="A326" i="35" s="1"/>
  <c r="A327" i="35" s="1"/>
  <c r="A328" i="35" s="1"/>
  <c r="A329" i="35" s="1"/>
  <c r="A330" i="35" s="1"/>
  <c r="A331" i="35" s="1"/>
  <c r="A332" i="35" s="1"/>
  <c r="A333" i="35" s="1"/>
  <c r="A334" i="35" s="1"/>
  <c r="A335" i="35" s="1"/>
  <c r="A336" i="35" s="1"/>
  <c r="A337" i="35" s="1"/>
  <c r="A338" i="35" s="1"/>
  <c r="A339" i="35" s="1"/>
  <c r="A340" i="35" s="1"/>
  <c r="A341" i="35" s="1"/>
  <c r="A342" i="35" s="1"/>
  <c r="A343" i="35" s="1"/>
  <c r="A344" i="35" s="1"/>
  <c r="A345" i="35" s="1"/>
  <c r="A346" i="35" s="1"/>
  <c r="A347" i="35" s="1"/>
  <c r="A348" i="35" s="1"/>
  <c r="A349" i="35" s="1"/>
  <c r="A350" i="35" s="1"/>
  <c r="A351" i="35" s="1"/>
  <c r="A352" i="35" s="1"/>
  <c r="A36" i="35"/>
  <c r="W41" i="35"/>
  <c r="W42" i="35" s="1"/>
  <c r="W43" i="35" s="1"/>
  <c r="W44" i="35" s="1"/>
  <c r="W45" i="35" s="1"/>
  <c r="W46" i="35" s="1"/>
  <c r="W47" i="35" s="1"/>
  <c r="W48" i="35" s="1"/>
  <c r="W49" i="35" s="1"/>
  <c r="W50" i="35" s="1"/>
  <c r="W51" i="35" s="1"/>
  <c r="W52" i="35" s="1"/>
  <c r="W53" i="35" s="1"/>
  <c r="A37" i="35"/>
  <c r="A38" i="35" s="1"/>
  <c r="T38" i="35" s="1"/>
  <c r="T36" i="35"/>
  <c r="T37" i="35" l="1"/>
  <c r="A39" i="35"/>
  <c r="T39" i="35" l="1"/>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N272" i="6"/>
  <c r="G272"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T279" i="34"/>
  <c r="T280" i="34"/>
  <c r="T281" i="34"/>
  <c r="T282" i="34"/>
  <c r="T283" i="34"/>
  <c r="T284" i="34"/>
  <c r="T285" i="34"/>
  <c r="T286" i="34"/>
  <c r="T287" i="34"/>
  <c r="T288" i="34"/>
  <c r="T289" i="34"/>
  <c r="T290" i="34"/>
  <c r="T291" i="34"/>
  <c r="T292" i="34"/>
  <c r="T293" i="34"/>
  <c r="T294" i="34"/>
  <c r="T295" i="34"/>
  <c r="T296" i="34"/>
  <c r="T297" i="34"/>
  <c r="T298" i="34"/>
  <c r="T299" i="34"/>
  <c r="T300" i="34"/>
  <c r="T301" i="34"/>
  <c r="T302" i="34"/>
  <c r="T303" i="34"/>
  <c r="T304" i="34"/>
  <c r="T305" i="34"/>
  <c r="T306" i="34"/>
  <c r="T307" i="34"/>
  <c r="T308" i="34"/>
  <c r="T309" i="34"/>
  <c r="T310" i="34"/>
  <c r="T311" i="34"/>
  <c r="T312" i="34"/>
  <c r="T313" i="34"/>
  <c r="T314" i="34"/>
  <c r="T315" i="34"/>
  <c r="T316" i="34"/>
  <c r="T317" i="34"/>
  <c r="T318" i="34"/>
  <c r="T319" i="34"/>
  <c r="T320" i="34"/>
  <c r="T321" i="34"/>
  <c r="T322" i="34"/>
  <c r="T323" i="34"/>
  <c r="T324" i="34"/>
  <c r="T325" i="34"/>
  <c r="T326" i="34"/>
  <c r="T327" i="34"/>
  <c r="T328" i="34"/>
  <c r="T329" i="34"/>
  <c r="T330" i="34"/>
  <c r="T331" i="34"/>
  <c r="T332" i="34"/>
  <c r="T333" i="34"/>
  <c r="T334" i="34"/>
  <c r="T335" i="34"/>
  <c r="T336" i="34"/>
  <c r="T337" i="34"/>
  <c r="T338" i="34"/>
  <c r="T339" i="34"/>
  <c r="T340" i="34"/>
  <c r="T341" i="34"/>
  <c r="T342" i="34"/>
  <c r="A279" i="34"/>
  <c r="A280" i="34" s="1"/>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H106" i="34"/>
  <c r="F106" i="34"/>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6" i="6"/>
  <c r="H147" i="6"/>
  <c r="T107" i="35" l="1"/>
  <c r="A108" i="35"/>
  <c r="P148" i="34"/>
  <c r="Q148" i="34" s="1"/>
  <c r="S148" i="34" s="1"/>
  <c r="P278" i="34"/>
  <c r="Q278" i="34" s="1"/>
  <c r="S278" i="34" s="1"/>
  <c r="P169" i="34"/>
  <c r="Q169" i="34" s="1"/>
  <c r="S169" i="34" s="1"/>
  <c r="P270" i="34"/>
  <c r="Q270" i="34" s="1"/>
  <c r="S270" i="34" s="1"/>
  <c r="P274" i="34"/>
  <c r="Q274" i="34" s="1"/>
  <c r="S274" i="34" s="1"/>
  <c r="A281" i="34"/>
  <c r="A283" i="34" s="1"/>
  <c r="A282" i="34"/>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A284" i="34"/>
  <c r="T14" i="34"/>
  <c r="A15" i="34"/>
  <c r="A16" i="34"/>
  <c r="T16" i="34" s="1"/>
  <c r="W20" i="34"/>
  <c r="W21" i="34"/>
  <c r="T109" i="35" l="1"/>
  <c r="A110" i="35"/>
  <c r="A285" i="34"/>
  <c r="A17" i="34"/>
  <c r="T15" i="34"/>
  <c r="W22" i="34"/>
  <c r="A18" i="34"/>
  <c r="T18" i="34" s="1"/>
  <c r="T110" i="35" l="1"/>
  <c r="A111" i="35"/>
  <c r="A286" i="34"/>
  <c r="W23" i="34"/>
  <c r="T17" i="34"/>
  <c r="W24" i="34"/>
  <c r="A19" i="34"/>
  <c r="T111" i="35" l="1"/>
  <c r="A112" i="35"/>
  <c r="A287" i="34"/>
  <c r="W25" i="34"/>
  <c r="T19" i="34"/>
  <c r="A20" i="34"/>
  <c r="W26" i="34"/>
  <c r="W27" i="34" s="1"/>
  <c r="W28" i="34" s="1"/>
  <c r="A21" i="34"/>
  <c r="T21" i="34" s="1"/>
  <c r="T112" i="35" l="1"/>
  <c r="A113" i="35"/>
  <c r="A288" i="34"/>
  <c r="A289" i="34" s="1"/>
  <c r="A290" i="34" s="1"/>
  <c r="A291" i="34" s="1"/>
  <c r="A292" i="34" s="1"/>
  <c r="A293" i="34" s="1"/>
  <c r="A294" i="34" s="1"/>
  <c r="A295" i="34" s="1"/>
  <c r="A296" i="34" s="1"/>
  <c r="A297" i="34" s="1"/>
  <c r="A298" i="34" s="1"/>
  <c r="A299" i="34" s="1"/>
  <c r="A300" i="34" s="1"/>
  <c r="A301" i="34" s="1"/>
  <c r="A302" i="34" s="1"/>
  <c r="A303" i="34" s="1"/>
  <c r="A304" i="34" s="1"/>
  <c r="A305" i="34" s="1"/>
  <c r="A306" i="34" s="1"/>
  <c r="A307" i="34" s="1"/>
  <c r="A308" i="34" s="1"/>
  <c r="A309" i="34" s="1"/>
  <c r="A310" i="34" s="1"/>
  <c r="A311" i="34" s="1"/>
  <c r="A312" i="34" s="1"/>
  <c r="A313" i="34" s="1"/>
  <c r="A314" i="34" s="1"/>
  <c r="A315" i="34" s="1"/>
  <c r="A316" i="34" s="1"/>
  <c r="A317" i="34" s="1"/>
  <c r="A318" i="34" s="1"/>
  <c r="A319" i="34" s="1"/>
  <c r="A320" i="34" s="1"/>
  <c r="A321" i="34" s="1"/>
  <c r="A322" i="34" s="1"/>
  <c r="A323" i="34" s="1"/>
  <c r="A324" i="34" s="1"/>
  <c r="A325" i="34" s="1"/>
  <c r="A326" i="34" s="1"/>
  <c r="A327" i="34" s="1"/>
  <c r="A328" i="34" s="1"/>
  <c r="A329" i="34" s="1"/>
  <c r="A330" i="34" s="1"/>
  <c r="A331" i="34" s="1"/>
  <c r="A332" i="34" s="1"/>
  <c r="A333" i="34" s="1"/>
  <c r="A334" i="34" s="1"/>
  <c r="A335" i="34" s="1"/>
  <c r="A336" i="34" s="1"/>
  <c r="A337" i="34" s="1"/>
  <c r="A338" i="34" s="1"/>
  <c r="A339" i="34" s="1"/>
  <c r="A340" i="34" s="1"/>
  <c r="A341" i="34" s="1"/>
  <c r="A342" i="34" s="1"/>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K147" i="6"/>
  <c r="K148" i="6"/>
  <c r="T142" i="35" l="1"/>
  <c r="A143" i="35"/>
  <c r="M272"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288" i="35" s="1"/>
  <c r="T197" i="34"/>
  <c r="A198" i="34"/>
  <c r="T198" i="34" l="1"/>
  <c r="A199" i="34"/>
  <c r="T199" i="34" l="1"/>
  <c r="A200" i="34"/>
  <c r="T200" i="34" l="1"/>
  <c r="A201" i="34"/>
  <c r="T201" i="34" l="1"/>
  <c r="A202" i="34"/>
  <c r="T202" i="34" l="1"/>
  <c r="A203" i="34"/>
  <c r="T203" i="34" l="1"/>
  <c r="A204" i="34"/>
  <c r="T204" i="34" l="1"/>
  <c r="A205" i="34"/>
  <c r="T205" i="34" l="1"/>
  <c r="A206" i="34"/>
  <c r="T206" i="34" l="1"/>
  <c r="A207" i="34"/>
  <c r="T207" i="34" l="1"/>
  <c r="A208" i="34"/>
  <c r="T208" i="34" l="1"/>
  <c r="A209" i="34"/>
  <c r="T209" i="34" l="1"/>
  <c r="A210" i="34"/>
  <c r="T210" i="34" l="1"/>
  <c r="A211" i="34"/>
  <c r="T211" i="34" l="1"/>
  <c r="A212" i="34"/>
  <c r="T212" i="34" l="1"/>
  <c r="A213" i="34"/>
  <c r="T213" i="34" l="1"/>
  <c r="A214" i="34"/>
  <c r="T214" i="34" l="1"/>
  <c r="A215" i="34"/>
  <c r="T215" i="34" l="1"/>
  <c r="A216" i="34"/>
  <c r="T216" i="34" l="1"/>
  <c r="A217" i="34"/>
  <c r="T217" i="34" l="1"/>
  <c r="A218" i="34"/>
  <c r="T218" i="34" l="1"/>
  <c r="A219" i="34"/>
  <c r="T219" i="34" l="1"/>
  <c r="A220" i="34"/>
  <c r="T220" i="34" l="1"/>
  <c r="A221" i="34"/>
  <c r="T221" i="34" l="1"/>
  <c r="A222" i="34"/>
  <c r="T222" i="34" l="1"/>
  <c r="A223" i="34"/>
  <c r="T223" i="34" l="1"/>
  <c r="A224" i="34"/>
  <c r="T224" i="34" l="1"/>
  <c r="A225" i="34"/>
  <c r="T225" i="34" l="1"/>
  <c r="A226" i="34"/>
  <c r="T226" i="34" l="1"/>
  <c r="A227" i="34"/>
  <c r="T227" i="34" l="1"/>
  <c r="A228" i="34"/>
  <c r="T228" i="34" l="1"/>
  <c r="A229" i="34"/>
  <c r="T229" i="34" l="1"/>
  <c r="A230" i="34"/>
  <c r="T230" i="34" l="1"/>
  <c r="A231" i="34"/>
  <c r="T231" i="34" l="1"/>
  <c r="A232" i="34"/>
  <c r="T232" i="34" l="1"/>
  <c r="A233" i="34"/>
  <c r="T233" i="34" l="1"/>
  <c r="A234" i="34"/>
  <c r="T234" i="34" l="1"/>
  <c r="A235" i="34"/>
  <c r="T235" i="34" l="1"/>
  <c r="A236" i="34"/>
  <c r="T236" i="34" l="1"/>
  <c r="A237" i="34"/>
  <c r="T237" i="34" l="1"/>
  <c r="A238" i="34"/>
  <c r="T238" i="34" l="1"/>
  <c r="A239" i="34"/>
  <c r="T239" i="34" l="1"/>
  <c r="A240" i="34"/>
  <c r="T240" i="34" l="1"/>
  <c r="A241" i="34"/>
  <c r="T241" i="34" l="1"/>
  <c r="A242" i="34"/>
  <c r="T242" i="34" l="1"/>
  <c r="A243" i="34"/>
  <c r="T243" i="34" l="1"/>
  <c r="A244" i="34"/>
  <c r="T244" i="34" l="1"/>
  <c r="A245" i="34"/>
  <c r="T245" i="34" l="1"/>
  <c r="A246" i="34"/>
  <c r="T246" i="34" l="1"/>
  <c r="A247" i="34"/>
  <c r="T247" i="34" l="1"/>
  <c r="A248" i="34"/>
  <c r="T248" i="34" l="1"/>
  <c r="A249" i="34"/>
  <c r="T249" i="34" l="1"/>
  <c r="A250" i="34"/>
  <c r="T250" i="34" l="1"/>
  <c r="A251" i="34"/>
  <c r="T251" i="34" l="1"/>
  <c r="A252" i="34"/>
  <c r="T252" i="34" l="1"/>
  <c r="A253" i="34"/>
  <c r="T253" i="34" l="1"/>
  <c r="A254" i="34"/>
  <c r="T254" i="34" l="1"/>
  <c r="A255" i="34"/>
  <c r="T255" i="34" l="1"/>
  <c r="A256" i="34"/>
  <c r="T256" i="34" l="1"/>
  <c r="A257" i="34"/>
  <c r="T257" i="34" l="1"/>
  <c r="A258" i="34"/>
  <c r="T258" i="34" l="1"/>
  <c r="A259" i="34"/>
  <c r="T259" i="34" l="1"/>
  <c r="A260" i="34"/>
  <c r="T260" i="34" l="1"/>
  <c r="A261" i="34"/>
  <c r="T261" i="34" l="1"/>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s="1"/>
  <c r="K200" i="6" l="1"/>
  <c r="J279" i="6" l="1"/>
  <c r="J281" i="6"/>
  <c r="J280" i="6"/>
  <c r="E146" i="6"/>
  <c r="E156" i="6"/>
  <c r="E33" i="6"/>
  <c r="E34" i="6"/>
  <c r="E35" i="6"/>
  <c r="E36" i="6"/>
  <c r="E82" i="6"/>
  <c r="E83" i="6"/>
  <c r="AH321" i="33" l="1"/>
  <c r="AH322" i="33"/>
  <c r="AH325" i="33"/>
  <c r="AH326" i="33"/>
  <c r="AH329" i="33"/>
  <c r="AH330" i="33"/>
  <c r="AH333" i="33"/>
  <c r="AH334" i="33"/>
  <c r="AH337" i="33"/>
  <c r="AH338" i="33"/>
  <c r="AH341" i="33"/>
  <c r="AH342" i="33"/>
  <c r="AH345" i="33"/>
  <c r="AH346" i="33"/>
  <c r="AH349" i="33"/>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F322" i="33"/>
  <c r="AF323" i="33"/>
  <c r="AH323" i="33" s="1"/>
  <c r="AF324" i="33"/>
  <c r="AH324" i="33" s="1"/>
  <c r="AF325" i="33"/>
  <c r="AF326" i="33"/>
  <c r="AF327" i="33"/>
  <c r="AH327" i="33" s="1"/>
  <c r="AF328" i="33"/>
  <c r="AH328" i="33" s="1"/>
  <c r="AF329" i="33"/>
  <c r="AF330" i="33"/>
  <c r="AF331" i="33"/>
  <c r="AH331" i="33" s="1"/>
  <c r="AF332" i="33"/>
  <c r="AH332" i="33" s="1"/>
  <c r="AF333" i="33"/>
  <c r="AF334" i="33"/>
  <c r="AF335" i="33"/>
  <c r="AH335" i="33" s="1"/>
  <c r="AF336" i="33"/>
  <c r="AH336" i="33" s="1"/>
  <c r="AF337" i="33"/>
  <c r="AF338" i="33"/>
  <c r="AF339" i="33"/>
  <c r="AH339" i="33" s="1"/>
  <c r="AF340" i="33"/>
  <c r="AH340" i="33" s="1"/>
  <c r="AF341" i="33"/>
  <c r="AF342" i="33"/>
  <c r="AF343" i="33"/>
  <c r="AH343" i="33" s="1"/>
  <c r="AF344" i="33"/>
  <c r="AH344" i="33" s="1"/>
  <c r="AF345" i="33"/>
  <c r="AF346" i="33"/>
  <c r="AF347" i="33"/>
  <c r="AH347" i="33" s="1"/>
  <c r="AF348" i="33"/>
  <c r="AH348" i="33" s="1"/>
  <c r="AF349" i="33"/>
  <c r="E314" i="33"/>
  <c r="E299" i="41" s="1"/>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I76" i="22"/>
  <c r="J76" i="22"/>
  <c r="U76" i="22"/>
  <c r="E308" i="34" l="1"/>
  <c r="E318" i="35"/>
  <c r="I350" i="33"/>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T356" i="33" s="1"/>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AE350" i="33" l="1"/>
  <c r="AF18" i="33"/>
  <c r="A21" i="33"/>
  <c r="AI21" i="33" s="1"/>
  <c r="A22" i="33"/>
  <c r="AI22" i="33" s="1"/>
  <c r="AL27" i="33"/>
  <c r="AH18" i="33" l="1"/>
  <c r="AH350" i="33" s="1"/>
  <c r="AF350" i="33"/>
  <c r="A23" i="33"/>
  <c r="AI23" i="33" s="1"/>
  <c r="AL28" i="33"/>
  <c r="A24" i="33" l="1"/>
  <c r="AI24" i="33"/>
  <c r="A25" i="33"/>
  <c r="AL29" i="33"/>
  <c r="A26" i="33" l="1"/>
  <c r="AI26" i="33" s="1"/>
  <c r="AI25" i="33"/>
  <c r="AL30" i="33"/>
  <c r="A27" i="33" l="1"/>
  <c r="AI27" i="33" s="1"/>
  <c r="AL31" i="33"/>
  <c r="AL32" i="33" s="1"/>
  <c r="A28" i="33" l="1"/>
  <c r="AL33" i="33"/>
  <c r="AL34" i="33" s="1"/>
  <c r="AL35" i="33" s="1"/>
  <c r="AL36" i="33" s="1"/>
  <c r="AL37" i="33" s="1"/>
  <c r="AL38" i="33" s="1"/>
  <c r="AL39" i="33" s="1"/>
  <c r="AL40" i="33" s="1"/>
  <c r="AL41" i="33" s="1"/>
  <c r="AL42" i="33" s="1"/>
  <c r="AL43" i="33" s="1"/>
  <c r="AL44" i="33" s="1"/>
  <c r="AL45" i="33" s="1"/>
  <c r="AL46" i="33" s="1"/>
  <c r="AL47" i="33" s="1"/>
  <c r="A29" i="33" l="1"/>
  <c r="AI28" i="33"/>
  <c r="AI29" i="33" l="1"/>
  <c r="A30" i="33"/>
  <c r="A31" i="33" l="1"/>
  <c r="AI30" i="33"/>
  <c r="AI31" i="33" l="1"/>
  <c r="A32" i="33"/>
  <c r="F101" i="6"/>
  <c r="R14" i="22"/>
  <c r="R15" i="22"/>
  <c r="R16" i="22"/>
  <c r="R17" i="22"/>
  <c r="R18" i="22"/>
  <c r="R19" i="22"/>
  <c r="R20" i="22"/>
  <c r="R21" i="22"/>
  <c r="R23"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75" i="22"/>
  <c r="R13" i="22"/>
  <c r="H101" i="6" l="1"/>
  <c r="AI32" i="33"/>
  <c r="A33" i="33"/>
  <c r="R76" i="22"/>
  <c r="K101" i="6"/>
  <c r="O101" i="6" l="1"/>
  <c r="AI33" i="33"/>
  <c r="A34" i="33"/>
  <c r="AI34" i="33" l="1"/>
  <c r="A35" i="33"/>
  <c r="AI35" i="33" l="1"/>
  <c r="A36" i="33"/>
  <c r="AI36" i="33" s="1"/>
  <c r="A37" i="33"/>
  <c r="A38" i="33" s="1"/>
  <c r="AI37" i="33" l="1"/>
  <c r="AI38" i="33"/>
  <c r="A39" i="33"/>
  <c r="AI39" i="33" l="1"/>
  <c r="A40" i="33"/>
  <c r="AI40" i="33" l="1"/>
  <c r="A41" i="33"/>
  <c r="AI41" i="33" l="1"/>
  <c r="A42" i="33"/>
  <c r="AI42" i="33" l="1"/>
  <c r="A43" i="33"/>
  <c r="AI43" i="33" l="1"/>
  <c r="A44" i="33"/>
  <c r="AI44" i="33" l="1"/>
  <c r="A45" i="33"/>
  <c r="AI45" i="33" l="1"/>
  <c r="A46" i="33"/>
  <c r="AI46" i="33" l="1"/>
  <c r="A47" i="33"/>
  <c r="AI47" i="33" l="1"/>
  <c r="A48" i="33"/>
  <c r="AI48" i="33" l="1"/>
  <c r="A49" i="33"/>
  <c r="N76" i="22"/>
  <c r="N83" i="22"/>
  <c r="N86" i="22"/>
  <c r="N85" i="22"/>
  <c r="N84" i="22"/>
  <c r="AI49" i="33" l="1"/>
  <c r="A50" i="33"/>
  <c r="J276" i="6"/>
  <c r="AI50" i="33" l="1"/>
  <c r="A51" i="33"/>
  <c r="AI51" i="33" l="1"/>
  <c r="A52" i="33"/>
  <c r="AI52" i="33" l="1"/>
  <c r="A53" i="33"/>
  <c r="AI53" i="33" l="1"/>
  <c r="A54" i="33"/>
  <c r="AI54" i="33" l="1"/>
  <c r="A55" i="33"/>
  <c r="K21" i="6"/>
  <c r="K22" i="6"/>
  <c r="K23" i="6"/>
  <c r="K24" i="6"/>
  <c r="K20" i="6"/>
  <c r="K25" i="6"/>
  <c r="K18" i="6"/>
  <c r="K26" i="6"/>
  <c r="K27" i="6"/>
  <c r="K28" i="6"/>
  <c r="K29" i="6"/>
  <c r="K30" i="6"/>
  <c r="K31" i="6"/>
  <c r="K32" i="6"/>
  <c r="K33" i="6"/>
  <c r="K34" i="6"/>
  <c r="K35" i="6"/>
  <c r="K36" i="6"/>
  <c r="K37" i="6"/>
  <c r="K38" i="6"/>
  <c r="K39" i="6"/>
  <c r="K40" i="6"/>
  <c r="K41" i="6"/>
  <c r="K42" i="6"/>
  <c r="K43" i="6"/>
  <c r="K44" i="6"/>
  <c r="K45" i="6"/>
  <c r="K46" i="6"/>
  <c r="K48" i="6"/>
  <c r="K49" i="6"/>
  <c r="K50" i="6"/>
  <c r="K71" i="6"/>
  <c r="K51" i="6"/>
  <c r="K52" i="6"/>
  <c r="K53" i="6"/>
  <c r="K54" i="6"/>
  <c r="K55" i="6"/>
  <c r="K56" i="6"/>
  <c r="K57" i="6"/>
  <c r="K58" i="6"/>
  <c r="K59" i="6"/>
  <c r="K60" i="6"/>
  <c r="K61" i="6"/>
  <c r="K62" i="6"/>
  <c r="K63" i="6"/>
  <c r="K64" i="6"/>
  <c r="K65" i="6"/>
  <c r="K66" i="6"/>
  <c r="K67" i="6"/>
  <c r="K68" i="6"/>
  <c r="K69" i="6"/>
  <c r="K70" i="6"/>
  <c r="K72" i="6"/>
  <c r="K73" i="6"/>
  <c r="K74" i="6"/>
  <c r="K75" i="6"/>
  <c r="K76" i="6"/>
  <c r="K77" i="6"/>
  <c r="K78" i="6"/>
  <c r="K79" i="6"/>
  <c r="K80" i="6"/>
  <c r="K81" i="6"/>
  <c r="K82" i="6"/>
  <c r="K83" i="6"/>
  <c r="K84" i="6"/>
  <c r="K85" i="6"/>
  <c r="K86" i="6"/>
  <c r="K87" i="6"/>
  <c r="K88" i="6"/>
  <c r="K89" i="6"/>
  <c r="K90" i="6"/>
  <c r="K91" i="6"/>
  <c r="K92" i="6"/>
  <c r="K93" i="6"/>
  <c r="K94" i="6"/>
  <c r="K95" i="6"/>
  <c r="K47" i="6"/>
  <c r="K96" i="6"/>
  <c r="K97" i="6"/>
  <c r="K98" i="6"/>
  <c r="K99" i="6"/>
  <c r="K100"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13" i="6"/>
  <c r="K14" i="6"/>
  <c r="K15" i="6"/>
  <c r="K239" i="6"/>
  <c r="K16" i="6"/>
  <c r="K17" i="6"/>
  <c r="K19" i="6"/>
  <c r="Q66" i="22"/>
  <c r="P66" i="22"/>
  <c r="P67" i="22"/>
  <c r="K66" i="22"/>
  <c r="L66" i="22" s="1"/>
  <c r="K67" i="22"/>
  <c r="M66" i="22" l="1"/>
  <c r="O66" i="22" s="1"/>
  <c r="O146" i="6"/>
  <c r="AI55" i="33"/>
  <c r="A56" i="33"/>
  <c r="P332" i="34" l="1"/>
  <c r="Q332" i="34" s="1"/>
  <c r="S332" i="34" s="1"/>
  <c r="V66" i="22"/>
  <c r="AI56" i="33"/>
  <c r="A57" i="33"/>
  <c r="AI57" i="33" l="1"/>
  <c r="A58" i="33"/>
  <c r="AI58" i="33" l="1"/>
  <c r="A59" i="33"/>
  <c r="AI59" i="33" l="1"/>
  <c r="A60" i="33"/>
  <c r="AI60" i="33" l="1"/>
  <c r="A61" i="33"/>
  <c r="AI61" i="33" l="1"/>
  <c r="A62" i="33"/>
  <c r="AI62" i="33" l="1"/>
  <c r="A63" i="33"/>
  <c r="AI63" i="33" l="1"/>
  <c r="A64" i="33"/>
  <c r="AI64" i="33" l="1"/>
  <c r="A65" i="33"/>
  <c r="AI65" i="33" l="1"/>
  <c r="A66" i="33"/>
  <c r="P14" i="22"/>
  <c r="P15" i="22"/>
  <c r="P16" i="22"/>
  <c r="P17" i="22"/>
  <c r="P18" i="22"/>
  <c r="P19" i="22"/>
  <c r="P20" i="22"/>
  <c r="P21" i="22"/>
  <c r="P23"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8" i="22"/>
  <c r="P69" i="22"/>
  <c r="P70" i="22"/>
  <c r="P71" i="22"/>
  <c r="P72" i="22"/>
  <c r="P73" i="22"/>
  <c r="P74" i="22"/>
  <c r="P75" i="22"/>
  <c r="P13" i="22"/>
  <c r="AI66" i="33" l="1"/>
  <c r="A67" i="33"/>
  <c r="S76" i="22"/>
  <c r="P76" i="22"/>
  <c r="Q15" i="22"/>
  <c r="Q16" i="22"/>
  <c r="Q17" i="22"/>
  <c r="Q18" i="22"/>
  <c r="Q19" i="22"/>
  <c r="Q20" i="22"/>
  <c r="Q21"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7" i="22"/>
  <c r="Q68" i="22"/>
  <c r="Q69" i="22"/>
  <c r="Q70" i="22"/>
  <c r="Q71" i="22"/>
  <c r="Q72" i="22"/>
  <c r="Q73" i="22"/>
  <c r="Q74" i="22"/>
  <c r="Q75" i="22"/>
  <c r="Q14" i="22"/>
  <c r="Q13" i="22"/>
  <c r="K14" i="22"/>
  <c r="L14" i="22" s="1"/>
  <c r="M14" i="22" s="1"/>
  <c r="K15" i="22"/>
  <c r="L15" i="22" s="1"/>
  <c r="K16" i="22"/>
  <c r="L16" i="22" s="1"/>
  <c r="K17" i="22"/>
  <c r="L17" i="22" s="1"/>
  <c r="K18" i="22"/>
  <c r="L18" i="22" s="1"/>
  <c r="K19" i="22"/>
  <c r="L19" i="22" s="1"/>
  <c r="K20" i="22"/>
  <c r="L20" i="22" s="1"/>
  <c r="K21" i="22"/>
  <c r="L21" i="22" s="1"/>
  <c r="K23" i="22"/>
  <c r="L23" i="22" s="1"/>
  <c r="K24" i="22"/>
  <c r="L24" i="22" s="1"/>
  <c r="K25" i="22"/>
  <c r="L25" i="22" s="1"/>
  <c r="K26" i="22"/>
  <c r="L26" i="22" s="1"/>
  <c r="K27" i="22"/>
  <c r="L27" i="22" s="1"/>
  <c r="K28" i="22"/>
  <c r="L28" i="22" s="1"/>
  <c r="K29" i="22"/>
  <c r="L29" i="22" s="1"/>
  <c r="K30" i="22"/>
  <c r="L30" i="22" s="1"/>
  <c r="K31" i="22"/>
  <c r="L31" i="22" s="1"/>
  <c r="K32" i="22"/>
  <c r="L32" i="22" s="1"/>
  <c r="K33" i="22"/>
  <c r="L33" i="22" s="1"/>
  <c r="K34" i="22"/>
  <c r="L34" i="22" s="1"/>
  <c r="K35" i="22"/>
  <c r="L35" i="22" s="1"/>
  <c r="K36" i="22"/>
  <c r="L36" i="22" s="1"/>
  <c r="K37" i="22"/>
  <c r="L37" i="22" s="1"/>
  <c r="K38" i="22"/>
  <c r="L38" i="22" s="1"/>
  <c r="K39" i="22"/>
  <c r="L39" i="22" s="1"/>
  <c r="K40" i="22"/>
  <c r="L40" i="22" s="1"/>
  <c r="K41" i="22"/>
  <c r="L41" i="22" s="1"/>
  <c r="K42" i="22"/>
  <c r="L42" i="22" s="1"/>
  <c r="K43" i="22"/>
  <c r="L43" i="22" s="1"/>
  <c r="K44" i="22"/>
  <c r="L44" i="22" s="1"/>
  <c r="K45" i="22"/>
  <c r="L45" i="22" s="1"/>
  <c r="K46" i="22"/>
  <c r="L46" i="22" s="1"/>
  <c r="K47" i="22"/>
  <c r="L47" i="22" s="1"/>
  <c r="K48" i="22"/>
  <c r="L48" i="22" s="1"/>
  <c r="K49" i="22"/>
  <c r="L49" i="22" s="1"/>
  <c r="K50" i="22"/>
  <c r="L50" i="22" s="1"/>
  <c r="K51" i="22"/>
  <c r="L51" i="22" s="1"/>
  <c r="K52" i="22"/>
  <c r="L52" i="22" s="1"/>
  <c r="K53" i="22"/>
  <c r="L53" i="22" s="1"/>
  <c r="K54" i="22"/>
  <c r="L54" i="22" s="1"/>
  <c r="K55" i="22"/>
  <c r="L55" i="22" s="1"/>
  <c r="K56" i="22"/>
  <c r="L56" i="22" s="1"/>
  <c r="K57" i="22"/>
  <c r="L57" i="22" s="1"/>
  <c r="K58" i="22"/>
  <c r="L58" i="22" s="1"/>
  <c r="K59" i="22"/>
  <c r="L59" i="22" s="1"/>
  <c r="K60" i="22"/>
  <c r="L60" i="22" s="1"/>
  <c r="K61" i="22"/>
  <c r="L61" i="22" s="1"/>
  <c r="K62" i="22"/>
  <c r="L62" i="22" s="1"/>
  <c r="K63" i="22"/>
  <c r="L63" i="22" s="1"/>
  <c r="K64" i="22"/>
  <c r="L64" i="22" s="1"/>
  <c r="K65" i="22"/>
  <c r="L65" i="22" s="1"/>
  <c r="L67" i="22"/>
  <c r="K68" i="22"/>
  <c r="L68" i="22" s="1"/>
  <c r="K69" i="22"/>
  <c r="L69" i="22" s="1"/>
  <c r="K70" i="22"/>
  <c r="L70" i="22" s="1"/>
  <c r="K71" i="22"/>
  <c r="L71" i="22" s="1"/>
  <c r="K72" i="22"/>
  <c r="L72" i="22" s="1"/>
  <c r="K73" i="22"/>
  <c r="L73" i="22" s="1"/>
  <c r="K74" i="22"/>
  <c r="L74" i="22" s="1"/>
  <c r="K75" i="22"/>
  <c r="L75" i="22" s="1"/>
  <c r="K13" i="22"/>
  <c r="L13" i="22" s="1"/>
  <c r="M13" i="22" s="1"/>
  <c r="M74" i="22" l="1"/>
  <c r="O74" i="22" s="1"/>
  <c r="M70" i="22"/>
  <c r="O70" i="22" s="1"/>
  <c r="M67" i="22"/>
  <c r="O67" i="22" s="1"/>
  <c r="M62" i="22"/>
  <c r="O62" i="22" s="1"/>
  <c r="M58" i="22"/>
  <c r="O58" i="22" s="1"/>
  <c r="M54" i="22"/>
  <c r="O54" i="22" s="1"/>
  <c r="M50" i="22"/>
  <c r="O50" i="22" s="1"/>
  <c r="M46" i="22"/>
  <c r="O46" i="22" s="1"/>
  <c r="M42" i="22"/>
  <c r="O42" i="22" s="1"/>
  <c r="M38" i="22"/>
  <c r="O38" i="22" s="1"/>
  <c r="M34" i="22"/>
  <c r="O34" i="22" s="1"/>
  <c r="M30" i="22"/>
  <c r="O30" i="22" s="1"/>
  <c r="M26" i="22"/>
  <c r="O26" i="22" s="1"/>
  <c r="M21" i="22"/>
  <c r="O21" i="22" s="1"/>
  <c r="M17" i="22"/>
  <c r="O17" i="22" s="1"/>
  <c r="M73" i="22"/>
  <c r="O73" i="22" s="1"/>
  <c r="M69" i="22"/>
  <c r="O69" i="22" s="1"/>
  <c r="M65" i="22"/>
  <c r="O65" i="22" s="1"/>
  <c r="M61" i="22"/>
  <c r="O61" i="22" s="1"/>
  <c r="M57" i="22"/>
  <c r="O57" i="22" s="1"/>
  <c r="M53" i="22"/>
  <c r="O53" i="22" s="1"/>
  <c r="M49" i="22"/>
  <c r="O49" i="22" s="1"/>
  <c r="M45" i="22"/>
  <c r="O45" i="22" s="1"/>
  <c r="M41" i="22"/>
  <c r="O41" i="22" s="1"/>
  <c r="M37" i="22"/>
  <c r="O37" i="22" s="1"/>
  <c r="M33" i="22"/>
  <c r="O33" i="22" s="1"/>
  <c r="M29" i="22"/>
  <c r="O29" i="22" s="1"/>
  <c r="M25" i="22"/>
  <c r="O25" i="22" s="1"/>
  <c r="M20" i="22"/>
  <c r="O20" i="22" s="1"/>
  <c r="M72" i="22"/>
  <c r="O72" i="22" s="1"/>
  <c r="M64" i="22"/>
  <c r="O64" i="22" s="1"/>
  <c r="M60" i="22"/>
  <c r="O60" i="22" s="1"/>
  <c r="M56" i="22"/>
  <c r="O56" i="22" s="1"/>
  <c r="M52" i="22"/>
  <c r="O52" i="22" s="1"/>
  <c r="M48" i="22"/>
  <c r="O48" i="22" s="1"/>
  <c r="M44" i="22"/>
  <c r="O44" i="22" s="1"/>
  <c r="M40" i="22"/>
  <c r="O40" i="22" s="1"/>
  <c r="M36" i="22"/>
  <c r="O36" i="22" s="1"/>
  <c r="M32" i="22"/>
  <c r="O32" i="22" s="1"/>
  <c r="M28" i="22"/>
  <c r="O28" i="22" s="1"/>
  <c r="M24" i="22"/>
  <c r="O24" i="22" s="1"/>
  <c r="M19" i="22"/>
  <c r="O19" i="22" s="1"/>
  <c r="M16" i="22"/>
  <c r="O16" i="22" s="1"/>
  <c r="M75" i="22"/>
  <c r="O75" i="22" s="1"/>
  <c r="M71" i="22"/>
  <c r="O71" i="22" s="1"/>
  <c r="M68" i="22"/>
  <c r="O68" i="22" s="1"/>
  <c r="M63" i="22"/>
  <c r="O63" i="22" s="1"/>
  <c r="M59" i="22"/>
  <c r="O59" i="22" s="1"/>
  <c r="M55" i="22"/>
  <c r="O55" i="22" s="1"/>
  <c r="M51" i="22"/>
  <c r="O51" i="22" s="1"/>
  <c r="M47" i="22"/>
  <c r="O47" i="22" s="1"/>
  <c r="M43" i="22"/>
  <c r="O43" i="22" s="1"/>
  <c r="M39" i="22"/>
  <c r="O39" i="22" s="1"/>
  <c r="M35" i="22"/>
  <c r="O35" i="22" s="1"/>
  <c r="M31" i="22"/>
  <c r="O31" i="22" s="1"/>
  <c r="M27" i="22"/>
  <c r="O27" i="22" s="1"/>
  <c r="M23" i="22"/>
  <c r="O23" i="22" s="1"/>
  <c r="M18" i="22"/>
  <c r="O18" i="22" s="1"/>
  <c r="M15" i="22"/>
  <c r="O15" i="22" s="1"/>
  <c r="AI67" i="33"/>
  <c r="A68" i="33"/>
  <c r="Q76" i="22"/>
  <c r="K76" i="22"/>
  <c r="V15" i="22" l="1"/>
  <c r="P281" i="34" s="1"/>
  <c r="Q281" i="34" s="1"/>
  <c r="S281" i="34" s="1"/>
  <c r="V47" i="22"/>
  <c r="P313" i="34" s="1"/>
  <c r="Q313" i="34" s="1"/>
  <c r="S313" i="34" s="1"/>
  <c r="V63" i="22"/>
  <c r="P329" i="34" s="1"/>
  <c r="Q329" i="34" s="1"/>
  <c r="S329" i="34" s="1"/>
  <c r="V18" i="22"/>
  <c r="P285" i="34" s="1"/>
  <c r="Q285" i="34" s="1"/>
  <c r="S285" i="34" s="1"/>
  <c r="V35" i="22"/>
  <c r="P301" i="34" s="1"/>
  <c r="Q301" i="34" s="1"/>
  <c r="S301" i="34" s="1"/>
  <c r="V51" i="22"/>
  <c r="P317" i="34" s="1"/>
  <c r="Q317" i="34" s="1"/>
  <c r="S317" i="34" s="1"/>
  <c r="V68" i="22"/>
  <c r="P334" i="34" s="1"/>
  <c r="Q334" i="34" s="1"/>
  <c r="S334" i="34" s="1"/>
  <c r="V19" i="22"/>
  <c r="P286" i="34" s="1"/>
  <c r="Q286" i="34" s="1"/>
  <c r="S286" i="34" s="1"/>
  <c r="V36" i="22"/>
  <c r="P302" i="34" s="1"/>
  <c r="Q302" i="34" s="1"/>
  <c r="S302" i="34" s="1"/>
  <c r="V52" i="22"/>
  <c r="P318" i="34" s="1"/>
  <c r="Q318" i="34" s="1"/>
  <c r="S318" i="34" s="1"/>
  <c r="P335" i="34"/>
  <c r="Q335" i="34" s="1"/>
  <c r="S335" i="34" s="1"/>
  <c r="P291" i="34"/>
  <c r="Q291" i="34" s="1"/>
  <c r="S291" i="34" s="1"/>
  <c r="V25" i="22"/>
  <c r="V41" i="22"/>
  <c r="P307" i="34" s="1"/>
  <c r="Q307" i="34" s="1"/>
  <c r="S307" i="34" s="1"/>
  <c r="P323" i="34"/>
  <c r="Q323" i="34" s="1"/>
  <c r="S323" i="34" s="1"/>
  <c r="V57" i="22"/>
  <c r="V73" i="22"/>
  <c r="P340" i="34" s="1"/>
  <c r="Q340" i="34" s="1"/>
  <c r="S340" i="34" s="1"/>
  <c r="P296" i="34"/>
  <c r="Q296" i="34" s="1"/>
  <c r="S296" i="34" s="1"/>
  <c r="V30" i="22"/>
  <c r="V46" i="22"/>
  <c r="P312" i="34" s="1"/>
  <c r="Q312" i="34" s="1"/>
  <c r="S312" i="34" s="1"/>
  <c r="P328" i="34"/>
  <c r="Q328" i="34" s="1"/>
  <c r="S328" i="34" s="1"/>
  <c r="V62" i="22"/>
  <c r="V39" i="22"/>
  <c r="P305" i="34" s="1"/>
  <c r="Q305" i="34" s="1"/>
  <c r="S305" i="34" s="1"/>
  <c r="P338" i="34"/>
  <c r="Q338" i="34" s="1"/>
  <c r="S338" i="34" s="1"/>
  <c r="V71" i="22"/>
  <c r="V24" i="22"/>
  <c r="P290" i="34" s="1"/>
  <c r="Q290" i="34" s="1"/>
  <c r="S290" i="34" s="1"/>
  <c r="P306" i="34"/>
  <c r="Q306" i="34" s="1"/>
  <c r="S306" i="34" s="1"/>
  <c r="V40" i="22"/>
  <c r="V56" i="22"/>
  <c r="P322" i="34" s="1"/>
  <c r="Q322" i="34" s="1"/>
  <c r="S322" i="34" s="1"/>
  <c r="P339" i="34"/>
  <c r="Q339" i="34" s="1"/>
  <c r="S339" i="34" s="1"/>
  <c r="V72" i="22"/>
  <c r="V29" i="22"/>
  <c r="P295" i="34" s="1"/>
  <c r="Q295" i="34" s="1"/>
  <c r="S295" i="34" s="1"/>
  <c r="P311" i="34"/>
  <c r="Q311" i="34" s="1"/>
  <c r="S311" i="34" s="1"/>
  <c r="V45" i="22"/>
  <c r="V61" i="22"/>
  <c r="P327" i="34" s="1"/>
  <c r="Q327" i="34" s="1"/>
  <c r="S327" i="34" s="1"/>
  <c r="P284" i="34"/>
  <c r="Q284" i="34" s="1"/>
  <c r="S284" i="34" s="1"/>
  <c r="V17" i="22"/>
  <c r="V34" i="22"/>
  <c r="P300" i="34" s="1"/>
  <c r="Q300" i="34" s="1"/>
  <c r="S300" i="34" s="1"/>
  <c r="P316" i="34"/>
  <c r="Q316" i="34" s="1"/>
  <c r="S316" i="34" s="1"/>
  <c r="V50" i="22"/>
  <c r="V67" i="22"/>
  <c r="P333" i="34" s="1"/>
  <c r="Q333" i="34" s="1"/>
  <c r="S333" i="34" s="1"/>
  <c r="P289" i="34"/>
  <c r="Q289" i="34" s="1"/>
  <c r="S289" i="34" s="1"/>
  <c r="V23" i="22"/>
  <c r="V55" i="22"/>
  <c r="P321" i="34" s="1"/>
  <c r="Q321" i="34" s="1"/>
  <c r="S321" i="34" s="1"/>
  <c r="P293" i="34"/>
  <c r="Q293" i="34" s="1"/>
  <c r="S293" i="34" s="1"/>
  <c r="V27" i="22"/>
  <c r="V43" i="22"/>
  <c r="P309" i="34" s="1"/>
  <c r="Q309" i="34" s="1"/>
  <c r="S309" i="34" s="1"/>
  <c r="P325" i="34"/>
  <c r="Q325" i="34" s="1"/>
  <c r="S325" i="34" s="1"/>
  <c r="V59" i="22"/>
  <c r="V75" i="22"/>
  <c r="P342" i="34" s="1"/>
  <c r="Q342" i="34" s="1"/>
  <c r="S342" i="34" s="1"/>
  <c r="P294" i="34"/>
  <c r="Q294" i="34" s="1"/>
  <c r="S294" i="34" s="1"/>
  <c r="V28" i="22"/>
  <c r="V44" i="22"/>
  <c r="P310" i="34" s="1"/>
  <c r="Q310" i="34" s="1"/>
  <c r="S310" i="34" s="1"/>
  <c r="P326" i="34"/>
  <c r="Q326" i="34" s="1"/>
  <c r="S326" i="34" s="1"/>
  <c r="V60" i="22"/>
  <c r="P283" i="34"/>
  <c r="Q283" i="34" s="1"/>
  <c r="S283" i="34" s="1"/>
  <c r="V33" i="22"/>
  <c r="P299" i="34" s="1"/>
  <c r="Q299" i="34" s="1"/>
  <c r="S299" i="34" s="1"/>
  <c r="V49" i="22"/>
  <c r="P315" i="34" s="1"/>
  <c r="Q315" i="34" s="1"/>
  <c r="S315" i="34" s="1"/>
  <c r="V65" i="22"/>
  <c r="P331" i="34" s="1"/>
  <c r="Q331" i="34" s="1"/>
  <c r="S331" i="34" s="1"/>
  <c r="V21" i="22"/>
  <c r="P288" i="34" s="1"/>
  <c r="Q288" i="34" s="1"/>
  <c r="S288" i="34" s="1"/>
  <c r="V38" i="22"/>
  <c r="P304" i="34" s="1"/>
  <c r="Q304" i="34" s="1"/>
  <c r="S304" i="34" s="1"/>
  <c r="V54" i="22"/>
  <c r="P320" i="34" s="1"/>
  <c r="Q320" i="34" s="1"/>
  <c r="S320" i="34" s="1"/>
  <c r="V70" i="22"/>
  <c r="P337" i="34" s="1"/>
  <c r="Q337" i="34" s="1"/>
  <c r="S337" i="34" s="1"/>
  <c r="V31" i="22"/>
  <c r="P297" i="34" s="1"/>
  <c r="Q297" i="34" s="1"/>
  <c r="S297" i="34" s="1"/>
  <c r="V16" i="22"/>
  <c r="P282" i="34" s="1"/>
  <c r="Q282" i="34" s="1"/>
  <c r="S282" i="34" s="1"/>
  <c r="V32" i="22"/>
  <c r="P298" i="34" s="1"/>
  <c r="Q298" i="34" s="1"/>
  <c r="S298" i="34" s="1"/>
  <c r="V48" i="22"/>
  <c r="P314" i="34" s="1"/>
  <c r="Q314" i="34" s="1"/>
  <c r="S314" i="34" s="1"/>
  <c r="V64" i="22"/>
  <c r="P330" i="34" s="1"/>
  <c r="Q330" i="34" s="1"/>
  <c r="S330" i="34" s="1"/>
  <c r="V20" i="22"/>
  <c r="P287" i="34" s="1"/>
  <c r="Q287" i="34" s="1"/>
  <c r="S287" i="34" s="1"/>
  <c r="V37" i="22"/>
  <c r="P303" i="34" s="1"/>
  <c r="Q303" i="34" s="1"/>
  <c r="S303" i="34" s="1"/>
  <c r="V53" i="22"/>
  <c r="P319" i="34" s="1"/>
  <c r="Q319" i="34" s="1"/>
  <c r="S319" i="34" s="1"/>
  <c r="V69" i="22"/>
  <c r="P336" i="34" s="1"/>
  <c r="Q336" i="34" s="1"/>
  <c r="S336" i="34" s="1"/>
  <c r="V26" i="22"/>
  <c r="P292" i="34" s="1"/>
  <c r="Q292" i="34" s="1"/>
  <c r="S292" i="34" s="1"/>
  <c r="V42" i="22"/>
  <c r="P308" i="34" s="1"/>
  <c r="Q308" i="34" s="1"/>
  <c r="S308" i="34" s="1"/>
  <c r="V58" i="22"/>
  <c r="P324" i="34" s="1"/>
  <c r="Q324" i="34" s="1"/>
  <c r="S324" i="34" s="1"/>
  <c r="V74" i="22"/>
  <c r="P341" i="34" s="1"/>
  <c r="Q341" i="34" s="1"/>
  <c r="S341" i="34" s="1"/>
  <c r="AI68" i="33"/>
  <c r="A69" i="33"/>
  <c r="L76" i="22"/>
  <c r="AI69" i="33" l="1"/>
  <c r="A70" i="33"/>
  <c r="M76" i="22"/>
  <c r="I16" i="31"/>
  <c r="L16" i="31" s="1"/>
  <c r="T15" i="31"/>
  <c r="L15" i="31"/>
  <c r="I15" i="31"/>
  <c r="Q14" i="31"/>
  <c r="T14" i="31" s="1"/>
  <c r="L14" i="31"/>
  <c r="I14" i="31"/>
  <c r="I13" i="31"/>
  <c r="Q12" i="31"/>
  <c r="L12" i="31"/>
  <c r="I12" i="31"/>
  <c r="Q11" i="31"/>
  <c r="T11" i="31" s="1"/>
  <c r="T10" i="31"/>
  <c r="Q10" i="31"/>
  <c r="I10" i="31"/>
  <c r="L10" i="31" s="1"/>
  <c r="Q9" i="31"/>
  <c r="I9" i="31"/>
  <c r="AI70" i="33" l="1"/>
  <c r="A71" i="33"/>
  <c r="T18" i="21"/>
  <c r="I18" i="21"/>
  <c r="L18" i="21" s="1"/>
  <c r="T17" i="21"/>
  <c r="I17" i="21"/>
  <c r="L17" i="21" s="1"/>
  <c r="T16" i="21"/>
  <c r="L16" i="21"/>
  <c r="I16" i="21"/>
  <c r="T15" i="21"/>
  <c r="I15" i="21"/>
  <c r="L15" i="21" s="1"/>
  <c r="Q14" i="21"/>
  <c r="T14" i="21" s="1"/>
  <c r="I14" i="21"/>
  <c r="L14" i="21" s="1"/>
  <c r="Q13" i="21"/>
  <c r="T13" i="21" s="1"/>
  <c r="I13" i="21"/>
  <c r="L13" i="21" s="1"/>
  <c r="Q12" i="21"/>
  <c r="T12" i="21" s="1"/>
  <c r="I12" i="21"/>
  <c r="L12" i="21" s="1"/>
  <c r="I11" i="21"/>
  <c r="Q10" i="21"/>
  <c r="I10" i="21"/>
  <c r="L10" i="21" s="1"/>
  <c r="Q9" i="21"/>
  <c r="I9" i="21"/>
  <c r="AI71" i="33" l="1"/>
  <c r="A72" i="33"/>
  <c r="AI72" i="33" l="1"/>
  <c r="A73" i="33"/>
  <c r="O14" i="22"/>
  <c r="O13" i="22"/>
  <c r="P279" i="34" l="1"/>
  <c r="Q279" i="34" s="1"/>
  <c r="S279" i="34" s="1"/>
  <c r="V13" i="22"/>
  <c r="P280" i="34"/>
  <c r="Q280" i="34" s="1"/>
  <c r="S280" i="34" s="1"/>
  <c r="V14" i="22"/>
  <c r="O76" i="22"/>
  <c r="AI73" i="33"/>
  <c r="A74" i="33"/>
  <c r="S343" i="34" l="1"/>
  <c r="Q343" i="34"/>
  <c r="AI74" i="33"/>
  <c r="A75" i="33"/>
  <c r="AI75" i="33" l="1"/>
  <c r="A76" i="33"/>
  <c r="AI76" i="33" l="1"/>
  <c r="A77" i="33"/>
  <c r="AI77" i="33" l="1"/>
  <c r="A78" i="33"/>
  <c r="AI78" i="33" l="1"/>
  <c r="A79" i="33"/>
  <c r="AI79" i="33" l="1"/>
  <c r="A80" i="33"/>
  <c r="AI80" i="33" l="1"/>
  <c r="A81" i="33"/>
  <c r="AI81" i="33" l="1"/>
  <c r="A82" i="33"/>
  <c r="AI82" i="33" l="1"/>
  <c r="A83" i="33"/>
  <c r="AI83" i="33" l="1"/>
  <c r="A84" i="33"/>
  <c r="K272" i="6"/>
  <c r="H271" i="6"/>
  <c r="O271" i="6" s="1"/>
  <c r="H270" i="6"/>
  <c r="O270" i="6" s="1"/>
  <c r="H269" i="6"/>
  <c r="O269" i="6" s="1"/>
  <c r="H268" i="6"/>
  <c r="O268" i="6" s="1"/>
  <c r="H267" i="6"/>
  <c r="O267" i="6" s="1"/>
  <c r="H266" i="6"/>
  <c r="O266" i="6" s="1"/>
  <c r="H265" i="6"/>
  <c r="O265" i="6" s="1"/>
  <c r="H264" i="6"/>
  <c r="O264" i="6" s="1"/>
  <c r="H263" i="6"/>
  <c r="O263" i="6" s="1"/>
  <c r="H262" i="6"/>
  <c r="O262" i="6" s="1"/>
  <c r="H261" i="6"/>
  <c r="O261" i="6" s="1"/>
  <c r="H260" i="6"/>
  <c r="O260" i="6" s="1"/>
  <c r="H259" i="6"/>
  <c r="O259" i="6" s="1"/>
  <c r="H258" i="6"/>
  <c r="O258" i="6" s="1"/>
  <c r="H257" i="6"/>
  <c r="O257" i="6" s="1"/>
  <c r="H256" i="6"/>
  <c r="O256" i="6" s="1"/>
  <c r="H255" i="6"/>
  <c r="O255" i="6" s="1"/>
  <c r="H254" i="6"/>
  <c r="O254" i="6" s="1"/>
  <c r="H253" i="6"/>
  <c r="O253" i="6" s="1"/>
  <c r="H252" i="6"/>
  <c r="O252" i="6" s="1"/>
  <c r="H251" i="6"/>
  <c r="O251" i="6" s="1"/>
  <c r="H250" i="6"/>
  <c r="O250" i="6" s="1"/>
  <c r="H249" i="6"/>
  <c r="O249" i="6" s="1"/>
  <c r="H248" i="6"/>
  <c r="O248" i="6" s="1"/>
  <c r="H247" i="6"/>
  <c r="O247" i="6" s="1"/>
  <c r="H246" i="6"/>
  <c r="O246" i="6" s="1"/>
  <c r="H245" i="6"/>
  <c r="O245" i="6" s="1"/>
  <c r="H244" i="6"/>
  <c r="O244" i="6" s="1"/>
  <c r="H243" i="6"/>
  <c r="O243" i="6" s="1"/>
  <c r="H242" i="6"/>
  <c r="O242" i="6" s="1"/>
  <c r="H241" i="6"/>
  <c r="O241" i="6" s="1"/>
  <c r="H240" i="6"/>
  <c r="O240" i="6" s="1"/>
  <c r="H238" i="6"/>
  <c r="O238" i="6" s="1"/>
  <c r="H237" i="6"/>
  <c r="O237" i="6" s="1"/>
  <c r="H236" i="6"/>
  <c r="O236" i="6" s="1"/>
  <c r="H235" i="6"/>
  <c r="O235" i="6" s="1"/>
  <c r="H234" i="6"/>
  <c r="O234" i="6" s="1"/>
  <c r="H233" i="6"/>
  <c r="O233" i="6" s="1"/>
  <c r="H232" i="6"/>
  <c r="O232" i="6" s="1"/>
  <c r="H231" i="6"/>
  <c r="O231" i="6" s="1"/>
  <c r="H230" i="6"/>
  <c r="O230" i="6" s="1"/>
  <c r="H229" i="6"/>
  <c r="O229" i="6" s="1"/>
  <c r="H228" i="6"/>
  <c r="O228" i="6" s="1"/>
  <c r="H227" i="6"/>
  <c r="O227" i="6" s="1"/>
  <c r="H226" i="6"/>
  <c r="O226" i="6" s="1"/>
  <c r="H225" i="6"/>
  <c r="O225" i="6" s="1"/>
  <c r="H224" i="6"/>
  <c r="O224" i="6" s="1"/>
  <c r="H223" i="6"/>
  <c r="O223" i="6" s="1"/>
  <c r="H222" i="6"/>
  <c r="O222" i="6" s="1"/>
  <c r="H221" i="6"/>
  <c r="O221" i="6" s="1"/>
  <c r="H220" i="6"/>
  <c r="O220" i="6" s="1"/>
  <c r="H219" i="6"/>
  <c r="O219" i="6" s="1"/>
  <c r="H218" i="6"/>
  <c r="O218" i="6" s="1"/>
  <c r="H217" i="6"/>
  <c r="O217" i="6" s="1"/>
  <c r="H216" i="6"/>
  <c r="O216" i="6" s="1"/>
  <c r="H215" i="6"/>
  <c r="O215" i="6" s="1"/>
  <c r="H214" i="6"/>
  <c r="O214" i="6" s="1"/>
  <c r="H213" i="6"/>
  <c r="O213" i="6" s="1"/>
  <c r="H212" i="6"/>
  <c r="O212" i="6" s="1"/>
  <c r="H211" i="6"/>
  <c r="O211" i="6" s="1"/>
  <c r="I210" i="6"/>
  <c r="H210" i="6"/>
  <c r="H209" i="6"/>
  <c r="O209" i="6" s="1"/>
  <c r="H208" i="6"/>
  <c r="O208" i="6" s="1"/>
  <c r="H207" i="6"/>
  <c r="O207" i="6" s="1"/>
  <c r="H206" i="6"/>
  <c r="O206" i="6" s="1"/>
  <c r="H205" i="6"/>
  <c r="O205" i="6" s="1"/>
  <c r="H204" i="6"/>
  <c r="O204" i="6" s="1"/>
  <c r="H203" i="6"/>
  <c r="O203" i="6" s="1"/>
  <c r="H202" i="6"/>
  <c r="O202" i="6" s="1"/>
  <c r="H201" i="6"/>
  <c r="O201" i="6" s="1"/>
  <c r="H200" i="6"/>
  <c r="O200" i="6" s="1"/>
  <c r="H199" i="6"/>
  <c r="O199" i="6" s="1"/>
  <c r="H198" i="6"/>
  <c r="O198" i="6" s="1"/>
  <c r="H197" i="6"/>
  <c r="O197" i="6" s="1"/>
  <c r="H196" i="6"/>
  <c r="O196" i="6" s="1"/>
  <c r="H195" i="6"/>
  <c r="O195" i="6" s="1"/>
  <c r="H194" i="6"/>
  <c r="O194" i="6" s="1"/>
  <c r="H193" i="6"/>
  <c r="O193" i="6" s="1"/>
  <c r="H192" i="6"/>
  <c r="O192" i="6" s="1"/>
  <c r="H191" i="6"/>
  <c r="O191" i="6" s="1"/>
  <c r="H190" i="6"/>
  <c r="O190" i="6" s="1"/>
  <c r="H189" i="6"/>
  <c r="O189" i="6" s="1"/>
  <c r="H188" i="6"/>
  <c r="O188" i="6" s="1"/>
  <c r="H187" i="6"/>
  <c r="O187" i="6" s="1"/>
  <c r="I186" i="6"/>
  <c r="H186" i="6"/>
  <c r="H185" i="6"/>
  <c r="O185" i="6" s="1"/>
  <c r="H184" i="6"/>
  <c r="O184" i="6" s="1"/>
  <c r="H183" i="6"/>
  <c r="O183" i="6" s="1"/>
  <c r="H182" i="6"/>
  <c r="O182" i="6" s="1"/>
  <c r="H181" i="6"/>
  <c r="O181" i="6" s="1"/>
  <c r="H180" i="6"/>
  <c r="O180" i="6" s="1"/>
  <c r="H179" i="6"/>
  <c r="O179" i="6" s="1"/>
  <c r="H178" i="6"/>
  <c r="O178" i="6" s="1"/>
  <c r="H177" i="6"/>
  <c r="O177" i="6" s="1"/>
  <c r="H176" i="6"/>
  <c r="O176" i="6" s="1"/>
  <c r="H175" i="6"/>
  <c r="O175" i="6" s="1"/>
  <c r="H174" i="6"/>
  <c r="O174" i="6" s="1"/>
  <c r="H173" i="6"/>
  <c r="O173" i="6" s="1"/>
  <c r="H172" i="6"/>
  <c r="O172" i="6" s="1"/>
  <c r="H171" i="6"/>
  <c r="O171" i="6" s="1"/>
  <c r="H170" i="6"/>
  <c r="O170" i="6" s="1"/>
  <c r="H169" i="6"/>
  <c r="O169" i="6" s="1"/>
  <c r="H168" i="6"/>
  <c r="O168" i="6" s="1"/>
  <c r="H167" i="6"/>
  <c r="O167" i="6" s="1"/>
  <c r="H166" i="6"/>
  <c r="O166" i="6" s="1"/>
  <c r="H165" i="6"/>
  <c r="O165" i="6" s="1"/>
  <c r="H164" i="6"/>
  <c r="O164" i="6" s="1"/>
  <c r="H163" i="6"/>
  <c r="O163" i="6" s="1"/>
  <c r="H162" i="6"/>
  <c r="O162" i="6" s="1"/>
  <c r="H161" i="6"/>
  <c r="O161" i="6" s="1"/>
  <c r="H160" i="6"/>
  <c r="O160" i="6" s="1"/>
  <c r="H159" i="6"/>
  <c r="O159" i="6" s="1"/>
  <c r="H158" i="6"/>
  <c r="O158" i="6" s="1"/>
  <c r="H157" i="6"/>
  <c r="O157" i="6" s="1"/>
  <c r="H156" i="6"/>
  <c r="O156" i="6" s="1"/>
  <c r="H155" i="6"/>
  <c r="O155" i="6" s="1"/>
  <c r="H154" i="6"/>
  <c r="O154" i="6" s="1"/>
  <c r="H153" i="6"/>
  <c r="O153" i="6" s="1"/>
  <c r="H152" i="6"/>
  <c r="O152" i="6" s="1"/>
  <c r="H151" i="6"/>
  <c r="O151" i="6" s="1"/>
  <c r="H150" i="6"/>
  <c r="O150" i="6" s="1"/>
  <c r="H149" i="6"/>
  <c r="O149" i="6" s="1"/>
  <c r="H148" i="6"/>
  <c r="H145" i="6"/>
  <c r="O145" i="6" s="1"/>
  <c r="H144" i="6"/>
  <c r="O144" i="6" s="1"/>
  <c r="H143" i="6"/>
  <c r="O143" i="6" s="1"/>
  <c r="H142" i="6"/>
  <c r="O142" i="6" s="1"/>
  <c r="H141" i="6"/>
  <c r="O141" i="6" s="1"/>
  <c r="H140" i="6"/>
  <c r="O140" i="6" s="1"/>
  <c r="H139" i="6"/>
  <c r="O139" i="6" s="1"/>
  <c r="H138" i="6"/>
  <c r="O138" i="6" s="1"/>
  <c r="H137" i="6"/>
  <c r="O137" i="6" s="1"/>
  <c r="H136" i="6"/>
  <c r="O136" i="6" s="1"/>
  <c r="H135" i="6"/>
  <c r="O135" i="6" s="1"/>
  <c r="H134" i="6"/>
  <c r="O134" i="6" s="1"/>
  <c r="H133" i="6"/>
  <c r="O133" i="6" s="1"/>
  <c r="H132" i="6"/>
  <c r="O132" i="6" s="1"/>
  <c r="H131" i="6"/>
  <c r="O131" i="6" s="1"/>
  <c r="H130" i="6"/>
  <c r="O130" i="6" s="1"/>
  <c r="H129" i="6"/>
  <c r="O129" i="6" s="1"/>
  <c r="H128" i="6"/>
  <c r="O128" i="6" s="1"/>
  <c r="I127" i="6"/>
  <c r="H127" i="6"/>
  <c r="H126" i="6"/>
  <c r="O126" i="6" s="1"/>
  <c r="H125" i="6"/>
  <c r="O125" i="6" s="1"/>
  <c r="H124" i="6"/>
  <c r="O124" i="6" s="1"/>
  <c r="H123" i="6"/>
  <c r="O123" i="6" s="1"/>
  <c r="H122" i="6"/>
  <c r="O122" i="6" s="1"/>
  <c r="H121" i="6"/>
  <c r="O121" i="6" s="1"/>
  <c r="H120" i="6"/>
  <c r="O120" i="6" s="1"/>
  <c r="H119" i="6"/>
  <c r="O119" i="6" s="1"/>
  <c r="H118" i="6"/>
  <c r="O118" i="6" s="1"/>
  <c r="H117" i="6"/>
  <c r="O117" i="6" s="1"/>
  <c r="H116" i="6"/>
  <c r="O116" i="6" s="1"/>
  <c r="H115" i="6"/>
  <c r="O115" i="6" s="1"/>
  <c r="H114" i="6"/>
  <c r="O114" i="6" s="1"/>
  <c r="H113" i="6"/>
  <c r="O113" i="6" s="1"/>
  <c r="H112" i="6"/>
  <c r="O112" i="6" s="1"/>
  <c r="H111" i="6"/>
  <c r="O111" i="6" s="1"/>
  <c r="H110" i="6"/>
  <c r="O110" i="6" s="1"/>
  <c r="H109" i="6"/>
  <c r="O109" i="6" s="1"/>
  <c r="H108" i="6"/>
  <c r="H107" i="6"/>
  <c r="O107" i="6" s="1"/>
  <c r="H106" i="6"/>
  <c r="O106" i="6" s="1"/>
  <c r="H105" i="6"/>
  <c r="O105" i="6" s="1"/>
  <c r="H104" i="6"/>
  <c r="O104" i="6" s="1"/>
  <c r="H103" i="6"/>
  <c r="O103" i="6" s="1"/>
  <c r="H102" i="6"/>
  <c r="O102" i="6" s="1"/>
  <c r="H100" i="6"/>
  <c r="O100" i="6" s="1"/>
  <c r="H99" i="6"/>
  <c r="O99" i="6" s="1"/>
  <c r="H98" i="6"/>
  <c r="O98" i="6" s="1"/>
  <c r="H97" i="6"/>
  <c r="O97" i="6" s="1"/>
  <c r="H96" i="6"/>
  <c r="O96" i="6" s="1"/>
  <c r="H47" i="6"/>
  <c r="O47" i="6" s="1"/>
  <c r="H95" i="6"/>
  <c r="O95" i="6" s="1"/>
  <c r="H94" i="6"/>
  <c r="O94" i="6" s="1"/>
  <c r="H93" i="6"/>
  <c r="O93" i="6" s="1"/>
  <c r="H92" i="6"/>
  <c r="O92" i="6" s="1"/>
  <c r="H91" i="6"/>
  <c r="O91" i="6" s="1"/>
  <c r="H90" i="6"/>
  <c r="O90" i="6" s="1"/>
  <c r="H89" i="6"/>
  <c r="O89" i="6" s="1"/>
  <c r="H88" i="6"/>
  <c r="O88" i="6" s="1"/>
  <c r="H87" i="6"/>
  <c r="O87" i="6" s="1"/>
  <c r="H86" i="6"/>
  <c r="O86" i="6" s="1"/>
  <c r="H85" i="6"/>
  <c r="O85" i="6" s="1"/>
  <c r="H84" i="6"/>
  <c r="O84" i="6" s="1"/>
  <c r="H83" i="6"/>
  <c r="O83" i="6" s="1"/>
  <c r="H82" i="6"/>
  <c r="O82" i="6" s="1"/>
  <c r="H81" i="6"/>
  <c r="O81" i="6" s="1"/>
  <c r="H80" i="6"/>
  <c r="O80" i="6" s="1"/>
  <c r="H79" i="6"/>
  <c r="O79" i="6" s="1"/>
  <c r="H78" i="6"/>
  <c r="O78" i="6" s="1"/>
  <c r="H77" i="6"/>
  <c r="O77" i="6" s="1"/>
  <c r="H76" i="6"/>
  <c r="O76" i="6" s="1"/>
  <c r="H75" i="6"/>
  <c r="O75" i="6" s="1"/>
  <c r="H74" i="6"/>
  <c r="O74" i="6" s="1"/>
  <c r="H73" i="6"/>
  <c r="O73" i="6" s="1"/>
  <c r="H72" i="6"/>
  <c r="O72" i="6" s="1"/>
  <c r="H70" i="6"/>
  <c r="O70" i="6" s="1"/>
  <c r="H69" i="6"/>
  <c r="O69" i="6" s="1"/>
  <c r="H68" i="6"/>
  <c r="O68" i="6" s="1"/>
  <c r="H67" i="6"/>
  <c r="O67" i="6" s="1"/>
  <c r="H66" i="6"/>
  <c r="O66" i="6" s="1"/>
  <c r="H65" i="6"/>
  <c r="O65" i="6" s="1"/>
  <c r="H64" i="6"/>
  <c r="O64" i="6" s="1"/>
  <c r="H63" i="6"/>
  <c r="O63" i="6" s="1"/>
  <c r="H62" i="6"/>
  <c r="O62" i="6" s="1"/>
  <c r="H61" i="6"/>
  <c r="O61" i="6" s="1"/>
  <c r="H60" i="6"/>
  <c r="O60" i="6" s="1"/>
  <c r="H59" i="6"/>
  <c r="O59" i="6" s="1"/>
  <c r="H58" i="6"/>
  <c r="O58" i="6" s="1"/>
  <c r="H57" i="6"/>
  <c r="O57" i="6" s="1"/>
  <c r="H56" i="6"/>
  <c r="O56" i="6" s="1"/>
  <c r="H55" i="6"/>
  <c r="O55" i="6" s="1"/>
  <c r="H54" i="6"/>
  <c r="O54" i="6" s="1"/>
  <c r="H53" i="6"/>
  <c r="O53" i="6" s="1"/>
  <c r="H52" i="6"/>
  <c r="O52" i="6" s="1"/>
  <c r="H51" i="6"/>
  <c r="O51" i="6" s="1"/>
  <c r="H71" i="6"/>
  <c r="O71" i="6" s="1"/>
  <c r="H50" i="6"/>
  <c r="O50" i="6" s="1"/>
  <c r="H49" i="6"/>
  <c r="O49" i="6" s="1"/>
  <c r="H48" i="6"/>
  <c r="O48" i="6" s="1"/>
  <c r="H46" i="6"/>
  <c r="O46" i="6" s="1"/>
  <c r="H45" i="6"/>
  <c r="O45" i="6" s="1"/>
  <c r="H44" i="6"/>
  <c r="O44" i="6" s="1"/>
  <c r="H43" i="6"/>
  <c r="O43" i="6" s="1"/>
  <c r="H42" i="6"/>
  <c r="O42" i="6" s="1"/>
  <c r="H41" i="6"/>
  <c r="O41" i="6" s="1"/>
  <c r="H40" i="6"/>
  <c r="O40" i="6" s="1"/>
  <c r="H39" i="6"/>
  <c r="O39" i="6" s="1"/>
  <c r="H38" i="6"/>
  <c r="O38" i="6" s="1"/>
  <c r="H37" i="6"/>
  <c r="O37" i="6" s="1"/>
  <c r="H36" i="6"/>
  <c r="O36" i="6" s="1"/>
  <c r="H35" i="6"/>
  <c r="O35" i="6" s="1"/>
  <c r="H34" i="6"/>
  <c r="O34" i="6" s="1"/>
  <c r="H33" i="6"/>
  <c r="O33" i="6" s="1"/>
  <c r="H32" i="6"/>
  <c r="O32" i="6" s="1"/>
  <c r="H31" i="6"/>
  <c r="O31" i="6" s="1"/>
  <c r="H30" i="6"/>
  <c r="O30" i="6" s="1"/>
  <c r="H29" i="6"/>
  <c r="O29" i="6" s="1"/>
  <c r="H28" i="6"/>
  <c r="O28" i="6" s="1"/>
  <c r="H27" i="6"/>
  <c r="O27" i="6" s="1"/>
  <c r="H26" i="6"/>
  <c r="O26" i="6" s="1"/>
  <c r="F272" i="6"/>
  <c r="H25" i="6"/>
  <c r="O25" i="6" s="1"/>
  <c r="H20" i="6"/>
  <c r="O20" i="6" s="1"/>
  <c r="H24" i="6"/>
  <c r="O24" i="6" s="1"/>
  <c r="H23" i="6"/>
  <c r="O23" i="6" s="1"/>
  <c r="H22" i="6"/>
  <c r="O22" i="6" s="1"/>
  <c r="H21" i="6"/>
  <c r="O21" i="6" s="1"/>
  <c r="H19" i="6"/>
  <c r="O19" i="6" s="1"/>
  <c r="H17" i="6"/>
  <c r="O17" i="6" s="1"/>
  <c r="H16" i="6"/>
  <c r="O16" i="6" s="1"/>
  <c r="H239" i="6"/>
  <c r="O239" i="6" s="1"/>
  <c r="H15" i="6"/>
  <c r="O15" i="6" s="1"/>
  <c r="H14" i="6"/>
  <c r="O14" i="6" s="1"/>
  <c r="H13" i="6"/>
  <c r="O13" i="6" s="1"/>
  <c r="I272" i="6" l="1"/>
  <c r="O108" i="6"/>
  <c r="O148" i="6"/>
  <c r="O147" i="6"/>
  <c r="O127" i="6"/>
  <c r="O186" i="6"/>
  <c r="O210" i="6"/>
  <c r="H18" i="6"/>
  <c r="O18" i="6" s="1"/>
  <c r="AI84" i="33"/>
  <c r="A85" i="33"/>
  <c r="H272" i="6" l="1"/>
  <c r="AI85" i="33"/>
  <c r="A86" i="33"/>
  <c r="J318" i="28"/>
  <c r="E313" i="33" s="1"/>
  <c r="E298" i="41" s="1"/>
  <c r="J103" i="28"/>
  <c r="E98" i="33" s="1"/>
  <c r="E88" i="41" s="1"/>
  <c r="J115" i="28"/>
  <c r="E110" i="33" s="1"/>
  <c r="E98" i="41"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M342" i="28" s="1"/>
  <c r="P342" i="28" s="1"/>
  <c r="K342" i="28"/>
  <c r="AC341" i="28"/>
  <c r="AB341" i="28"/>
  <c r="V341" i="28"/>
  <c r="O341" i="28"/>
  <c r="L341" i="28"/>
  <c r="K341" i="28"/>
  <c r="AC340" i="28"/>
  <c r="AB340" i="28"/>
  <c r="V340" i="28"/>
  <c r="O340" i="28"/>
  <c r="L340" i="28"/>
  <c r="M340" i="28" s="1"/>
  <c r="P340" i="28" s="1"/>
  <c r="K340" i="28"/>
  <c r="AC339" i="28"/>
  <c r="AB339" i="28"/>
  <c r="V339" i="28"/>
  <c r="O339" i="28"/>
  <c r="L339" i="28"/>
  <c r="K339" i="28"/>
  <c r="AC338" i="28"/>
  <c r="AB338" i="28"/>
  <c r="V338" i="28"/>
  <c r="O338" i="28"/>
  <c r="L338" i="28"/>
  <c r="M338" i="28" s="1"/>
  <c r="P338" i="28" s="1"/>
  <c r="K338" i="28"/>
  <c r="AC337" i="28"/>
  <c r="AB337" i="28"/>
  <c r="V337" i="28"/>
  <c r="O337" i="28"/>
  <c r="L337" i="28"/>
  <c r="K337" i="28"/>
  <c r="AC336" i="28"/>
  <c r="AB336" i="28"/>
  <c r="V336" i="28"/>
  <c r="O336" i="28"/>
  <c r="L336" i="28"/>
  <c r="M336" i="28" s="1"/>
  <c r="P336" i="28" s="1"/>
  <c r="K336" i="28"/>
  <c r="AC335" i="28"/>
  <c r="AB335" i="28"/>
  <c r="V335" i="28"/>
  <c r="O335" i="28"/>
  <c r="L335" i="28"/>
  <c r="K335" i="28"/>
  <c r="AC334" i="28"/>
  <c r="AB334" i="28"/>
  <c r="V334" i="28"/>
  <c r="O334" i="28"/>
  <c r="L334" i="28"/>
  <c r="M334" i="28" s="1"/>
  <c r="P334" i="28" s="1"/>
  <c r="K334" i="28"/>
  <c r="AC333" i="28"/>
  <c r="AB333" i="28"/>
  <c r="V333" i="28"/>
  <c r="O333" i="28"/>
  <c r="L333" i="28"/>
  <c r="K333" i="28"/>
  <c r="AC332" i="28"/>
  <c r="AB332" i="28"/>
  <c r="V332" i="28"/>
  <c r="O332" i="28"/>
  <c r="L332" i="28"/>
  <c r="M332" i="28" s="1"/>
  <c r="K332" i="28"/>
  <c r="AC331" i="28"/>
  <c r="AB331" i="28"/>
  <c r="V331" i="28"/>
  <c r="O331" i="28"/>
  <c r="L331" i="28"/>
  <c r="K331" i="28"/>
  <c r="AC330" i="28"/>
  <c r="AB330" i="28"/>
  <c r="V330" i="28"/>
  <c r="O330" i="28"/>
  <c r="L330" i="28"/>
  <c r="M330" i="28" s="1"/>
  <c r="P330" i="28" s="1"/>
  <c r="K330" i="28"/>
  <c r="AC329" i="28"/>
  <c r="AB329" i="28"/>
  <c r="V329" i="28"/>
  <c r="O329" i="28"/>
  <c r="L329" i="28"/>
  <c r="K329" i="28"/>
  <c r="AC328" i="28"/>
  <c r="AB328" i="28"/>
  <c r="V328" i="28"/>
  <c r="O328" i="28"/>
  <c r="L328" i="28"/>
  <c r="M328" i="28" s="1"/>
  <c r="K328" i="28"/>
  <c r="AC327" i="28"/>
  <c r="AB327" i="28"/>
  <c r="V327" i="28"/>
  <c r="O327" i="28"/>
  <c r="L327" i="28"/>
  <c r="K327" i="28"/>
  <c r="AC326" i="28"/>
  <c r="AB326" i="28"/>
  <c r="V326" i="28"/>
  <c r="O326" i="28"/>
  <c r="L326" i="28"/>
  <c r="M326" i="28" s="1"/>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M319" i="28" s="1"/>
  <c r="K319" i="28"/>
  <c r="I319" i="28"/>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M291" i="28" s="1"/>
  <c r="P291" i="28" s="1"/>
  <c r="K291" i="28"/>
  <c r="AC290" i="28"/>
  <c r="AB290" i="28"/>
  <c r="V290" i="28"/>
  <c r="O290" i="28"/>
  <c r="L290" i="28"/>
  <c r="K290" i="28"/>
  <c r="AC289" i="28"/>
  <c r="AB289" i="28"/>
  <c r="V289" i="28"/>
  <c r="O289" i="28"/>
  <c r="L289" i="28"/>
  <c r="M289" i="28" s="1"/>
  <c r="P289" i="28" s="1"/>
  <c r="K289" i="28"/>
  <c r="T354" i="28"/>
  <c r="R354" i="28"/>
  <c r="O354" i="28"/>
  <c r="G354" i="28"/>
  <c r="AC288" i="28"/>
  <c r="AB288" i="28"/>
  <c r="U288" i="28"/>
  <c r="S288" i="28"/>
  <c r="P288" i="28"/>
  <c r="M288" i="28"/>
  <c r="K288" i="28"/>
  <c r="L288" i="28" s="1"/>
  <c r="H288" i="28"/>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N259" i="28" s="1"/>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K254" i="28"/>
  <c r="H254" i="28"/>
  <c r="AC253" i="28"/>
  <c r="AB253" i="28"/>
  <c r="U253" i="28"/>
  <c r="S253" i="28"/>
  <c r="P253" i="28"/>
  <c r="M253" i="28"/>
  <c r="K253" i="28"/>
  <c r="H253" i="28"/>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K205" i="28"/>
  <c r="L205" i="28" s="1"/>
  <c r="H205" i="28"/>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K155" i="28"/>
  <c r="L155" i="28" s="1"/>
  <c r="H155" i="28"/>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K139" i="28"/>
  <c r="H139" i="28"/>
  <c r="AC138" i="28"/>
  <c r="AB138" i="28"/>
  <c r="U138" i="28"/>
  <c r="S138" i="28"/>
  <c r="P138" i="28"/>
  <c r="M138" i="28"/>
  <c r="K138" i="28"/>
  <c r="L138" i="28" s="1"/>
  <c r="H138" i="28"/>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V74" i="28" s="1"/>
  <c r="H74" i="28"/>
  <c r="K74" i="28" s="1"/>
  <c r="L74" i="28" s="1"/>
  <c r="AC73" i="28"/>
  <c r="AB73" i="28"/>
  <c r="U73" i="28"/>
  <c r="S73" i="28"/>
  <c r="P73" i="28"/>
  <c r="M73" i="28"/>
  <c r="K73" i="28"/>
  <c r="L73" i="28" s="1"/>
  <c r="H73" i="28"/>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K42" i="28"/>
  <c r="L42" i="28" s="1"/>
  <c r="H42" i="28"/>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H37" i="28"/>
  <c r="K37" i="28" s="1"/>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E115" i="35" l="1"/>
  <c r="E103" i="35"/>
  <c r="E307" i="34"/>
  <c r="E317" i="35"/>
  <c r="E90" i="6"/>
  <c r="E93" i="34"/>
  <c r="E100" i="6"/>
  <c r="E105" i="34"/>
  <c r="AI86" i="33"/>
  <c r="A87" i="33"/>
  <c r="M364" i="28"/>
  <c r="N154" i="28"/>
  <c r="Q154" i="28" s="1"/>
  <c r="W154" i="28" s="1"/>
  <c r="X154" i="28" s="1"/>
  <c r="Z154" i="28" s="1"/>
  <c r="V63" i="28"/>
  <c r="V82" i="28"/>
  <c r="V150" i="28"/>
  <c r="V178" i="28"/>
  <c r="N198" i="28"/>
  <c r="V246" i="28"/>
  <c r="V247" i="28"/>
  <c r="V252" i="28"/>
  <c r="N263" i="28"/>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300" i="28"/>
  <c r="W300" i="28" s="1"/>
  <c r="X300" i="28" s="1"/>
  <c r="Z300" i="28" s="1"/>
  <c r="Q332" i="28"/>
  <c r="W332" i="28" s="1"/>
  <c r="X332" i="28" s="1"/>
  <c r="Z332"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Q342" i="28"/>
  <c r="W342" i="28" s="1"/>
  <c r="X342" i="28" s="1"/>
  <c r="Z342"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P314" i="28"/>
  <c r="Q314" i="28"/>
  <c r="W314" i="28" s="1"/>
  <c r="X314" i="28" s="1"/>
  <c r="Z314"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28" i="28"/>
  <c r="Q334" i="28"/>
  <c r="W334" i="28" s="1"/>
  <c r="X334" i="28" s="1"/>
  <c r="Z33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5" i="28"/>
  <c r="Q255" i="28" s="1"/>
  <c r="W255" i="28" s="1"/>
  <c r="X255" i="28" s="1"/>
  <c r="Z255" i="28" s="1"/>
  <c r="N258" i="28"/>
  <c r="Q258" i="28" s="1"/>
  <c r="W258" i="28" s="1"/>
  <c r="X258" i="28" s="1"/>
  <c r="Z258" i="28" s="1"/>
  <c r="Q263" i="28"/>
  <c r="W263" i="28" s="1"/>
  <c r="X263" i="28" s="1"/>
  <c r="Z263" i="28" s="1"/>
  <c r="V266" i="28"/>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3" i="28"/>
  <c r="W123" i="28" s="1"/>
  <c r="X123" i="28" s="1"/>
  <c r="Z123"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P333" i="28" l="1"/>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5" i="28" s="1"/>
  <c r="AA35" i="28" s="1"/>
  <c r="A34" i="28"/>
  <c r="AA34" i="28" s="1"/>
  <c r="AI94" i="33" l="1"/>
  <c r="A95" i="33"/>
  <c r="A36" i="28"/>
  <c r="AA36" i="28" s="1"/>
  <c r="AA33" i="28"/>
  <c r="A37" i="28"/>
  <c r="AA37" i="28" s="1"/>
  <c r="AI95" i="33" l="1"/>
  <c r="A96" i="33"/>
  <c r="A38" i="28"/>
  <c r="AI96" i="33" l="1"/>
  <c r="A97" i="33"/>
  <c r="AA38" i="28"/>
  <c r="A40" i="28"/>
  <c r="AA40" i="28" s="1"/>
  <c r="A39" i="28"/>
  <c r="AA39" i="28" s="1"/>
  <c r="AI97" i="33" l="1"/>
  <c r="A98" i="33"/>
  <c r="A41" i="28"/>
  <c r="AA41" i="28" s="1"/>
  <c r="AI98" i="33" l="1"/>
  <c r="A99" i="33"/>
  <c r="A42" i="28"/>
  <c r="AI99" i="33" l="1"/>
  <c r="A100" i="33"/>
  <c r="AA42" i="28"/>
  <c r="A43" i="28"/>
  <c r="AI100" i="33" l="1"/>
  <c r="A101" i="33"/>
  <c r="AA43" i="28"/>
  <c r="A44" i="28"/>
  <c r="AA44" i="28" s="1"/>
  <c r="A45" i="28"/>
  <c r="AA45" i="28" s="1"/>
  <c r="AI101" i="33" l="1"/>
  <c r="A102" i="33"/>
  <c r="A46" i="28"/>
  <c r="AA46" i="28" s="1"/>
  <c r="A47" i="28"/>
  <c r="AI102" i="33" l="1"/>
  <c r="A103" i="33"/>
  <c r="AA47" i="28"/>
  <c r="A48" i="28"/>
  <c r="AI103" i="33" l="1"/>
  <c r="A104" i="33"/>
  <c r="AA48" i="28"/>
  <c r="A49" i="28"/>
  <c r="AI104" i="33" l="1"/>
  <c r="A105" i="33"/>
  <c r="A50" i="28"/>
  <c r="AA49" i="28"/>
  <c r="AI105" i="33" l="1"/>
  <c r="A106" i="33"/>
  <c r="AA50" i="28"/>
  <c r="A51" i="28"/>
  <c r="AA51" i="28" s="1"/>
  <c r="AI106" i="33" l="1"/>
  <c r="A107" i="33"/>
  <c r="A52" i="28"/>
  <c r="AI107" i="33" l="1"/>
  <c r="A108" i="33"/>
  <c r="A53" i="28"/>
  <c r="AA52" i="28"/>
  <c r="AI108" i="33" l="1"/>
  <c r="A109" i="33"/>
  <c r="AA53" i="28"/>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4" i="28"/>
  <c r="AA94" i="28" s="1"/>
  <c r="A93" i="28"/>
  <c r="AA93" i="28" s="1"/>
  <c r="AI148" i="33" l="1"/>
  <c r="A149" i="33"/>
  <c r="A95" i="28"/>
  <c r="AA95" i="28" s="1"/>
  <c r="A96" i="28"/>
  <c r="AI149" i="33" l="1"/>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V58" i="27" l="1"/>
  <c r="N29" i="27"/>
  <c r="J48" i="28"/>
  <c r="J95" i="28"/>
  <c r="J47" i="28"/>
  <c r="J94" i="28"/>
  <c r="J46" i="28"/>
  <c r="J333" i="28"/>
  <c r="E328" i="33" s="1"/>
  <c r="E312" i="41" s="1"/>
  <c r="J93" i="28"/>
  <c r="E88" i="33" s="1"/>
  <c r="E79" i="41"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129" i="27" s="1"/>
  <c r="W129" i="27" s="1"/>
  <c r="X129" i="27" s="1"/>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Q99" i="27" s="1"/>
  <c r="W99" i="27" s="1"/>
  <c r="X99" i="27" s="1"/>
  <c r="N100" i="27"/>
  <c r="Q100" i="27" s="1"/>
  <c r="W100" i="27" s="1"/>
  <c r="X100" i="27" s="1"/>
  <c r="N165" i="27"/>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58" i="27"/>
  <c r="W158" i="27" s="1"/>
  <c r="X158" i="27" s="1"/>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Q294" i="27" l="1"/>
  <c r="W294" i="27" s="1"/>
  <c r="X294" i="27" s="1"/>
  <c r="E93" i="35"/>
  <c r="E321" i="34"/>
  <c r="E331" i="35"/>
  <c r="Q341" i="27"/>
  <c r="W341" i="27" s="1"/>
  <c r="X341" i="27" s="1"/>
  <c r="E81" i="6"/>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E50" i="41" s="1"/>
  <c r="J60" i="28"/>
  <c r="E55" i="33" s="1"/>
  <c r="E47" i="41" s="1"/>
  <c r="J98" i="28"/>
  <c r="E93" i="33" s="1"/>
  <c r="E84" i="41" s="1"/>
  <c r="J331" i="28"/>
  <c r="E326" i="33" s="1"/>
  <c r="E310" i="41" s="1"/>
  <c r="J288" i="28"/>
  <c r="E284" i="33" s="1"/>
  <c r="E269" i="41" s="1"/>
  <c r="J284" i="28"/>
  <c r="E280" i="33" s="1"/>
  <c r="E265" i="41" s="1"/>
  <c r="J280" i="28"/>
  <c r="E276" i="33" s="1"/>
  <c r="J67" i="28"/>
  <c r="E62" i="33" s="1"/>
  <c r="E53" i="41" s="1"/>
  <c r="J63" i="28"/>
  <c r="E58" i="33" s="1"/>
  <c r="E49" i="41" s="1"/>
  <c r="J59" i="28"/>
  <c r="E54" i="33" s="1"/>
  <c r="E46" i="41" s="1"/>
  <c r="J97" i="28"/>
  <c r="E92" i="33" s="1"/>
  <c r="E83" i="41" s="1"/>
  <c r="J99" i="28"/>
  <c r="E94" i="33" s="1"/>
  <c r="E85" i="41" s="1"/>
  <c r="J330" i="28"/>
  <c r="E325" i="33" s="1"/>
  <c r="E309" i="41" s="1"/>
  <c r="J287" i="28"/>
  <c r="E283" i="33" s="1"/>
  <c r="E268" i="41" s="1"/>
  <c r="J283" i="28"/>
  <c r="E279" i="33" s="1"/>
  <c r="E264" i="41" s="1"/>
  <c r="J66" i="28"/>
  <c r="E61" i="33" s="1"/>
  <c r="E52" i="41" s="1"/>
  <c r="J62" i="28"/>
  <c r="E57" i="33" s="1"/>
  <c r="J96" i="28"/>
  <c r="E91" i="33" s="1"/>
  <c r="E82" i="41" s="1"/>
  <c r="J338" i="28"/>
  <c r="E333" i="33" s="1"/>
  <c r="E317" i="41" s="1"/>
  <c r="J334" i="28"/>
  <c r="E329" i="33" s="1"/>
  <c r="E313" i="41" s="1"/>
  <c r="J286" i="28"/>
  <c r="E282" i="33" s="1"/>
  <c r="E267" i="41" s="1"/>
  <c r="J282" i="28"/>
  <c r="E278" i="33" s="1"/>
  <c r="E263" i="41" s="1"/>
  <c r="J65" i="28"/>
  <c r="E60" i="33" s="1"/>
  <c r="E51" i="41" s="1"/>
  <c r="J61" i="28"/>
  <c r="E56" i="33" s="1"/>
  <c r="E48" i="41" s="1"/>
  <c r="J337" i="28"/>
  <c r="E332" i="33" s="1"/>
  <c r="E316" i="41" s="1"/>
  <c r="J332" i="28"/>
  <c r="E327" i="33" s="1"/>
  <c r="E311" i="41" s="1"/>
  <c r="J285" i="28"/>
  <c r="E281" i="33" s="1"/>
  <c r="E266" i="41" s="1"/>
  <c r="J281" i="28"/>
  <c r="E277" i="33" s="1"/>
  <c r="E262" i="41" s="1"/>
  <c r="AA300" i="27"/>
  <c r="A301" i="27"/>
  <c r="M320" i="26"/>
  <c r="P320" i="26" s="1"/>
  <c r="M323" i="26"/>
  <c r="Q323" i="26" s="1"/>
  <c r="W323" i="26" s="1"/>
  <c r="X323" i="26" s="1"/>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Q245" i="26"/>
  <c r="W245" i="26" s="1"/>
  <c r="X245"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E67" i="35" l="1"/>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E264" i="6"/>
  <c r="E271" i="34"/>
  <c r="E50" i="6"/>
  <c r="E51" i="34"/>
  <c r="E54" i="6"/>
  <c r="E56" i="34"/>
  <c r="E87" i="6"/>
  <c r="E89" i="34"/>
  <c r="E55" i="6"/>
  <c r="E57" i="34"/>
  <c r="E268" i="6"/>
  <c r="E275" i="34"/>
  <c r="E53" i="6"/>
  <c r="E55" i="34"/>
  <c r="E266" i="6"/>
  <c r="E273" i="34"/>
  <c r="E85" i="6"/>
  <c r="E87" i="34"/>
  <c r="E270" i="34"/>
  <c r="E86" i="6"/>
  <c r="E88" i="34"/>
  <c r="Q294" i="26"/>
  <c r="W294" i="26" s="1"/>
  <c r="X294" i="26" s="1"/>
  <c r="Z294" i="26" s="1"/>
  <c r="E265" i="6"/>
  <c r="E272" i="34"/>
  <c r="E84" i="6"/>
  <c r="E86" i="34"/>
  <c r="E270" i="6"/>
  <c r="E277" i="34"/>
  <c r="E48" i="6"/>
  <c r="E49" i="34"/>
  <c r="E267" i="6"/>
  <c r="E274" i="34"/>
  <c r="E49" i="6"/>
  <c r="E50" i="34"/>
  <c r="E269" i="6"/>
  <c r="E276" i="34"/>
  <c r="E52" i="34"/>
  <c r="E51" i="6"/>
  <c r="E53" i="34"/>
  <c r="E271" i="6"/>
  <c r="E278" i="34"/>
  <c r="E52" i="6"/>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344"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W363" i="25"/>
  <c r="AA316" i="27" l="1"/>
  <c r="A317" i="27"/>
  <c r="A32" i="25"/>
  <c r="A33" i="25" s="1"/>
  <c r="AB32" i="25"/>
  <c r="AB33" i="25"/>
  <c r="AB31" i="25"/>
  <c r="AB30" i="25"/>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J224" i="28" l="1"/>
  <c r="E220" i="33" s="1"/>
  <c r="E206" i="41" s="1"/>
  <c r="AA317" i="27"/>
  <c r="A318" i="27"/>
  <c r="A34" i="25"/>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Q221" i="25" s="1"/>
  <c r="K146" i="25"/>
  <c r="N205" i="25"/>
  <c r="Q205" i="25" s="1"/>
  <c r="V205" i="25"/>
  <c r="V212" i="25"/>
  <c r="N212" i="25"/>
  <c r="Q212" i="25" s="1"/>
  <c r="N213" i="25"/>
  <c r="Q213" i="25" s="1"/>
  <c r="N217" i="25"/>
  <c r="Q217" i="25" s="1"/>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E225" i="35" l="1"/>
  <c r="Q323" i="25"/>
  <c r="Q342" i="25"/>
  <c r="X342" i="25" s="1"/>
  <c r="Y342" i="25" s="1"/>
  <c r="AA342" i="25" s="1"/>
  <c r="P305" i="25"/>
  <c r="E208"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AB34" i="25"/>
  <c r="A36" i="25"/>
  <c r="AB36" i="25" s="1"/>
  <c r="A37" i="25"/>
  <c r="A35"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X332" i="25" l="1"/>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B37" i="25"/>
  <c r="AB35" i="25"/>
  <c r="A38" i="25"/>
  <c r="A39" i="25"/>
  <c r="AB39" i="25" s="1"/>
  <c r="AA30" i="25"/>
  <c r="V363" i="25"/>
  <c r="N363" i="25"/>
  <c r="L363" i="25"/>
  <c r="X363" i="25"/>
  <c r="Q363" i="25"/>
  <c r="AA146" i="25" l="1"/>
  <c r="Y297" i="25"/>
  <c r="AA299" i="25"/>
  <c r="AA362" i="25" s="1"/>
  <c r="Y362" i="25"/>
  <c r="AA297" i="25"/>
  <c r="AA320" i="27"/>
  <c r="A321" i="27"/>
  <c r="AB38" i="25"/>
  <c r="A40" i="25"/>
  <c r="A42" i="25"/>
  <c r="AB42" i="25" s="1"/>
  <c r="A41" i="25"/>
  <c r="AB41" i="25" s="1"/>
  <c r="A43" i="25"/>
  <c r="AB43" i="25" s="1"/>
  <c r="Y363" i="25" l="1"/>
  <c r="AA363" i="25"/>
  <c r="AA321" i="27"/>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J34" i="28" l="1"/>
  <c r="E29" i="33" s="1"/>
  <c r="E22" i="41" s="1"/>
  <c r="J30" i="28"/>
  <c r="E25" i="33" s="1"/>
  <c r="E17" i="41" s="1"/>
  <c r="J352" i="28"/>
  <c r="E348" i="33" s="1"/>
  <c r="E331" i="41" s="1"/>
  <c r="J348" i="28"/>
  <c r="E344" i="33" s="1"/>
  <c r="E327" i="41" s="1"/>
  <c r="J344" i="28"/>
  <c r="E340" i="33" s="1"/>
  <c r="E324" i="41" s="1"/>
  <c r="J340" i="28"/>
  <c r="E335" i="33" s="1"/>
  <c r="E319" i="41" s="1"/>
  <c r="J336" i="28"/>
  <c r="E331" i="33" s="1"/>
  <c r="E315" i="41" s="1"/>
  <c r="J328" i="28"/>
  <c r="E323" i="33" s="1"/>
  <c r="E307" i="41" s="1"/>
  <c r="J324" i="28"/>
  <c r="E319" i="33" s="1"/>
  <c r="E304" i="41" s="1"/>
  <c r="J320" i="28"/>
  <c r="E315" i="33" s="1"/>
  <c r="E300" i="41" s="1"/>
  <c r="J314" i="28"/>
  <c r="E309" i="33" s="1"/>
  <c r="E294" i="41" s="1"/>
  <c r="J310" i="28"/>
  <c r="E305" i="33" s="1"/>
  <c r="E290" i="41" s="1"/>
  <c r="J306" i="28"/>
  <c r="E301" i="33" s="1"/>
  <c r="E286" i="41" s="1"/>
  <c r="J302" i="28"/>
  <c r="E297" i="33" s="1"/>
  <c r="E282" i="41" s="1"/>
  <c r="J298" i="28"/>
  <c r="E293" i="33" s="1"/>
  <c r="E277" i="41" s="1"/>
  <c r="J294" i="28"/>
  <c r="E289" i="33" s="1"/>
  <c r="J290" i="28"/>
  <c r="J270" i="28"/>
  <c r="E266" i="33" s="1"/>
  <c r="E253" i="41" s="1"/>
  <c r="J258" i="28"/>
  <c r="E254" i="33" s="1"/>
  <c r="E241" i="41" s="1"/>
  <c r="J246" i="28"/>
  <c r="E242" i="33" s="1"/>
  <c r="E228" i="41" s="1"/>
  <c r="J234" i="28"/>
  <c r="E230" i="33" s="1"/>
  <c r="E216" i="41" s="1"/>
  <c r="J221" i="28"/>
  <c r="E217" i="33" s="1"/>
  <c r="E203" i="41" s="1"/>
  <c r="J205" i="28"/>
  <c r="E201" i="33" s="1"/>
  <c r="E188" i="41" s="1"/>
  <c r="J197" i="28"/>
  <c r="E193" i="33" s="1"/>
  <c r="E180" i="41" s="1"/>
  <c r="J185" i="28"/>
  <c r="E181" i="33" s="1"/>
  <c r="E168" i="41" s="1"/>
  <c r="J174" i="28"/>
  <c r="E170" i="33" s="1"/>
  <c r="E159" i="41" s="1"/>
  <c r="J162" i="28"/>
  <c r="E158" i="33" s="1"/>
  <c r="E147" i="41" s="1"/>
  <c r="J150" i="28"/>
  <c r="E145" i="33" s="1"/>
  <c r="E133" i="41" s="1"/>
  <c r="J142" i="28"/>
  <c r="E137" i="33" s="1"/>
  <c r="E125" i="41" s="1"/>
  <c r="J134" i="28"/>
  <c r="E129" i="33" s="1"/>
  <c r="E117" i="41" s="1"/>
  <c r="J126" i="28"/>
  <c r="E121" i="33" s="1"/>
  <c r="E109" i="41" s="1"/>
  <c r="J118" i="28"/>
  <c r="E113" i="33" s="1"/>
  <c r="E101" i="41" s="1"/>
  <c r="J110" i="28"/>
  <c r="E105" i="33" s="1"/>
  <c r="E94" i="41" s="1"/>
  <c r="J102" i="28"/>
  <c r="E97" i="33" s="1"/>
  <c r="J85" i="28"/>
  <c r="E80" i="33" s="1"/>
  <c r="E71" i="41" s="1"/>
  <c r="J77" i="28"/>
  <c r="E72" i="33" s="1"/>
  <c r="E63" i="41" s="1"/>
  <c r="J69" i="28"/>
  <c r="E64" i="33" s="1"/>
  <c r="E55" i="41" s="1"/>
  <c r="J53" i="28"/>
  <c r="E48" i="33" s="1"/>
  <c r="E39" i="41" s="1"/>
  <c r="J276" i="28"/>
  <c r="E272" i="33" s="1"/>
  <c r="J273" i="28"/>
  <c r="E269" i="33" s="1"/>
  <c r="E256" i="41" s="1"/>
  <c r="J269" i="28"/>
  <c r="E265" i="33" s="1"/>
  <c r="E252" i="41" s="1"/>
  <c r="J265" i="28"/>
  <c r="E261" i="33" s="1"/>
  <c r="E248" i="41" s="1"/>
  <c r="J261" i="28"/>
  <c r="E257" i="33" s="1"/>
  <c r="E244" i="41" s="1"/>
  <c r="J257" i="28"/>
  <c r="E253" i="33" s="1"/>
  <c r="E240" i="41" s="1"/>
  <c r="J253" i="28"/>
  <c r="E249" i="33" s="1"/>
  <c r="E235" i="41" s="1"/>
  <c r="J249" i="28"/>
  <c r="E245" i="33" s="1"/>
  <c r="E231" i="41" s="1"/>
  <c r="J245" i="28"/>
  <c r="E241" i="33" s="1"/>
  <c r="E227" i="41" s="1"/>
  <c r="J241" i="28"/>
  <c r="E237" i="33" s="1"/>
  <c r="E223" i="41" s="1"/>
  <c r="J237" i="28"/>
  <c r="E233" i="33" s="1"/>
  <c r="E219" i="41" s="1"/>
  <c r="J233" i="28"/>
  <c r="E229" i="33" s="1"/>
  <c r="E215" i="41" s="1"/>
  <c r="J229" i="28"/>
  <c r="E225" i="33" s="1"/>
  <c r="E211" i="41" s="1"/>
  <c r="J225" i="28"/>
  <c r="E221" i="33" s="1"/>
  <c r="E207" i="41" s="1"/>
  <c r="J220" i="28"/>
  <c r="E216" i="33" s="1"/>
  <c r="E202" i="41" s="1"/>
  <c r="J216" i="28"/>
  <c r="E212" i="33" s="1"/>
  <c r="E198" i="41" s="1"/>
  <c r="J212" i="28"/>
  <c r="E208" i="33" s="1"/>
  <c r="E195" i="41" s="1"/>
  <c r="J208" i="28"/>
  <c r="E204" i="33" s="1"/>
  <c r="E191" i="41" s="1"/>
  <c r="J204" i="28"/>
  <c r="E200" i="33" s="1"/>
  <c r="E187" i="41" s="1"/>
  <c r="J200" i="28"/>
  <c r="E196" i="33" s="1"/>
  <c r="E183" i="41" s="1"/>
  <c r="J196" i="28"/>
  <c r="E192" i="33" s="1"/>
  <c r="E179" i="41" s="1"/>
  <c r="J192" i="28"/>
  <c r="E188" i="33" s="1"/>
  <c r="E175" i="41" s="1"/>
  <c r="J188" i="28"/>
  <c r="E184" i="33" s="1"/>
  <c r="E171" i="41" s="1"/>
  <c r="J184" i="28"/>
  <c r="E180" i="33" s="1"/>
  <c r="E167" i="41" s="1"/>
  <c r="J180" i="28"/>
  <c r="E176" i="33" s="1"/>
  <c r="E163" i="41" s="1"/>
  <c r="J176" i="28"/>
  <c r="E172" i="33" s="1"/>
  <c r="E160" i="41" s="1"/>
  <c r="J173" i="28"/>
  <c r="E169" i="33" s="1"/>
  <c r="E158" i="41" s="1"/>
  <c r="J169" i="28"/>
  <c r="J165" i="28"/>
  <c r="E161" i="33" s="1"/>
  <c r="E150" i="41" s="1"/>
  <c r="J161" i="28"/>
  <c r="E157" i="33" s="1"/>
  <c r="E146" i="41" s="1"/>
  <c r="J157" i="28"/>
  <c r="E152" i="33" s="1"/>
  <c r="E140" i="41" s="1"/>
  <c r="J153" i="28"/>
  <c r="E148" i="33" s="1"/>
  <c r="E136" i="41" s="1"/>
  <c r="J149" i="28"/>
  <c r="E144" i="33" s="1"/>
  <c r="E132" i="41" s="1"/>
  <c r="J145" i="28"/>
  <c r="E140" i="33" s="1"/>
  <c r="E128" i="41" s="1"/>
  <c r="J141" i="28"/>
  <c r="E136" i="33" s="1"/>
  <c r="E124" i="41" s="1"/>
  <c r="J137" i="28"/>
  <c r="E132" i="33" s="1"/>
  <c r="E120" i="41" s="1"/>
  <c r="J133" i="28"/>
  <c r="E128" i="33" s="1"/>
  <c r="E116" i="41" s="1"/>
  <c r="J129" i="28"/>
  <c r="E124" i="33" s="1"/>
  <c r="E112" i="41" s="1"/>
  <c r="J125" i="28"/>
  <c r="E120" i="33" s="1"/>
  <c r="E108" i="41" s="1"/>
  <c r="J121" i="28"/>
  <c r="E116" i="33" s="1"/>
  <c r="E104" i="41" s="1"/>
  <c r="J117" i="28"/>
  <c r="E112" i="33" s="1"/>
  <c r="E100" i="41" s="1"/>
  <c r="J113" i="28"/>
  <c r="E108" i="33" s="1"/>
  <c r="E96" i="41" s="1"/>
  <c r="J109" i="28"/>
  <c r="E104" i="33" s="1"/>
  <c r="J105" i="28"/>
  <c r="E100" i="33" s="1"/>
  <c r="E90" i="41" s="1"/>
  <c r="J101" i="28"/>
  <c r="E96" i="33" s="1"/>
  <c r="E87" i="41" s="1"/>
  <c r="J92" i="28"/>
  <c r="E87" i="33" s="1"/>
  <c r="E78" i="41" s="1"/>
  <c r="J88" i="28"/>
  <c r="E83" i="33" s="1"/>
  <c r="E74" i="41" s="1"/>
  <c r="J84" i="28"/>
  <c r="E79" i="33" s="1"/>
  <c r="J80" i="28"/>
  <c r="E75" i="33" s="1"/>
  <c r="J76" i="28"/>
  <c r="E71" i="33" s="1"/>
  <c r="E62" i="41" s="1"/>
  <c r="J72" i="28"/>
  <c r="E67" i="33" s="1"/>
  <c r="E58" i="41" s="1"/>
  <c r="J68" i="28"/>
  <c r="E63" i="33" s="1"/>
  <c r="E54" i="41" s="1"/>
  <c r="J56" i="28"/>
  <c r="E51" i="33" s="1"/>
  <c r="E42" i="41" s="1"/>
  <c r="J52" i="28"/>
  <c r="E47" i="33" s="1"/>
  <c r="E38" i="41" s="1"/>
  <c r="J44" i="28"/>
  <c r="E39" i="33" s="1"/>
  <c r="E30" i="41" s="1"/>
  <c r="J40" i="28"/>
  <c r="E35" i="33" s="1"/>
  <c r="E26" i="41" s="1"/>
  <c r="J37" i="28"/>
  <c r="E32" i="33" s="1"/>
  <c r="E16" i="41" s="1"/>
  <c r="J33" i="28"/>
  <c r="E28" i="33" s="1"/>
  <c r="E21" i="41" s="1"/>
  <c r="J29" i="28"/>
  <c r="E24" i="33" s="1"/>
  <c r="E15" i="41" s="1"/>
  <c r="J351" i="28"/>
  <c r="E347" i="33" s="1"/>
  <c r="E330" i="41" s="1"/>
  <c r="J347" i="28"/>
  <c r="E343" i="33" s="1"/>
  <c r="E326" i="41" s="1"/>
  <c r="J343" i="28"/>
  <c r="E338" i="33" s="1"/>
  <c r="E322" i="41" s="1"/>
  <c r="J339" i="28"/>
  <c r="E334" i="33" s="1"/>
  <c r="E318" i="41" s="1"/>
  <c r="J335" i="28"/>
  <c r="E330" i="33" s="1"/>
  <c r="E314" i="41" s="1"/>
  <c r="J327" i="28"/>
  <c r="E322" i="33" s="1"/>
  <c r="E306" i="41" s="1"/>
  <c r="J323" i="28"/>
  <c r="E318" i="33" s="1"/>
  <c r="E303" i="41" s="1"/>
  <c r="J317" i="28"/>
  <c r="E312" i="33" s="1"/>
  <c r="E297" i="41" s="1"/>
  <c r="J313" i="28"/>
  <c r="E308" i="33" s="1"/>
  <c r="E293" i="41" s="1"/>
  <c r="J309" i="28"/>
  <c r="E304" i="33" s="1"/>
  <c r="E289" i="41" s="1"/>
  <c r="J305" i="28"/>
  <c r="E300" i="33" s="1"/>
  <c r="E285" i="41" s="1"/>
  <c r="J301" i="28"/>
  <c r="E296" i="33" s="1"/>
  <c r="E281" i="41" s="1"/>
  <c r="J297" i="28"/>
  <c r="E292" i="33" s="1"/>
  <c r="E276" i="41" s="1"/>
  <c r="J293" i="28"/>
  <c r="E288" i="33" s="1"/>
  <c r="E273" i="41" s="1"/>
  <c r="J289" i="28"/>
  <c r="E285" i="33" s="1"/>
  <c r="E270" i="41" s="1"/>
  <c r="J274" i="28"/>
  <c r="E270" i="33" s="1"/>
  <c r="E257" i="41" s="1"/>
  <c r="J262" i="28"/>
  <c r="E258" i="33" s="1"/>
  <c r="E245" i="41" s="1"/>
  <c r="J254" i="28"/>
  <c r="E250" i="33" s="1"/>
  <c r="E236" i="41" s="1"/>
  <c r="J242" i="28"/>
  <c r="E238" i="33" s="1"/>
  <c r="E224" i="41" s="1"/>
  <c r="J230" i="28"/>
  <c r="E226" i="33" s="1"/>
  <c r="E212" i="41" s="1"/>
  <c r="J217" i="28"/>
  <c r="E213" i="33" s="1"/>
  <c r="E199" i="41" s="1"/>
  <c r="J209" i="28"/>
  <c r="E205" i="33" s="1"/>
  <c r="E192" i="41" s="1"/>
  <c r="J193" i="28"/>
  <c r="E189" i="33" s="1"/>
  <c r="E176" i="41" s="1"/>
  <c r="J177" i="28"/>
  <c r="E173" i="33" s="1"/>
  <c r="E161" i="41" s="1"/>
  <c r="J170" i="28"/>
  <c r="E166" i="33" s="1"/>
  <c r="E155" i="41" s="1"/>
  <c r="J158" i="28"/>
  <c r="E153" i="33" s="1"/>
  <c r="E141" i="41" s="1"/>
  <c r="J146" i="28"/>
  <c r="E141" i="33" s="1"/>
  <c r="E129" i="41" s="1"/>
  <c r="J138" i="28"/>
  <c r="E133" i="33" s="1"/>
  <c r="E121" i="41" s="1"/>
  <c r="J130" i="28"/>
  <c r="E125" i="33" s="1"/>
  <c r="E113" i="41" s="1"/>
  <c r="J122" i="28"/>
  <c r="E117" i="33" s="1"/>
  <c r="E105" i="41" s="1"/>
  <c r="J114" i="28"/>
  <c r="E109" i="33" s="1"/>
  <c r="J106" i="28"/>
  <c r="E101" i="33" s="1"/>
  <c r="E91" i="41" s="1"/>
  <c r="J89" i="28"/>
  <c r="E84" i="33" s="1"/>
  <c r="E75" i="41" s="1"/>
  <c r="J81" i="28"/>
  <c r="E76" i="33" s="1"/>
  <c r="E66" i="41" s="1"/>
  <c r="J73" i="28"/>
  <c r="E68" i="33" s="1"/>
  <c r="E59" i="41" s="1"/>
  <c r="J57" i="28"/>
  <c r="E52" i="33" s="1"/>
  <c r="E43" i="41" s="1"/>
  <c r="J49" i="28"/>
  <c r="E44" i="33" s="1"/>
  <c r="E35" i="41" s="1"/>
  <c r="J41" i="28"/>
  <c r="E36" i="33" s="1"/>
  <c r="E27" i="41" s="1"/>
  <c r="J27" i="28"/>
  <c r="E22" i="33" s="1"/>
  <c r="J26" i="28"/>
  <c r="E21" i="33" s="1"/>
  <c r="E13" i="41" s="1"/>
  <c r="J279" i="28"/>
  <c r="E275" i="33" s="1"/>
  <c r="E261" i="41" s="1"/>
  <c r="J275" i="28"/>
  <c r="E271" i="33" s="1"/>
  <c r="E258" i="41" s="1"/>
  <c r="J272" i="28"/>
  <c r="E268" i="33" s="1"/>
  <c r="E255" i="41" s="1"/>
  <c r="J268" i="28"/>
  <c r="E264" i="33" s="1"/>
  <c r="E251" i="41" s="1"/>
  <c r="J264" i="28"/>
  <c r="E260" i="33" s="1"/>
  <c r="E247" i="41" s="1"/>
  <c r="J260" i="28"/>
  <c r="E256" i="33" s="1"/>
  <c r="E243" i="41" s="1"/>
  <c r="J256" i="28"/>
  <c r="E252" i="33" s="1"/>
  <c r="E239" i="41" s="1"/>
  <c r="J252" i="28"/>
  <c r="E248" i="33" s="1"/>
  <c r="E234" i="41" s="1"/>
  <c r="J248" i="28"/>
  <c r="E244" i="33" s="1"/>
  <c r="E230" i="41" s="1"/>
  <c r="J244" i="28"/>
  <c r="E240" i="33" s="1"/>
  <c r="E226" i="41" s="1"/>
  <c r="J240" i="28"/>
  <c r="E236" i="33" s="1"/>
  <c r="E222" i="41" s="1"/>
  <c r="J236" i="28"/>
  <c r="E232" i="33" s="1"/>
  <c r="E218" i="41" s="1"/>
  <c r="J232" i="28"/>
  <c r="E228" i="33" s="1"/>
  <c r="E214" i="41" s="1"/>
  <c r="J228" i="28"/>
  <c r="E224" i="33" s="1"/>
  <c r="E210" i="41" s="1"/>
  <c r="J223" i="28"/>
  <c r="E219" i="33" s="1"/>
  <c r="E205" i="41" s="1"/>
  <c r="J219" i="28"/>
  <c r="E215" i="33" s="1"/>
  <c r="E201" i="41" s="1"/>
  <c r="J215" i="28"/>
  <c r="E211" i="33" s="1"/>
  <c r="J211" i="28"/>
  <c r="E207" i="33" s="1"/>
  <c r="E194" i="41" s="1"/>
  <c r="J207" i="28"/>
  <c r="E203" i="33" s="1"/>
  <c r="E190" i="41" s="1"/>
  <c r="J203" i="28"/>
  <c r="E199" i="33" s="1"/>
  <c r="E186" i="41" s="1"/>
  <c r="J199" i="28"/>
  <c r="E195" i="33" s="1"/>
  <c r="E182" i="41" s="1"/>
  <c r="J195" i="28"/>
  <c r="E191" i="33" s="1"/>
  <c r="E178" i="41" s="1"/>
  <c r="J191" i="28"/>
  <c r="E187" i="33" s="1"/>
  <c r="E174" i="41" s="1"/>
  <c r="J187" i="28"/>
  <c r="E183" i="33" s="1"/>
  <c r="E170" i="41" s="1"/>
  <c r="J183" i="28"/>
  <c r="E179" i="33" s="1"/>
  <c r="E166" i="41" s="1"/>
  <c r="J179" i="28"/>
  <c r="E175" i="33" s="1"/>
  <c r="J172" i="28"/>
  <c r="E168" i="33" s="1"/>
  <c r="E157" i="41" s="1"/>
  <c r="J168" i="28"/>
  <c r="E164" i="33" s="1"/>
  <c r="E153" i="41" s="1"/>
  <c r="J164" i="28"/>
  <c r="E160" i="33" s="1"/>
  <c r="E149" i="41" s="1"/>
  <c r="J160" i="28"/>
  <c r="E155" i="33" s="1"/>
  <c r="E143" i="41" s="1"/>
  <c r="J156" i="28"/>
  <c r="E151" i="33" s="1"/>
  <c r="E139" i="41" s="1"/>
  <c r="J152" i="28"/>
  <c r="E147" i="33" s="1"/>
  <c r="E135" i="41" s="1"/>
  <c r="J148" i="28"/>
  <c r="E143" i="33" s="1"/>
  <c r="E131" i="41" s="1"/>
  <c r="J144" i="28"/>
  <c r="E139" i="33" s="1"/>
  <c r="E127" i="41" s="1"/>
  <c r="J140" i="28"/>
  <c r="E135" i="33" s="1"/>
  <c r="E123" i="41" s="1"/>
  <c r="J136" i="28"/>
  <c r="E131" i="33" s="1"/>
  <c r="E119" i="41" s="1"/>
  <c r="J132" i="28"/>
  <c r="E127" i="33" s="1"/>
  <c r="E115" i="41" s="1"/>
  <c r="J128" i="28"/>
  <c r="E123" i="33" s="1"/>
  <c r="E111" i="41" s="1"/>
  <c r="J124" i="28"/>
  <c r="E119" i="33" s="1"/>
  <c r="E107" i="41" s="1"/>
  <c r="J120" i="28"/>
  <c r="E115" i="33" s="1"/>
  <c r="E103" i="41" s="1"/>
  <c r="J116" i="28"/>
  <c r="E111" i="33" s="1"/>
  <c r="E117" i="35" s="1"/>
  <c r="J112" i="28"/>
  <c r="E107" i="33" s="1"/>
  <c r="E95" i="41" s="1"/>
  <c r="J108" i="28"/>
  <c r="E103" i="33" s="1"/>
  <c r="E93" i="41" s="1"/>
  <c r="J104" i="28"/>
  <c r="E99" i="33" s="1"/>
  <c r="E89" i="41" s="1"/>
  <c r="J100" i="28"/>
  <c r="E95" i="33" s="1"/>
  <c r="E86" i="41" s="1"/>
  <c r="J91" i="28"/>
  <c r="E86" i="33" s="1"/>
  <c r="E77" i="41" s="1"/>
  <c r="J87" i="28"/>
  <c r="E82" i="33" s="1"/>
  <c r="E73" i="41" s="1"/>
  <c r="J83" i="28"/>
  <c r="E78" i="33" s="1"/>
  <c r="E68" i="41" s="1"/>
  <c r="J79" i="28"/>
  <c r="E74" i="33" s="1"/>
  <c r="E65" i="41" s="1"/>
  <c r="J75" i="28"/>
  <c r="E70" i="33" s="1"/>
  <c r="E61" i="41" s="1"/>
  <c r="J71" i="28"/>
  <c r="E66" i="33" s="1"/>
  <c r="E57" i="41" s="1"/>
  <c r="J55" i="28"/>
  <c r="E50" i="33" s="1"/>
  <c r="E41" i="41" s="1"/>
  <c r="J51" i="28"/>
  <c r="E46" i="33" s="1"/>
  <c r="E37" i="41" s="1"/>
  <c r="J43" i="28"/>
  <c r="E38" i="33" s="1"/>
  <c r="E29" i="41" s="1"/>
  <c r="J39" i="28"/>
  <c r="E34" i="33" s="1"/>
  <c r="E25" i="41" s="1"/>
  <c r="J36" i="28"/>
  <c r="E31" i="33" s="1"/>
  <c r="J32" i="28"/>
  <c r="E27" i="33" s="1"/>
  <c r="E20" i="41" s="1"/>
  <c r="J28" i="28"/>
  <c r="E23" i="33" s="1"/>
  <c r="E14" i="41" s="1"/>
  <c r="J350" i="28"/>
  <c r="J346" i="28"/>
  <c r="E342" i="33" s="1"/>
  <c r="J342" i="28"/>
  <c r="E337" i="33" s="1"/>
  <c r="E321" i="41" s="1"/>
  <c r="J326" i="28"/>
  <c r="E321" i="33" s="1"/>
  <c r="E305" i="41" s="1"/>
  <c r="J322" i="28"/>
  <c r="E317" i="33" s="1"/>
  <c r="E302" i="41" s="1"/>
  <c r="J316" i="28"/>
  <c r="E311" i="33" s="1"/>
  <c r="E296" i="41" s="1"/>
  <c r="J312" i="28"/>
  <c r="E307" i="33" s="1"/>
  <c r="E292" i="41" s="1"/>
  <c r="J308" i="28"/>
  <c r="E303" i="33" s="1"/>
  <c r="E288" i="41" s="1"/>
  <c r="J304" i="28"/>
  <c r="E299" i="33" s="1"/>
  <c r="E284" i="41" s="1"/>
  <c r="J300" i="28"/>
  <c r="E295" i="33" s="1"/>
  <c r="E280" i="41" s="1"/>
  <c r="J296" i="28"/>
  <c r="E291" i="33" s="1"/>
  <c r="E275" i="41" s="1"/>
  <c r="J292" i="28"/>
  <c r="E287" i="33" s="1"/>
  <c r="E272" i="41" s="1"/>
  <c r="J23" i="28"/>
  <c r="E18" i="33" s="1"/>
  <c r="J24" i="28"/>
  <c r="E19" i="33" s="1"/>
  <c r="E11" i="41" s="1"/>
  <c r="J277" i="28"/>
  <c r="E273" i="33" s="1"/>
  <c r="E259" i="41" s="1"/>
  <c r="J266" i="28"/>
  <c r="E262" i="33" s="1"/>
  <c r="E249" i="41" s="1"/>
  <c r="J250" i="28"/>
  <c r="E246" i="33" s="1"/>
  <c r="E232" i="41" s="1"/>
  <c r="J238" i="28"/>
  <c r="E234" i="33" s="1"/>
  <c r="E220" i="41" s="1"/>
  <c r="J226" i="28"/>
  <c r="E222" i="33" s="1"/>
  <c r="E208" i="41" s="1"/>
  <c r="J213" i="28"/>
  <c r="E209" i="33" s="1"/>
  <c r="E196" i="41" s="1"/>
  <c r="J201" i="28"/>
  <c r="E197" i="33" s="1"/>
  <c r="E184" i="41" s="1"/>
  <c r="J189" i="28"/>
  <c r="E185" i="33" s="1"/>
  <c r="E172" i="41" s="1"/>
  <c r="J181" i="28"/>
  <c r="E177" i="33" s="1"/>
  <c r="E164" i="41" s="1"/>
  <c r="J166" i="28"/>
  <c r="E162" i="33" s="1"/>
  <c r="E151" i="41" s="1"/>
  <c r="J154" i="28"/>
  <c r="E149" i="33" s="1"/>
  <c r="E137" i="41" s="1"/>
  <c r="J25" i="28"/>
  <c r="E20" i="33" s="1"/>
  <c r="E12" i="41" s="1"/>
  <c r="J278" i="28"/>
  <c r="E274" i="33" s="1"/>
  <c r="E260" i="41" s="1"/>
  <c r="J271" i="28"/>
  <c r="E267" i="33" s="1"/>
  <c r="E254" i="41" s="1"/>
  <c r="J267" i="28"/>
  <c r="E263" i="33" s="1"/>
  <c r="E250" i="41" s="1"/>
  <c r="J263" i="28"/>
  <c r="E259" i="33" s="1"/>
  <c r="E246" i="41" s="1"/>
  <c r="J259" i="28"/>
  <c r="E255" i="33" s="1"/>
  <c r="E242" i="41" s="1"/>
  <c r="J255" i="28"/>
  <c r="E251" i="33" s="1"/>
  <c r="E238" i="41" s="1"/>
  <c r="J251" i="28"/>
  <c r="E247" i="33" s="1"/>
  <c r="E233" i="41" s="1"/>
  <c r="J247" i="28"/>
  <c r="E243" i="33" s="1"/>
  <c r="E229" i="41" s="1"/>
  <c r="J243" i="28"/>
  <c r="E239" i="33" s="1"/>
  <c r="E225" i="41" s="1"/>
  <c r="J239" i="28"/>
  <c r="E235" i="33" s="1"/>
  <c r="E221" i="41" s="1"/>
  <c r="J235" i="28"/>
  <c r="E231" i="33" s="1"/>
  <c r="E217" i="41" s="1"/>
  <c r="J231" i="28"/>
  <c r="E227" i="33" s="1"/>
  <c r="E213" i="41" s="1"/>
  <c r="J227" i="28"/>
  <c r="E223" i="33" s="1"/>
  <c r="E209" i="41" s="1"/>
  <c r="J222" i="28"/>
  <c r="E218" i="33" s="1"/>
  <c r="E204" i="41" s="1"/>
  <c r="J218" i="28"/>
  <c r="E214" i="33" s="1"/>
  <c r="E200" i="41" s="1"/>
  <c r="J214" i="28"/>
  <c r="E210" i="33" s="1"/>
  <c r="E197" i="41" s="1"/>
  <c r="J210" i="28"/>
  <c r="E206" i="33" s="1"/>
  <c r="E193" i="41" s="1"/>
  <c r="J206" i="28"/>
  <c r="E202" i="33" s="1"/>
  <c r="E189" i="41" s="1"/>
  <c r="J202" i="28"/>
  <c r="E198" i="33" s="1"/>
  <c r="E185" i="41" s="1"/>
  <c r="J198" i="28"/>
  <c r="E194" i="33" s="1"/>
  <c r="E181" i="41" s="1"/>
  <c r="J194" i="28"/>
  <c r="E190" i="33" s="1"/>
  <c r="E177" i="41" s="1"/>
  <c r="J190" i="28"/>
  <c r="E186" i="33" s="1"/>
  <c r="E173" i="41" s="1"/>
  <c r="J186" i="28"/>
  <c r="E182" i="33" s="1"/>
  <c r="E169" i="41" s="1"/>
  <c r="J182" i="28"/>
  <c r="E178" i="33" s="1"/>
  <c r="E165" i="41" s="1"/>
  <c r="J178" i="28"/>
  <c r="E174" i="33" s="1"/>
  <c r="E162" i="41" s="1"/>
  <c r="J175" i="28"/>
  <c r="E171" i="33" s="1"/>
  <c r="J171" i="28"/>
  <c r="E167" i="33" s="1"/>
  <c r="E156" i="41" s="1"/>
  <c r="J167" i="28"/>
  <c r="E163" i="33" s="1"/>
  <c r="E152" i="41" s="1"/>
  <c r="J163" i="28"/>
  <c r="E159" i="33" s="1"/>
  <c r="E148" i="41" s="1"/>
  <c r="J159" i="28"/>
  <c r="E154" i="33" s="1"/>
  <c r="E142" i="41" s="1"/>
  <c r="J155" i="28"/>
  <c r="E150" i="33" s="1"/>
  <c r="E138" i="41" s="1"/>
  <c r="J151" i="28"/>
  <c r="E146" i="33" s="1"/>
  <c r="E134" i="41" s="1"/>
  <c r="J147" i="28"/>
  <c r="E142" i="33" s="1"/>
  <c r="E130" i="41" s="1"/>
  <c r="J143" i="28"/>
  <c r="E138" i="33" s="1"/>
  <c r="E126" i="41" s="1"/>
  <c r="J139" i="28"/>
  <c r="E134" i="33" s="1"/>
  <c r="E122" i="41" s="1"/>
  <c r="J135" i="28"/>
  <c r="E130" i="33" s="1"/>
  <c r="E118" i="41" s="1"/>
  <c r="J131" i="28"/>
  <c r="E126" i="33" s="1"/>
  <c r="E114" i="41" s="1"/>
  <c r="J127" i="28"/>
  <c r="E122" i="33" s="1"/>
  <c r="E110" i="41" s="1"/>
  <c r="J123" i="28"/>
  <c r="E118" i="33" s="1"/>
  <c r="E106" i="41" s="1"/>
  <c r="J119" i="28"/>
  <c r="E114" i="33" s="1"/>
  <c r="E102" i="41" s="1"/>
  <c r="J111" i="28"/>
  <c r="E106" i="33" s="1"/>
  <c r="J107" i="28"/>
  <c r="E102" i="33" s="1"/>
  <c r="E92" i="41" s="1"/>
  <c r="J90" i="28"/>
  <c r="E85" i="33" s="1"/>
  <c r="E76" i="41" s="1"/>
  <c r="J86" i="28"/>
  <c r="E81" i="33" s="1"/>
  <c r="E72" i="41" s="1"/>
  <c r="J82" i="28"/>
  <c r="E77" i="33" s="1"/>
  <c r="E67" i="41" s="1"/>
  <c r="J78" i="28"/>
  <c r="E73" i="33" s="1"/>
  <c r="E64" i="41" s="1"/>
  <c r="J74" i="28"/>
  <c r="E69" i="33" s="1"/>
  <c r="E60" i="41" s="1"/>
  <c r="J70" i="28"/>
  <c r="E65" i="33" s="1"/>
  <c r="E56" i="41" s="1"/>
  <c r="J58" i="28"/>
  <c r="E53" i="33" s="1"/>
  <c r="E44" i="41" s="1"/>
  <c r="J54" i="28"/>
  <c r="E49" i="33" s="1"/>
  <c r="E40" i="41" s="1"/>
  <c r="J50" i="28"/>
  <c r="E45" i="33" s="1"/>
  <c r="E36" i="41" s="1"/>
  <c r="J42" i="28"/>
  <c r="E37" i="33" s="1"/>
  <c r="E28" i="41" s="1"/>
  <c r="J38" i="28"/>
  <c r="E33" i="33" s="1"/>
  <c r="E24" i="41" s="1"/>
  <c r="J35" i="28"/>
  <c r="E30" i="33" s="1"/>
  <c r="E18" i="41" s="1"/>
  <c r="J31" i="28"/>
  <c r="E26" i="33" s="1"/>
  <c r="E19" i="41" s="1"/>
  <c r="J353" i="28"/>
  <c r="E349" i="33" s="1"/>
  <c r="E332" i="41" s="1"/>
  <c r="J349" i="28"/>
  <c r="J345" i="28"/>
  <c r="E341" i="33" s="1"/>
  <c r="E325" i="41" s="1"/>
  <c r="J341" i="28"/>
  <c r="E336" i="33" s="1"/>
  <c r="E320" i="41" s="1"/>
  <c r="J329" i="28"/>
  <c r="E324" i="33" s="1"/>
  <c r="E308" i="41" s="1"/>
  <c r="J325" i="28"/>
  <c r="E320" i="33" s="1"/>
  <c r="E99" i="41" s="1"/>
  <c r="J321" i="28"/>
  <c r="E316" i="33" s="1"/>
  <c r="E301" i="41" s="1"/>
  <c r="J315" i="28"/>
  <c r="E310" i="33" s="1"/>
  <c r="E295" i="41" s="1"/>
  <c r="J311" i="28"/>
  <c r="E306" i="33" s="1"/>
  <c r="E291" i="41" s="1"/>
  <c r="J307" i="28"/>
  <c r="E302" i="33" s="1"/>
  <c r="E287" i="41" s="1"/>
  <c r="J303" i="28"/>
  <c r="E298" i="33" s="1"/>
  <c r="E283" i="41" s="1"/>
  <c r="J299" i="28"/>
  <c r="E294" i="33" s="1"/>
  <c r="E278" i="41" s="1"/>
  <c r="J295" i="28"/>
  <c r="E290" i="33" s="1"/>
  <c r="E274" i="41" s="1"/>
  <c r="J291" i="28"/>
  <c r="E286" i="33" s="1"/>
  <c r="E271" i="41"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6"/>
  <c r="E21" i="34"/>
  <c r="E38" i="6"/>
  <c r="E40" i="34"/>
  <c r="E62" i="6"/>
  <c r="E64" i="34"/>
  <c r="E78" i="6"/>
  <c r="E80" i="34"/>
  <c r="E108" i="6"/>
  <c r="E114" i="34"/>
  <c r="E124" i="6"/>
  <c r="E130" i="34"/>
  <c r="E140" i="6"/>
  <c r="E146" i="34"/>
  <c r="E158" i="6"/>
  <c r="E164" i="34"/>
  <c r="E171" i="6"/>
  <c r="E178" i="34"/>
  <c r="E187" i="6"/>
  <c r="E194" i="34"/>
  <c r="E202" i="6"/>
  <c r="E209" i="34"/>
  <c r="E219" i="6"/>
  <c r="E226" i="34"/>
  <c r="E235" i="6"/>
  <c r="E242" i="34"/>
  <c r="E252" i="6"/>
  <c r="E258" i="34"/>
  <c r="E139" i="6"/>
  <c r="E145" i="34"/>
  <c r="E186" i="6"/>
  <c r="E193" i="34"/>
  <c r="E234" i="6"/>
  <c r="E241" i="34"/>
  <c r="E13" i="34"/>
  <c r="E27" i="6"/>
  <c r="E29" i="34"/>
  <c r="E59" i="6"/>
  <c r="E61" i="34"/>
  <c r="E75" i="6"/>
  <c r="E77" i="34"/>
  <c r="E95" i="6"/>
  <c r="E98" i="34"/>
  <c r="E109" i="6"/>
  <c r="E115" i="34"/>
  <c r="E125" i="6"/>
  <c r="E131" i="34"/>
  <c r="E141" i="6"/>
  <c r="E147" i="34"/>
  <c r="E159" i="6"/>
  <c r="E165" i="34"/>
  <c r="E176" i="6"/>
  <c r="E183" i="34"/>
  <c r="E192" i="6"/>
  <c r="E199" i="34"/>
  <c r="E207" i="6"/>
  <c r="E214" i="34"/>
  <c r="E224" i="6"/>
  <c r="E231" i="34"/>
  <c r="E241" i="6"/>
  <c r="E247" i="34"/>
  <c r="E257" i="6"/>
  <c r="E263" i="34"/>
  <c r="E17" i="34"/>
  <c r="E61" i="6"/>
  <c r="E63" i="34"/>
  <c r="E104" i="34"/>
  <c r="E131" i="6"/>
  <c r="E137" i="34"/>
  <c r="E178" i="6"/>
  <c r="E185" i="34"/>
  <c r="E226" i="6"/>
  <c r="E233" i="34"/>
  <c r="E23" i="6"/>
  <c r="E23" i="34"/>
  <c r="E40" i="6"/>
  <c r="E42" i="34"/>
  <c r="E64" i="6"/>
  <c r="E66" i="34"/>
  <c r="E80" i="6"/>
  <c r="E82" i="34"/>
  <c r="E98" i="6"/>
  <c r="E103" i="34"/>
  <c r="E114" i="6"/>
  <c r="E120" i="34"/>
  <c r="E130" i="6"/>
  <c r="E136" i="34"/>
  <c r="E148" i="6"/>
  <c r="E154" i="34"/>
  <c r="E162" i="6"/>
  <c r="E169" i="34"/>
  <c r="E177" i="6"/>
  <c r="E184" i="34"/>
  <c r="E193" i="6"/>
  <c r="E200" i="34"/>
  <c r="E209" i="6"/>
  <c r="E216" i="34"/>
  <c r="E225" i="6"/>
  <c r="E232" i="34"/>
  <c r="E242" i="6"/>
  <c r="E248" i="34"/>
  <c r="E258" i="6"/>
  <c r="E264" i="34"/>
  <c r="E65" i="6"/>
  <c r="E67" i="34"/>
  <c r="E103" i="6"/>
  <c r="E109" i="34"/>
  <c r="E135" i="6"/>
  <c r="E141" i="34"/>
  <c r="E182" i="6"/>
  <c r="E189" i="34"/>
  <c r="E230" i="6"/>
  <c r="E237" i="34"/>
  <c r="E20" i="6"/>
  <c r="E25" i="34"/>
  <c r="E42" i="6"/>
  <c r="E44" i="34"/>
  <c r="E66" i="6"/>
  <c r="E68" i="34"/>
  <c r="E94" i="6"/>
  <c r="E97" i="34"/>
  <c r="E112" i="6"/>
  <c r="E118" i="34"/>
  <c r="E128" i="6"/>
  <c r="E134" i="34"/>
  <c r="E144" i="6"/>
  <c r="E150" i="34"/>
  <c r="E168" i="34"/>
  <c r="E175" i="6"/>
  <c r="E182" i="34"/>
  <c r="E191" i="6"/>
  <c r="E198" i="34"/>
  <c r="E206" i="6"/>
  <c r="E213" i="34"/>
  <c r="E223" i="6"/>
  <c r="E230" i="34"/>
  <c r="E240" i="6"/>
  <c r="E246" i="34"/>
  <c r="E256" i="6"/>
  <c r="E262" i="34"/>
  <c r="E153" i="6"/>
  <c r="E159" i="34"/>
  <c r="E198" i="6"/>
  <c r="E205" i="34"/>
  <c r="E251" i="6"/>
  <c r="E257" i="34"/>
  <c r="E16" i="6"/>
  <c r="E18" i="34"/>
  <c r="E31" i="6"/>
  <c r="E33" i="34"/>
  <c r="E63" i="6"/>
  <c r="E65" i="34"/>
  <c r="E79" i="6"/>
  <c r="E81" i="34"/>
  <c r="E97" i="6"/>
  <c r="E102" i="34"/>
  <c r="E113" i="6"/>
  <c r="E119" i="34"/>
  <c r="E129" i="6"/>
  <c r="E135" i="34"/>
  <c r="E145" i="6"/>
  <c r="E151" i="34"/>
  <c r="E180" i="6"/>
  <c r="E187" i="34"/>
  <c r="E196" i="6"/>
  <c r="E203" i="34"/>
  <c r="E212" i="6"/>
  <c r="E219" i="34"/>
  <c r="E228" i="6"/>
  <c r="E235" i="34"/>
  <c r="E245" i="6"/>
  <c r="E251" i="34"/>
  <c r="E260" i="6"/>
  <c r="E266" i="34"/>
  <c r="E29" i="6"/>
  <c r="E31" i="34"/>
  <c r="E68" i="6"/>
  <c r="E71" i="34"/>
  <c r="E107" i="6"/>
  <c r="E113" i="34"/>
  <c r="E143" i="6"/>
  <c r="E149" i="34"/>
  <c r="E194" i="6"/>
  <c r="E201" i="34"/>
  <c r="E238" i="6"/>
  <c r="E245" i="34"/>
  <c r="E18" i="6"/>
  <c r="E27" i="34"/>
  <c r="E44" i="6"/>
  <c r="E46" i="34"/>
  <c r="E70" i="34"/>
  <c r="E89" i="6"/>
  <c r="E91" i="34"/>
  <c r="E102" i="6"/>
  <c r="E108" i="34"/>
  <c r="E118" i="6"/>
  <c r="E124" i="34"/>
  <c r="E134" i="6"/>
  <c r="E140" i="34"/>
  <c r="E152" i="6"/>
  <c r="E158" i="34"/>
  <c r="E165" i="6"/>
  <c r="E172" i="34"/>
  <c r="E181" i="6"/>
  <c r="E188" i="34"/>
  <c r="E197" i="6"/>
  <c r="E204" i="34"/>
  <c r="E213" i="6"/>
  <c r="E220" i="34"/>
  <c r="E229" i="6"/>
  <c r="E236" i="34"/>
  <c r="E246" i="6"/>
  <c r="E252" i="34"/>
  <c r="E73" i="6"/>
  <c r="E75" i="34"/>
  <c r="E111" i="6"/>
  <c r="E117" i="34"/>
  <c r="E149" i="6"/>
  <c r="E155" i="34"/>
  <c r="E190" i="6"/>
  <c r="E197" i="34"/>
  <c r="E243" i="6"/>
  <c r="E249" i="34"/>
  <c r="E101" i="6"/>
  <c r="E106" i="34"/>
  <c r="E26" i="6"/>
  <c r="E28" i="34"/>
  <c r="E46" i="6"/>
  <c r="E48" i="34"/>
  <c r="E69" i="6"/>
  <c r="E72" i="34"/>
  <c r="E101" i="34"/>
  <c r="E116" i="6"/>
  <c r="E122" i="34"/>
  <c r="E132" i="6"/>
  <c r="E138" i="34"/>
  <c r="E150" i="6"/>
  <c r="E156" i="34"/>
  <c r="E164" i="6"/>
  <c r="E171" i="34"/>
  <c r="E179" i="6"/>
  <c r="E186" i="34"/>
  <c r="E195" i="6"/>
  <c r="E202" i="34"/>
  <c r="E211" i="6"/>
  <c r="E218" i="34"/>
  <c r="E227" i="6"/>
  <c r="E234" i="34"/>
  <c r="E244" i="6"/>
  <c r="E250" i="34"/>
  <c r="E262" i="6"/>
  <c r="E268" i="34"/>
  <c r="E166" i="6"/>
  <c r="E173" i="34"/>
  <c r="E210" i="6"/>
  <c r="E217" i="34"/>
  <c r="E261" i="6"/>
  <c r="E267" i="34"/>
  <c r="E22" i="6"/>
  <c r="E22" i="34"/>
  <c r="E39" i="6"/>
  <c r="E41" i="34"/>
  <c r="E67" i="6"/>
  <c r="E69" i="34"/>
  <c r="E88" i="6"/>
  <c r="E90" i="34"/>
  <c r="E107" i="34"/>
  <c r="E117" i="6"/>
  <c r="E123" i="34"/>
  <c r="E133" i="6"/>
  <c r="E139" i="34"/>
  <c r="E151" i="6"/>
  <c r="E157" i="34"/>
  <c r="E168" i="6"/>
  <c r="E175" i="34"/>
  <c r="E184" i="6"/>
  <c r="E191" i="34"/>
  <c r="E216" i="6"/>
  <c r="E223" i="34"/>
  <c r="E232" i="6"/>
  <c r="E239" i="34"/>
  <c r="E249" i="6"/>
  <c r="E255" i="34"/>
  <c r="E263" i="6"/>
  <c r="E269" i="34"/>
  <c r="E37" i="6"/>
  <c r="E39" i="34"/>
  <c r="E77" i="6"/>
  <c r="E79" i="34"/>
  <c r="E115" i="6"/>
  <c r="E121" i="34"/>
  <c r="E157" i="6"/>
  <c r="E163" i="34"/>
  <c r="E201" i="6"/>
  <c r="E208" i="34"/>
  <c r="E247" i="6"/>
  <c r="E253" i="34"/>
  <c r="E28" i="6"/>
  <c r="E30" i="34"/>
  <c r="E56" i="6"/>
  <c r="E58" i="34"/>
  <c r="E92" i="6"/>
  <c r="E95" i="34"/>
  <c r="E106" i="6"/>
  <c r="E112" i="34"/>
  <c r="E122" i="6"/>
  <c r="E128" i="34"/>
  <c r="E138" i="6"/>
  <c r="E144" i="34"/>
  <c r="E169" i="6"/>
  <c r="E176" i="34"/>
  <c r="E185" i="6"/>
  <c r="E192" i="34"/>
  <c r="E200" i="6"/>
  <c r="E207" i="34"/>
  <c r="E217" i="6"/>
  <c r="E224" i="34"/>
  <c r="E233" i="6"/>
  <c r="E240" i="34"/>
  <c r="E250" i="6"/>
  <c r="E256" i="34"/>
  <c r="E41" i="6"/>
  <c r="E43" i="34"/>
  <c r="E92" i="34"/>
  <c r="E119" i="6"/>
  <c r="E125" i="34"/>
  <c r="E161" i="6"/>
  <c r="E167" i="34"/>
  <c r="E205" i="6"/>
  <c r="E212" i="34"/>
  <c r="E255" i="6"/>
  <c r="E261" i="34"/>
  <c r="E19" i="6"/>
  <c r="E20" i="34"/>
  <c r="E30" i="6"/>
  <c r="E32" i="34"/>
  <c r="E58" i="6"/>
  <c r="E60" i="34"/>
  <c r="E74" i="6"/>
  <c r="E76" i="34"/>
  <c r="E104" i="6"/>
  <c r="E110" i="34"/>
  <c r="E120" i="6"/>
  <c r="E126" i="34"/>
  <c r="E136" i="6"/>
  <c r="E142" i="34"/>
  <c r="E154" i="6"/>
  <c r="E160" i="34"/>
  <c r="E167" i="6"/>
  <c r="E174" i="34"/>
  <c r="E183" i="6"/>
  <c r="E190" i="34"/>
  <c r="E199" i="6"/>
  <c r="E206" i="34"/>
  <c r="E215" i="6"/>
  <c r="E222" i="34"/>
  <c r="E231" i="6"/>
  <c r="E238" i="34"/>
  <c r="E248" i="6"/>
  <c r="E254" i="34"/>
  <c r="E14" i="6"/>
  <c r="E15" i="34"/>
  <c r="E174" i="6"/>
  <c r="E181" i="34"/>
  <c r="E222" i="6"/>
  <c r="E229" i="34"/>
  <c r="E13" i="6"/>
  <c r="E14" i="34"/>
  <c r="E26" i="34"/>
  <c r="E43" i="6"/>
  <c r="E45" i="34"/>
  <c r="E70" i="6"/>
  <c r="E73" i="34"/>
  <c r="E91" i="6"/>
  <c r="E94" i="34"/>
  <c r="E105" i="6"/>
  <c r="E111" i="34"/>
  <c r="E121" i="6"/>
  <c r="E127" i="34"/>
  <c r="E137" i="6"/>
  <c r="E143" i="34"/>
  <c r="E155" i="6"/>
  <c r="E161" i="34"/>
  <c r="E172" i="6"/>
  <c r="E179" i="34"/>
  <c r="E188" i="6"/>
  <c r="E195" i="34"/>
  <c r="E203" i="6"/>
  <c r="E210" i="34"/>
  <c r="E220" i="6"/>
  <c r="E227" i="34"/>
  <c r="E236" i="6"/>
  <c r="E243" i="34"/>
  <c r="E253" i="6"/>
  <c r="E259" i="34"/>
  <c r="E15" i="6"/>
  <c r="E16" i="34"/>
  <c r="E45" i="6"/>
  <c r="E47" i="34"/>
  <c r="E93" i="6"/>
  <c r="E96" i="34"/>
  <c r="E123" i="6"/>
  <c r="E129" i="34"/>
  <c r="E163" i="6"/>
  <c r="E170" i="34"/>
  <c r="E214" i="6"/>
  <c r="E221" i="34"/>
  <c r="E259" i="6"/>
  <c r="E265" i="34"/>
  <c r="E17" i="6"/>
  <c r="E19" i="34"/>
  <c r="E32" i="6"/>
  <c r="E34" i="34"/>
  <c r="E60" i="6"/>
  <c r="E62" i="34"/>
  <c r="E76" i="6"/>
  <c r="E78" i="34"/>
  <c r="E99" i="34"/>
  <c r="E110" i="6"/>
  <c r="E116" i="34"/>
  <c r="E126" i="6"/>
  <c r="E132" i="34"/>
  <c r="E142" i="6"/>
  <c r="E148" i="34"/>
  <c r="E160" i="6"/>
  <c r="E166" i="34"/>
  <c r="E173" i="6"/>
  <c r="E180" i="34"/>
  <c r="E189" i="6"/>
  <c r="E196" i="34"/>
  <c r="E204" i="6"/>
  <c r="E211" i="34"/>
  <c r="E221" i="6"/>
  <c r="E228" i="34"/>
  <c r="E237" i="6"/>
  <c r="E244" i="34"/>
  <c r="E254" i="6"/>
  <c r="E260" i="34"/>
  <c r="E57" i="6"/>
  <c r="E59" i="34"/>
  <c r="E96" i="6"/>
  <c r="E100" i="34"/>
  <c r="E127" i="6"/>
  <c r="E133" i="34"/>
  <c r="E170" i="6"/>
  <c r="E177" i="34"/>
  <c r="E218" i="6"/>
  <c r="E225" i="34"/>
  <c r="E24" i="6"/>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W13" i="22"/>
  <c r="A14" i="22"/>
  <c r="A15" i="22" l="1"/>
  <c r="AC71" i="24"/>
  <c r="A72" i="24"/>
  <c r="W14" i="22"/>
  <c r="A16" i="22" l="1"/>
  <c r="A17" i="22"/>
  <c r="AC72" i="24"/>
  <c r="A73" i="24"/>
  <c r="W15" i="22"/>
  <c r="A18" i="22" l="1"/>
  <c r="W18" i="22" s="1"/>
  <c r="AC73" i="24"/>
  <c r="A74" i="24"/>
  <c r="W16" i="22"/>
  <c r="A19" i="22" l="1"/>
  <c r="A20" i="22" s="1"/>
  <c r="AC74" i="24"/>
  <c r="A75" i="24"/>
  <c r="W17" i="22"/>
  <c r="A21" i="22" l="1"/>
  <c r="AC75" i="24"/>
  <c r="A76" i="24"/>
  <c r="W20" i="22"/>
  <c r="W19" i="22"/>
  <c r="A22" i="22" l="1"/>
  <c r="A23" i="22" s="1"/>
  <c r="W21" i="22"/>
  <c r="AC76" i="24"/>
  <c r="A77" i="24"/>
  <c r="A24" i="22" l="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W23" i="22"/>
  <c r="AC77" i="24"/>
  <c r="A78" i="24"/>
  <c r="A63" i="22" l="1"/>
  <c r="W62" i="22"/>
  <c r="W24" i="22"/>
  <c r="AC78" i="24"/>
  <c r="A79" i="24"/>
  <c r="A64" i="22" l="1"/>
  <c r="W63" i="22"/>
  <c r="W25" i="22"/>
  <c r="AC79" i="24"/>
  <c r="A80" i="24"/>
  <c r="A65" i="22" l="1"/>
  <c r="W64" i="22"/>
  <c r="W26" i="22"/>
  <c r="AC80" i="24"/>
  <c r="A81" i="24"/>
  <c r="A66" i="22" l="1"/>
  <c r="W65" i="22"/>
  <c r="W27" i="22"/>
  <c r="AC81" i="24"/>
  <c r="A82" i="24"/>
  <c r="A67" i="22" l="1"/>
  <c r="W66" i="22"/>
  <c r="W28" i="22"/>
  <c r="AC82" i="24"/>
  <c r="A83" i="24"/>
  <c r="A68" i="22" l="1"/>
  <c r="W67" i="22"/>
  <c r="AC83" i="24"/>
  <c r="A84" i="24"/>
  <c r="W29" i="22"/>
  <c r="A69" i="22" l="1"/>
  <c r="A70" i="22" s="1"/>
  <c r="A71" i="22" s="1"/>
  <c r="A72" i="22" s="1"/>
  <c r="A73" i="22" s="1"/>
  <c r="A74" i="22" s="1"/>
  <c r="A75" i="22" s="1"/>
  <c r="W68" i="22"/>
  <c r="AC84" i="24"/>
  <c r="A85" i="24"/>
  <c r="W30" i="22"/>
  <c r="W69" i="22" l="1"/>
  <c r="W70" i="22"/>
  <c r="AC85" i="24"/>
  <c r="A86" i="24"/>
  <c r="W31" i="22"/>
  <c r="W71" i="22" l="1"/>
  <c r="AC86" i="24"/>
  <c r="A87" i="24"/>
  <c r="W32" i="22"/>
  <c r="W72" i="22" l="1"/>
  <c r="AC87" i="24"/>
  <c r="A88" i="24"/>
  <c r="W33" i="22"/>
  <c r="W73" i="22" l="1"/>
  <c r="AC88" i="24"/>
  <c r="A89" i="24"/>
  <c r="W34" i="22"/>
  <c r="W75" i="22" l="1"/>
  <c r="W74" i="22"/>
  <c r="AC89" i="24"/>
  <c r="A90" i="24"/>
  <c r="W35" i="22"/>
  <c r="AC90" i="24" l="1"/>
  <c r="A91" i="24"/>
  <c r="W36" i="22"/>
  <c r="AC91" i="24" l="1"/>
  <c r="A92" i="24"/>
  <c r="W37" i="22"/>
  <c r="AC92" i="24" l="1"/>
  <c r="A93" i="24"/>
  <c r="A12" i="23"/>
  <c r="W38" i="22"/>
  <c r="W41" i="22" l="1"/>
  <c r="AC93" i="24"/>
  <c r="A94" i="24"/>
  <c r="Y12" i="23"/>
  <c r="A13" i="23"/>
  <c r="W39" i="22"/>
  <c r="W42" i="22" l="1"/>
  <c r="AC94" i="24"/>
  <c r="A95" i="24"/>
  <c r="Y13" i="23"/>
  <c r="A14" i="23"/>
  <c r="W40" i="22"/>
  <c r="W43" i="22" l="1"/>
  <c r="W44" i="22"/>
  <c r="AC95" i="24"/>
  <c r="A96" i="24"/>
  <c r="Y14" i="23"/>
  <c r="A15" i="23"/>
  <c r="AC96" i="24" l="1"/>
  <c r="A97" i="24"/>
  <c r="Y15" i="23"/>
  <c r="A16" i="23"/>
  <c r="AC97" i="24" l="1"/>
  <c r="A98" i="24"/>
  <c r="Y16" i="23"/>
  <c r="A17" i="23"/>
  <c r="W45" i="22"/>
  <c r="AC98" i="24" l="1"/>
  <c r="A99" i="24"/>
  <c r="Y17" i="23"/>
  <c r="A18" i="23"/>
  <c r="W46" i="22"/>
  <c r="AC99" i="24" l="1"/>
  <c r="A100" i="24"/>
  <c r="Y18" i="23"/>
  <c r="A19" i="23"/>
  <c r="W47" i="22"/>
  <c r="AC100" i="24" l="1"/>
  <c r="A101" i="24"/>
  <c r="Y19" i="23"/>
  <c r="A20" i="23"/>
  <c r="AC101" i="24" l="1"/>
  <c r="A102" i="24"/>
  <c r="Y20" i="23"/>
  <c r="A21" i="23"/>
  <c r="W48" i="22"/>
  <c r="AC102" i="24" l="1"/>
  <c r="A103" i="24"/>
  <c r="Y21" i="23"/>
  <c r="A22" i="23"/>
  <c r="W49" i="22"/>
  <c r="AC103" i="24" l="1"/>
  <c r="A104" i="24"/>
  <c r="Y22" i="23"/>
  <c r="A23" i="23"/>
  <c r="W50" i="22"/>
  <c r="AC104" i="24" l="1"/>
  <c r="A105" i="24"/>
  <c r="W73" i="23"/>
  <c r="X73" i="23" s="1"/>
  <c r="Y23" i="23"/>
  <c r="A24" i="23"/>
  <c r="W51" i="22"/>
  <c r="AC105" i="24" l="1"/>
  <c r="A106" i="24"/>
  <c r="Y24" i="23"/>
  <c r="W52" i="22"/>
  <c r="AC106" i="24" l="1"/>
  <c r="A107" i="24"/>
  <c r="A25" i="23"/>
  <c r="W53" i="22"/>
  <c r="AC107" i="24" l="1"/>
  <c r="A108" i="24"/>
  <c r="Y25" i="23"/>
  <c r="W54" i="22"/>
  <c r="AC108" i="24" l="1"/>
  <c r="A109" i="24"/>
  <c r="A26" i="23"/>
  <c r="W55" i="22"/>
  <c r="AC109" i="24" l="1"/>
  <c r="A110" i="24"/>
  <c r="Y26" i="23"/>
  <c r="A27" i="23"/>
  <c r="W56" i="22"/>
  <c r="AC110" i="24" l="1"/>
  <c r="A111" i="24"/>
  <c r="Y27" i="23"/>
  <c r="A28" i="23"/>
  <c r="W57" i="22"/>
  <c r="AC111" i="24" l="1"/>
  <c r="A112" i="24"/>
  <c r="Y28" i="23"/>
  <c r="A29" i="23"/>
  <c r="W58" i="22"/>
  <c r="AC112" i="24" l="1"/>
  <c r="A113" i="24"/>
  <c r="Y29" i="23"/>
  <c r="A30" i="23"/>
  <c r="W59" i="22"/>
  <c r="AC113" i="24" l="1"/>
  <c r="A114" i="24"/>
  <c r="Y30" i="23"/>
  <c r="A31" i="23"/>
  <c r="W60" i="22"/>
  <c r="AC114" i="24" l="1"/>
  <c r="A115" i="24"/>
  <c r="Y31" i="23"/>
  <c r="A32" i="23"/>
  <c r="W61"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C129" i="24"/>
  <c r="A130" i="24"/>
  <c r="Y46" i="23"/>
  <c r="A47" i="23"/>
  <c r="A15" i="6" l="1"/>
  <c r="AC130" i="24"/>
  <c r="A131" i="24"/>
  <c r="Y47" i="23"/>
  <c r="A48" i="23"/>
  <c r="A16" i="6" l="1"/>
  <c r="A17" i="6" s="1"/>
  <c r="AC131" i="24"/>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Q13" i="6"/>
  <c r="Q14" i="6"/>
  <c r="Q15" i="6"/>
  <c r="L272"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O272"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Q16" i="6" l="1"/>
  <c r="Q17" i="6"/>
  <c r="A18" i="6"/>
  <c r="A19" i="6" s="1"/>
  <c r="Q19" i="6" l="1"/>
  <c r="Q18" i="6"/>
  <c r="A20" i="6"/>
  <c r="Q20" i="6" l="1"/>
  <c r="A21" i="6"/>
  <c r="A22" i="6" s="1"/>
  <c r="Q22" i="6" s="1"/>
  <c r="A23" i="6" l="1"/>
  <c r="Q23" i="6" s="1"/>
  <c r="Q21" i="6"/>
  <c r="A24" i="6" l="1"/>
  <c r="A25" i="6" s="1"/>
  <c r="Q25" i="6" s="1"/>
  <c r="Q24" i="6" l="1"/>
  <c r="A26" i="6"/>
  <c r="Q26" i="6" s="1"/>
  <c r="A27" i="6" l="1"/>
  <c r="Q27" i="6" l="1"/>
  <c r="A28" i="6"/>
  <c r="Q28" i="6" l="1"/>
  <c r="A29" i="6"/>
  <c r="A30" i="6" l="1"/>
  <c r="Q30" i="6" s="1"/>
  <c r="Q29" i="6"/>
  <c r="A31" i="6"/>
  <c r="A32" i="6" l="1"/>
  <c r="A33" i="6" s="1"/>
  <c r="Q33" i="6" s="1"/>
  <c r="Q31" i="6"/>
  <c r="Q32" i="6" l="1"/>
  <c r="A34" i="6"/>
  <c r="A35" i="6" s="1"/>
  <c r="Q35" i="6" s="1"/>
  <c r="Q34" i="6" l="1"/>
  <c r="A36" i="6"/>
  <c r="Q36" i="6" s="1"/>
  <c r="A37" i="6"/>
  <c r="A38" i="6" s="1"/>
  <c r="Q37" i="6" l="1"/>
  <c r="Q38" i="6"/>
  <c r="A39" i="6"/>
  <c r="Q39" i="6" l="1"/>
  <c r="A40" i="6"/>
  <c r="Q40" i="6" l="1"/>
  <c r="A41" i="6"/>
  <c r="Q41" i="6" l="1"/>
  <c r="A42" i="6"/>
  <c r="Q42" i="6" l="1"/>
  <c r="A43" i="6"/>
  <c r="Q43" i="6" l="1"/>
  <c r="A44" i="6"/>
  <c r="Q44" i="6" l="1"/>
  <c r="A45" i="6"/>
  <c r="Q45" i="6" l="1"/>
  <c r="A46" i="6"/>
  <c r="Q46" i="6" l="1"/>
  <c r="A47" i="6"/>
  <c r="Q47" i="6" l="1"/>
  <c r="A48" i="6"/>
  <c r="Q48" i="6" l="1"/>
  <c r="A49" i="6"/>
  <c r="Q49" i="6" l="1"/>
  <c r="A50" i="6"/>
  <c r="Q50" i="6" l="1"/>
  <c r="A51" i="6"/>
  <c r="Q51" i="6" l="1"/>
  <c r="A52" i="6"/>
  <c r="Q52" i="6" l="1"/>
  <c r="A53" i="6"/>
  <c r="Q53" i="6" l="1"/>
  <c r="A54" i="6"/>
  <c r="Q54" i="6" l="1"/>
  <c r="A55" i="6"/>
  <c r="Q55" i="6" l="1"/>
  <c r="A56" i="6"/>
  <c r="Q56" i="6" l="1"/>
  <c r="A57" i="6"/>
  <c r="Q57" i="6" l="1"/>
  <c r="A58" i="6"/>
  <c r="Q58" i="6" l="1"/>
  <c r="A59" i="6"/>
  <c r="Q59" i="6" l="1"/>
  <c r="A60" i="6"/>
  <c r="Q60" i="6" l="1"/>
  <c r="A61" i="6"/>
  <c r="Q61" i="6" l="1"/>
  <c r="A62" i="6"/>
  <c r="Q62" i="6" l="1"/>
  <c r="A63" i="6"/>
  <c r="Q63" i="6" l="1"/>
  <c r="A64" i="6"/>
  <c r="Q64" i="6" l="1"/>
  <c r="A65" i="6"/>
  <c r="Q65" i="6" l="1"/>
  <c r="A66" i="6"/>
  <c r="Q66" i="6" l="1"/>
  <c r="A67" i="6"/>
  <c r="Q67" i="6" l="1"/>
  <c r="A68" i="6"/>
  <c r="Q68" i="6" l="1"/>
  <c r="A69" i="6"/>
  <c r="Q69" i="6" l="1"/>
  <c r="A70" i="6"/>
  <c r="Q70" i="6" l="1"/>
  <c r="A71" i="6"/>
  <c r="Q71" i="6" l="1"/>
  <c r="A72" i="6"/>
  <c r="Q72" i="6" l="1"/>
  <c r="A73" i="6"/>
  <c r="Q73" i="6" l="1"/>
  <c r="A74" i="6"/>
  <c r="Q74" i="6" l="1"/>
  <c r="A75" i="6"/>
  <c r="Q75" i="6" l="1"/>
  <c r="A76" i="6"/>
  <c r="Q76" i="6" l="1"/>
  <c r="A77" i="6"/>
  <c r="Q77" i="6" l="1"/>
  <c r="A78" i="6"/>
  <c r="Q78" i="6" l="1"/>
  <c r="A79" i="6"/>
  <c r="Q79" i="6" l="1"/>
  <c r="A80" i="6"/>
  <c r="Q80" i="6" l="1"/>
  <c r="A81" i="6"/>
  <c r="Q81" i="6" l="1"/>
  <c r="A82" i="6"/>
  <c r="Q82" i="6" l="1"/>
  <c r="A83" i="6"/>
  <c r="Q83" i="6" l="1"/>
  <c r="A84" i="6"/>
  <c r="Q84" i="6" l="1"/>
  <c r="A85" i="6"/>
  <c r="Q85" i="6" l="1"/>
  <c r="A86" i="6"/>
  <c r="Q86" i="6" l="1"/>
  <c r="A87" i="6"/>
  <c r="Q87" i="6" l="1"/>
  <c r="A88" i="6"/>
  <c r="Q88" i="6" l="1"/>
  <c r="A89" i="6"/>
  <c r="Q89" i="6" l="1"/>
  <c r="A90" i="6"/>
  <c r="Q90" i="6" l="1"/>
  <c r="A91" i="6"/>
  <c r="Q91" i="6" l="1"/>
  <c r="A92" i="6"/>
  <c r="Q92" i="6" l="1"/>
  <c r="A93" i="6"/>
  <c r="Q93" i="6" l="1"/>
  <c r="A94" i="6"/>
  <c r="Q94" i="6" l="1"/>
  <c r="A95" i="6"/>
  <c r="Q95" i="6" l="1"/>
  <c r="A96" i="6"/>
  <c r="Q96" i="6" l="1"/>
  <c r="A97" i="6"/>
  <c r="Q97" i="6" l="1"/>
  <c r="A98" i="6"/>
  <c r="Q98" i="6" l="1"/>
  <c r="A99" i="6"/>
  <c r="Q99" i="6" l="1"/>
  <c r="A100" i="6"/>
  <c r="Q100" i="6" l="1"/>
  <c r="A101" i="6"/>
  <c r="Q101" i="6" l="1"/>
  <c r="A102" i="6"/>
  <c r="Q102" i="6" l="1"/>
  <c r="A103" i="6"/>
  <c r="Q103" i="6" l="1"/>
  <c r="A104" i="6"/>
  <c r="Q104" i="6" l="1"/>
  <c r="A105" i="6"/>
  <c r="Q105" i="6" l="1"/>
  <c r="A106" i="6"/>
  <c r="Q106" i="6" l="1"/>
  <c r="A107" i="6"/>
  <c r="Q107" i="6" l="1"/>
  <c r="A108" i="6"/>
  <c r="Q108" i="6" l="1"/>
  <c r="A109" i="6"/>
  <c r="Q109" i="6" l="1"/>
  <c r="A110" i="6"/>
  <c r="Q110" i="6" l="1"/>
  <c r="A111" i="6"/>
  <c r="Q111" i="6" l="1"/>
  <c r="A112" i="6"/>
  <c r="Q112" i="6" l="1"/>
  <c r="A113" i="6"/>
  <c r="Q113" i="6" l="1"/>
  <c r="A114" i="6"/>
  <c r="Q114" i="6" l="1"/>
  <c r="A115" i="6"/>
  <c r="Q115" i="6" l="1"/>
  <c r="A116" i="6"/>
  <c r="Q116" i="6" l="1"/>
  <c r="A117" i="6"/>
  <c r="Q117" i="6" l="1"/>
  <c r="A118" i="6"/>
  <c r="Q118" i="6" l="1"/>
  <c r="A119" i="6"/>
  <c r="Q119" i="6" l="1"/>
  <c r="A120" i="6"/>
  <c r="Q120" i="6" l="1"/>
  <c r="A121" i="6"/>
  <c r="Q121" i="6" l="1"/>
  <c r="A122" i="6"/>
  <c r="Q122" i="6" l="1"/>
  <c r="A123" i="6"/>
  <c r="Q123" i="6" l="1"/>
  <c r="A124" i="6"/>
  <c r="Q124" i="6" l="1"/>
  <c r="A125" i="6"/>
  <c r="Q125" i="6" l="1"/>
  <c r="A126" i="6"/>
  <c r="Q126" i="6" l="1"/>
  <c r="A127" i="6"/>
  <c r="Q127" i="6" l="1"/>
  <c r="A128" i="6"/>
  <c r="Q128" i="6" l="1"/>
  <c r="A129" i="6"/>
  <c r="Q129" i="6" l="1"/>
  <c r="A130" i="6"/>
  <c r="Q130" i="6" l="1"/>
  <c r="A131" i="6"/>
  <c r="Q131" i="6" l="1"/>
  <c r="A132" i="6"/>
  <c r="Q132" i="6" l="1"/>
  <c r="A133" i="6"/>
  <c r="Q133" i="6" l="1"/>
  <c r="A134" i="6"/>
  <c r="Q134" i="6" l="1"/>
  <c r="A135" i="6"/>
  <c r="Q135" i="6" l="1"/>
  <c r="A136" i="6"/>
  <c r="Q136" i="6" l="1"/>
  <c r="A137" i="6"/>
  <c r="Q137" i="6" l="1"/>
  <c r="A138" i="6"/>
  <c r="Q138" i="6" l="1"/>
  <c r="A139" i="6"/>
  <c r="Q139" i="6" l="1"/>
  <c r="A140" i="6"/>
  <c r="Q140" i="6" l="1"/>
  <c r="A141" i="6"/>
  <c r="Q141" i="6" l="1"/>
  <c r="A142" i="6"/>
  <c r="Q142" i="6" l="1"/>
  <c r="A143" i="6"/>
  <c r="Q143" i="6" l="1"/>
  <c r="A144" i="6"/>
  <c r="Q144" i="6" l="1"/>
  <c r="A145" i="6"/>
  <c r="Q145" i="6" l="1"/>
  <c r="A146" i="6"/>
  <c r="Q146" i="6" l="1"/>
  <c r="A147" i="6"/>
  <c r="Q147" i="6" l="1"/>
  <c r="A148" i="6"/>
  <c r="Q148" i="6" l="1"/>
  <c r="A149" i="6"/>
  <c r="Q149" i="6" l="1"/>
  <c r="A150" i="6"/>
  <c r="Q150" i="6" l="1"/>
  <c r="A151" i="6"/>
  <c r="Q151" i="6" l="1"/>
  <c r="A152" i="6"/>
  <c r="Q152" i="6" l="1"/>
  <c r="A153" i="6"/>
  <c r="Q153" i="6" l="1"/>
  <c r="A154" i="6"/>
  <c r="Q154" i="6" l="1"/>
  <c r="A155" i="6"/>
  <c r="Q155" i="6" l="1"/>
  <c r="A156" i="6"/>
  <c r="Q156" i="6" l="1"/>
  <c r="A157" i="6"/>
  <c r="Q157" i="6" l="1"/>
  <c r="A158" i="6"/>
  <c r="Q158" i="6" l="1"/>
  <c r="A159" i="6"/>
  <c r="Q159" i="6" l="1"/>
  <c r="A160" i="6"/>
  <c r="Q160" i="6" l="1"/>
  <c r="A161" i="6"/>
  <c r="Q161" i="6" l="1"/>
  <c r="A162" i="6" l="1"/>
  <c r="Q162" i="6" l="1"/>
  <c r="A163" i="6"/>
  <c r="Q163" i="6" l="1"/>
  <c r="A164" i="6"/>
  <c r="Q164" i="6" l="1"/>
  <c r="A165" i="6"/>
  <c r="Q165" i="6" l="1"/>
  <c r="A166" i="6"/>
  <c r="Q166" i="6" l="1"/>
  <c r="A167" i="6"/>
  <c r="Q167" i="6" l="1"/>
  <c r="A168" i="6"/>
  <c r="Q168" i="6" l="1"/>
  <c r="A169" i="6"/>
  <c r="Q169" i="6" l="1"/>
  <c r="A170" i="6"/>
  <c r="Q170" i="6" l="1"/>
  <c r="A171" i="6"/>
  <c r="Q171" i="6" l="1"/>
  <c r="A172" i="6"/>
  <c r="Q172" i="6" l="1"/>
  <c r="A173" i="6"/>
  <c r="Q173" i="6" l="1"/>
  <c r="A174" i="6"/>
  <c r="Q174" i="6" l="1"/>
  <c r="A175" i="6"/>
  <c r="Q175" i="6" l="1"/>
  <c r="A176" i="6"/>
  <c r="Q176" i="6" l="1"/>
  <c r="A177" i="6"/>
  <c r="Q177" i="6" l="1"/>
  <c r="A178" i="6"/>
  <c r="Q178" i="6" l="1"/>
  <c r="A179" i="6"/>
  <c r="Q179" i="6" l="1"/>
  <c r="A180" i="6"/>
  <c r="Q180" i="6" l="1"/>
  <c r="A181" i="6"/>
  <c r="Q181" i="6" l="1"/>
  <c r="A182" i="6"/>
  <c r="Q182" i="6" l="1"/>
  <c r="A183" i="6"/>
  <c r="Q183" i="6" l="1"/>
  <c r="A184" i="6"/>
  <c r="Q184" i="6" l="1"/>
  <c r="A185" i="6"/>
  <c r="Q185" i="6" l="1"/>
  <c r="A186" i="6"/>
  <c r="Q186" i="6" l="1"/>
  <c r="A187" i="6"/>
  <c r="Q187" i="6" l="1"/>
  <c r="A188" i="6"/>
  <c r="Q188" i="6" l="1"/>
  <c r="A189" i="6"/>
  <c r="Q189" i="6" l="1"/>
  <c r="A190" i="6"/>
  <c r="Q190" i="6" l="1"/>
  <c r="A191" i="6"/>
  <c r="Q191" i="6" l="1"/>
  <c r="A192" i="6"/>
  <c r="Q192" i="6" l="1"/>
  <c r="A193" i="6"/>
  <c r="Q193" i="6" l="1"/>
  <c r="A194" i="6"/>
  <c r="Q194" i="6" l="1"/>
  <c r="A195" i="6"/>
  <c r="Q195" i="6" l="1"/>
  <c r="A196" i="6"/>
  <c r="Q196" i="6" l="1"/>
  <c r="A197" i="6"/>
  <c r="Q197" i="6" l="1"/>
  <c r="A198" i="6"/>
  <c r="Q198" i="6" l="1"/>
  <c r="A199" i="6"/>
  <c r="Q199" i="6" l="1"/>
  <c r="A200" i="6"/>
  <c r="Q200" i="6" l="1"/>
  <c r="A201" i="6"/>
  <c r="Q201" i="6" l="1"/>
  <c r="A202" i="6"/>
  <c r="Q202" i="6" l="1"/>
  <c r="A203" i="6"/>
  <c r="Q203" i="6" l="1"/>
  <c r="A204" i="6"/>
  <c r="Q204" i="6" l="1"/>
  <c r="A205" i="6"/>
  <c r="Q205" i="6" l="1"/>
  <c r="A206" i="6"/>
  <c r="Q206" i="6" l="1"/>
  <c r="A207" i="6"/>
  <c r="Q207" i="6" l="1"/>
  <c r="A208" i="6"/>
  <c r="Q208" i="6" l="1"/>
  <c r="A209" i="6"/>
  <c r="Q209" i="6" l="1"/>
  <c r="A210" i="6"/>
  <c r="Q210" i="6" l="1"/>
  <c r="A211" i="6"/>
  <c r="Q211" i="6" l="1"/>
  <c r="A212" i="6"/>
  <c r="Q212" i="6" l="1"/>
  <c r="A213" i="6"/>
  <c r="Q213" i="6" l="1"/>
  <c r="A214" i="6"/>
  <c r="Q214" i="6" l="1"/>
  <c r="A215" i="6"/>
  <c r="Q215" i="6" l="1"/>
  <c r="A216" i="6"/>
  <c r="Q216" i="6" l="1"/>
  <c r="A217" i="6"/>
  <c r="Q217" i="6" l="1"/>
  <c r="A218" i="6"/>
  <c r="Q218" i="6" l="1"/>
  <c r="A219" i="6"/>
  <c r="Q219" i="6" l="1"/>
  <c r="A220" i="6"/>
  <c r="Q220" i="6" l="1"/>
  <c r="A221" i="6"/>
  <c r="Q221" i="6" l="1"/>
  <c r="A222" i="6"/>
  <c r="Q222" i="6" l="1"/>
  <c r="A223" i="6"/>
  <c r="Q223" i="6" l="1"/>
  <c r="A224" i="6"/>
  <c r="Q224" i="6" l="1"/>
  <c r="A225" i="6"/>
  <c r="Q225" i="6" l="1"/>
  <c r="A226" i="6"/>
  <c r="Q226" i="6" l="1"/>
  <c r="A227" i="6"/>
  <c r="Q227" i="6" l="1"/>
  <c r="A228" i="6"/>
  <c r="Q228" i="6" l="1"/>
  <c r="A229" i="6"/>
  <c r="Q229" i="6" l="1"/>
  <c r="A230" i="6"/>
  <c r="Q230" i="6" l="1"/>
  <c r="A231" i="6"/>
  <c r="Q231" i="6" l="1"/>
  <c r="A232" i="6"/>
  <c r="Q232" i="6" l="1"/>
  <c r="A233" i="6"/>
  <c r="Q233" i="6" l="1"/>
  <c r="A234" i="6"/>
  <c r="Q234" i="6" l="1"/>
  <c r="A235" i="6"/>
  <c r="Q235" i="6" l="1"/>
  <c r="A236" i="6"/>
  <c r="Q236" i="6" l="1"/>
  <c r="A237" i="6"/>
  <c r="A238" i="6" s="1"/>
  <c r="A239" i="6" s="1"/>
  <c r="Q239" i="6" l="1"/>
  <c r="A240" i="6"/>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Q237" i="6"/>
  <c r="Q238" i="6" l="1"/>
  <c r="Q240" i="6" l="1"/>
  <c r="Q241" i="6" l="1"/>
  <c r="Q242" i="6" l="1"/>
  <c r="Q243" i="6" l="1"/>
  <c r="Q244" i="6" l="1"/>
  <c r="Q245" i="6" l="1"/>
  <c r="Q246" i="6" l="1"/>
  <c r="Q247" i="6" l="1"/>
  <c r="Q248" i="6" l="1"/>
  <c r="Q249" i="6" l="1"/>
  <c r="Q250" i="6" l="1"/>
  <c r="Q251" i="6" l="1"/>
  <c r="Q252" i="6" l="1"/>
  <c r="Q253" i="6" l="1"/>
  <c r="Q254" i="6" l="1"/>
  <c r="Q255" i="6" l="1"/>
  <c r="Q256" i="6" l="1"/>
  <c r="Q257" i="6" l="1"/>
  <c r="Q258" i="6" l="1"/>
  <c r="Q259" i="6" l="1"/>
  <c r="Q260" i="6" l="1"/>
  <c r="Q261" i="6" l="1"/>
  <c r="Q262" i="6" l="1"/>
  <c r="Q263" i="6" l="1"/>
  <c r="Q264" i="6" l="1"/>
  <c r="Q265" i="6" l="1"/>
  <c r="Q266" i="6" l="1"/>
  <c r="Q267" i="6" l="1"/>
  <c r="Q268" i="6" l="1"/>
  <c r="Q269" i="6" l="1"/>
  <c r="Q270" i="6" l="1"/>
  <c r="Q271" i="6"/>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text>
        <r>
          <rPr>
            <b/>
            <sz val="9"/>
            <color indexed="81"/>
            <rFont val="Tahoma"/>
            <family val="2"/>
          </rPr>
          <t>Admin:</t>
        </r>
        <r>
          <rPr>
            <sz val="9"/>
            <color indexed="81"/>
            <rFont val="Tahoma"/>
            <family val="2"/>
          </rPr>
          <t xml:space="preserve">
- HS 4,65 từ 01/12/2015
- HS 4,98 từ 01/12/2018</t>
        </r>
      </text>
    </comment>
    <comment ref="G14" authorId="2" shapeId="0">
      <text>
        <r>
          <rPr>
            <b/>
            <sz val="9"/>
            <color indexed="81"/>
            <rFont val="Tahoma"/>
            <family val="2"/>
          </rPr>
          <t>user:</t>
        </r>
        <r>
          <rPr>
            <sz val="9"/>
            <color indexed="81"/>
            <rFont val="Tahoma"/>
            <family val="2"/>
          </rPr>
          <t xml:space="preserve">
- VK 5% từ 01/12/2021
- VK 6% từ 01/12/2022
- VK 7% từ 01/12/2023</t>
        </r>
      </text>
    </comment>
    <comment ref="F15" authorId="0" shapeId="0">
      <text>
        <r>
          <rPr>
            <b/>
            <sz val="9"/>
            <color indexed="81"/>
            <rFont val="Tahoma"/>
            <family val="2"/>
          </rPr>
          <t>User:</t>
        </r>
        <r>
          <rPr>
            <sz val="9"/>
            <color indexed="81"/>
            <rFont val="Tahoma"/>
            <family val="2"/>
          </rPr>
          <t xml:space="preserve">
- 4,65 từ 01/10/2015
- HS 4,98 từ 01/10/17 (NL trước hạn)</t>
        </r>
      </text>
    </comment>
    <comment ref="G15" authorId="2"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text>
        <r>
          <rPr>
            <b/>
            <sz val="9"/>
            <color indexed="81"/>
            <rFont val="Tahoma"/>
            <family val="2"/>
          </rPr>
          <t>Admin:</t>
        </r>
        <r>
          <rPr>
            <sz val="9"/>
            <color indexed="81"/>
            <rFont val="Tahoma"/>
            <family val="2"/>
          </rPr>
          <t xml:space="preserve">
- HS 0,7 từ 01/11/2016</t>
        </r>
      </text>
    </comment>
    <comment ref="F16"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text>
        <r>
          <rPr>
            <b/>
            <sz val="9"/>
            <color indexed="81"/>
            <rFont val="Tahoma"/>
            <family val="2"/>
          </rPr>
          <t>user:</t>
        </r>
        <r>
          <rPr>
            <sz val="9"/>
            <color indexed="81"/>
            <rFont val="Tahoma"/>
            <family val="2"/>
          </rPr>
          <t xml:space="preserve">
- HS 0.7 từ 15/4/2019</t>
        </r>
      </text>
    </comment>
    <comment ref="F1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text>
        <r>
          <rPr>
            <b/>
            <sz val="9"/>
            <color indexed="81"/>
            <rFont val="Tahoma"/>
            <family val="2"/>
          </rPr>
          <t>Windows User:</t>
        </r>
        <r>
          <rPr>
            <sz val="9"/>
            <color indexed="81"/>
            <rFont val="Tahoma"/>
            <family val="2"/>
          </rPr>
          <t xml:space="preserve">
- VK 5% từ 01/9/2023
- VK 6% từ 01/9/2024</t>
        </r>
      </text>
    </comment>
    <comment ref="F1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text>
        <r>
          <rPr>
            <b/>
            <sz val="9"/>
            <color indexed="81"/>
            <rFont val="Tahoma"/>
            <family val="2"/>
          </rPr>
          <t>user:</t>
        </r>
        <r>
          <rPr>
            <sz val="9"/>
            <color indexed="81"/>
            <rFont val="Tahoma"/>
            <family val="2"/>
          </rPr>
          <t xml:space="preserve">
- PP TC-HC-TH từ 01/9/2020</t>
        </r>
      </text>
    </comment>
    <comment ref="F1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text>
        <r>
          <rPr>
            <b/>
            <sz val="9"/>
            <color indexed="81"/>
            <rFont val="Tahoma"/>
            <family val="2"/>
          </rPr>
          <t>user:</t>
        </r>
        <r>
          <rPr>
            <sz val="9"/>
            <color indexed="81"/>
            <rFont val="Tahoma"/>
            <family val="2"/>
          </rPr>
          <t xml:space="preserve">
BN Phó TP từ 01/03/2021</t>
        </r>
      </text>
    </comment>
    <comment ref="F2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
- VK 7% từ 01/12/2023</t>
        </r>
      </text>
    </comment>
    <comment ref="I29" authorId="6"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text>
        <r>
          <rPr>
            <b/>
            <sz val="9"/>
            <color indexed="81"/>
            <rFont val="Tahoma"/>
            <family val="2"/>
          </rPr>
          <t>Windows User:</t>
        </r>
        <r>
          <rPr>
            <sz val="9"/>
            <color indexed="81"/>
            <rFont val="Tahoma"/>
            <family val="2"/>
          </rPr>
          <t xml:space="preserve">
- VK 10% từ 01/9/2023
- VK 11% từ 01/9/2024</t>
        </r>
      </text>
    </comment>
    <comment ref="I41" authorId="3" shapeId="0">
      <text>
        <r>
          <rPr>
            <b/>
            <sz val="9"/>
            <color indexed="81"/>
            <rFont val="Tahoma"/>
            <family val="2"/>
          </rPr>
          <t>Windows User:</t>
        </r>
        <r>
          <rPr>
            <sz val="9"/>
            <color indexed="81"/>
            <rFont val="Tahoma"/>
            <family val="2"/>
          </rPr>
          <t xml:space="preserve">
- Phó TP QT-DV từ T10/23</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
- 38% từ 01/10/2024</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3,00 từ 01/9/2016
- HS 3,33 từ 01/9/2019
- HS 3,66 từ 01/9/2022
</t>
        </r>
      </text>
    </comment>
    <comment ref="F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text>
        <r>
          <rPr>
            <b/>
            <sz val="9"/>
            <color indexed="81"/>
            <rFont val="Tahoma"/>
            <family val="2"/>
          </rPr>
          <t>Admin:</t>
        </r>
        <r>
          <rPr>
            <sz val="9"/>
            <color indexed="81"/>
            <rFont val="Tahoma"/>
            <family val="2"/>
          </rPr>
          <t xml:space="preserve">
- HS 3,66 từ 01/9/2016
- HS 3,99 từ 01/9/2019
- HS 4,32 từ 01/9/2022</t>
        </r>
      </text>
    </comment>
    <comment ref="F5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text>
        <r>
          <rPr>
            <b/>
            <sz val="9"/>
            <color indexed="81"/>
            <rFont val="Tahoma"/>
            <family val="2"/>
          </rPr>
          <t>user:</t>
        </r>
        <r>
          <rPr>
            <sz val="9"/>
            <color indexed="81"/>
            <rFont val="Tahoma"/>
            <family val="2"/>
          </rPr>
          <t xml:space="preserve">
- HS 3,33 từ 01/11/2019
- HS 3,66 từ 01/11/2022</t>
        </r>
      </text>
    </comment>
    <comment ref="F5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text>
        <r>
          <rPr>
            <b/>
            <sz val="9"/>
            <color indexed="81"/>
            <rFont val="Tahoma"/>
            <family val="2"/>
          </rPr>
          <t>Windows User:</t>
        </r>
        <r>
          <rPr>
            <sz val="9"/>
            <color indexed="81"/>
            <rFont val="Tahoma"/>
            <family val="2"/>
          </rPr>
          <t xml:space="preserve">
- Phó Trưởng phòng TS - Đào tạo từ T10/22</t>
        </r>
      </text>
    </comment>
    <comment ref="F6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text>
        <r>
          <rPr>
            <b/>
            <sz val="9"/>
            <color indexed="81"/>
            <rFont val="Tahoma"/>
            <family val="2"/>
          </rPr>
          <t>Admin:</t>
        </r>
        <r>
          <rPr>
            <sz val="9"/>
            <color indexed="81"/>
            <rFont val="Tahoma"/>
            <family val="2"/>
          </rPr>
          <t xml:space="preserve">
- HS 2.67 từ 01/02/2016
- HS 3,00 từ 01/02/2019</t>
        </r>
      </text>
    </comment>
    <comment ref="F6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text>
        <r>
          <rPr>
            <b/>
            <sz val="9"/>
            <color indexed="81"/>
            <rFont val="Tahoma"/>
            <family val="2"/>
          </rPr>
          <t>User:</t>
        </r>
        <r>
          <rPr>
            <sz val="9"/>
            <color indexed="81"/>
            <rFont val="Tahoma"/>
            <family val="2"/>
          </rPr>
          <t xml:space="preserve">
- Phó Trưởng phòng từ 01/8/2015
- Trưởng phòng từ 01/9/2018</t>
        </r>
      </text>
    </comment>
    <comment ref="F6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text>
        <r>
          <rPr>
            <sz val="9"/>
            <color indexed="81"/>
            <rFont val="Tahoma"/>
            <family val="2"/>
          </rPr>
          <t>- HS 3,00 từ 01/11/2017
- HS 3,33 từ 01/11/2020
- HS 3,66 từ 01/11/2022</t>
        </r>
      </text>
    </comment>
    <comment ref="F74" authorId="2" shapeId="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text>
        <r>
          <rPr>
            <b/>
            <sz val="9"/>
            <color indexed="81"/>
            <rFont val="Tahoma"/>
            <family val="2"/>
          </rPr>
          <t>Windows User:</t>
        </r>
        <r>
          <rPr>
            <sz val="9"/>
            <color indexed="81"/>
            <rFont val="Tahoma"/>
            <family val="2"/>
          </rPr>
          <t xml:space="preserve">
- Phó Trưởng TT ĐH&amp;QLDL từ T10/23</t>
        </r>
      </text>
    </comment>
    <comment ref="F7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text>
        <r>
          <rPr>
            <b/>
            <sz val="9"/>
            <color indexed="81"/>
            <rFont val="Tahoma"/>
            <family val="2"/>
          </rPr>
          <t>User:</t>
        </r>
        <r>
          <rPr>
            <sz val="9"/>
            <color indexed="81"/>
            <rFont val="Tahoma"/>
            <family val="2"/>
          </rPr>
          <t xml:space="preserve">
- 3.00 từ 01/12/2015
- 3,33 từ 01/12/2018
- 3,66 từ 01/12/2021</t>
        </r>
      </text>
    </comment>
    <comment ref="F7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text>
        <r>
          <rPr>
            <b/>
            <sz val="9"/>
            <color indexed="81"/>
            <rFont val="Tahoma"/>
            <family val="2"/>
          </rPr>
          <t>Quynh:</t>
        </r>
        <r>
          <rPr>
            <sz val="9"/>
            <color indexed="81"/>
            <rFont val="Tahoma"/>
            <family val="2"/>
          </rPr>
          <t xml:space="preserve">
- HS 3,00 từ 01/3/2016
</t>
        </r>
      </text>
    </comment>
    <comment ref="I7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text>
        <r>
          <rPr>
            <b/>
            <sz val="9"/>
            <color indexed="81"/>
            <rFont val="Tahoma"/>
            <family val="2"/>
          </rPr>
          <t>Admin:</t>
        </r>
        <r>
          <rPr>
            <sz val="9"/>
            <color indexed="81"/>
            <rFont val="Tahoma"/>
            <family val="2"/>
          </rPr>
          <t xml:space="preserve">
- HS 2,67 từ 01/4/2016
- HS 3.00 từ 01/4/2019
- HS 3,33 từ 01/4/2022
</t>
        </r>
      </text>
    </comment>
    <comment ref="F81" authorId="1" shapeId="0">
      <text>
        <r>
          <rPr>
            <b/>
            <sz val="9"/>
            <color indexed="81"/>
            <rFont val="Tahoma"/>
            <family val="2"/>
          </rPr>
          <t>Admin:</t>
        </r>
        <r>
          <rPr>
            <sz val="9"/>
            <color indexed="81"/>
            <rFont val="Tahoma"/>
            <family val="2"/>
          </rPr>
          <t xml:space="preserve">
- HS 4,65 từ 01/9/2017
- HS 4,98 từ 01/9/2020</t>
        </r>
      </text>
    </comment>
    <comment ref="G81" authorId="3" shapeId="0">
      <text>
        <r>
          <rPr>
            <b/>
            <sz val="9"/>
            <color indexed="81"/>
            <rFont val="Tahoma"/>
            <family val="2"/>
          </rPr>
          <t>Windows User:</t>
        </r>
        <r>
          <rPr>
            <sz val="9"/>
            <color indexed="81"/>
            <rFont val="Tahoma"/>
            <family val="2"/>
          </rPr>
          <t xml:space="preserve">
- 5% từ 01/9/2023
- 6% từ 01/9/2024</t>
        </r>
      </text>
    </comment>
    <comment ref="F82" authorId="8" shapeId="0">
      <text>
        <r>
          <rPr>
            <sz val="9"/>
            <color indexed="81"/>
            <rFont val="Tahoma"/>
            <family val="2"/>
          </rPr>
          <t>- HS 4,32 từ 01/12/2017
- HS 4,65 từ 01/12/2019
- HS 4,98 từ 01/12/2022</t>
        </r>
      </text>
    </comment>
    <comment ref="I82" authorId="0" shapeId="0">
      <text>
        <r>
          <rPr>
            <b/>
            <sz val="9"/>
            <color indexed="81"/>
            <rFont val="Tahoma"/>
            <family val="2"/>
          </rPr>
          <t>User:</t>
        </r>
        <r>
          <rPr>
            <sz val="9"/>
            <color indexed="81"/>
            <rFont val="Tahoma"/>
            <family val="2"/>
          </rPr>
          <t xml:space="preserve">
Trưởng khoa Kinh tế từ 20/8/2015
</t>
        </r>
      </text>
    </comment>
    <comment ref="F84"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text>
        <r>
          <rPr>
            <b/>
            <sz val="9"/>
            <color indexed="81"/>
            <rFont val="Tahoma"/>
            <family val="2"/>
          </rPr>
          <t>user:</t>
        </r>
        <r>
          <rPr>
            <sz val="9"/>
            <color indexed="81"/>
            <rFont val="Tahoma"/>
            <family val="2"/>
          </rPr>
          <t xml:space="preserve">
Phụ trách khoa Xây dựng từ 01/5/2019
- TK từ 01/5/2023</t>
        </r>
      </text>
    </comment>
    <comment ref="F87" authorId="2" shapeId="0">
      <text>
        <r>
          <rPr>
            <b/>
            <sz val="9"/>
            <color indexed="81"/>
            <rFont val="Tahoma"/>
            <family val="2"/>
          </rPr>
          <t>user:</t>
        </r>
        <r>
          <rPr>
            <sz val="9"/>
            <color indexed="81"/>
            <rFont val="Tahoma"/>
            <family val="2"/>
          </rPr>
          <t xml:space="preserve">
- Tuyển dụng từ T5/20
- HS 2,67 từ 01/5/2021
- HS 3,00 từ 01/9/2024</t>
        </r>
      </text>
    </comment>
    <comment ref="F88" authorId="2" shapeId="0">
      <text>
        <r>
          <rPr>
            <b/>
            <sz val="9"/>
            <color indexed="81"/>
            <rFont val="Tahoma"/>
            <family val="2"/>
          </rPr>
          <t>user:</t>
        </r>
        <r>
          <rPr>
            <sz val="9"/>
            <color indexed="81"/>
            <rFont val="Tahoma"/>
            <family val="2"/>
          </rPr>
          <t xml:space="preserve">
- HS 1,989 từ 01/4/21 (Tuyển dụng)
- HS 2,34 từ 01/4/2022</t>
        </r>
      </text>
    </comment>
    <comment ref="F89" authorId="1" shapeId="0">
      <text>
        <r>
          <rPr>
            <b/>
            <sz val="9"/>
            <color indexed="81"/>
            <rFont val="Tahoma"/>
            <family val="2"/>
          </rPr>
          <t>Admin:</t>
        </r>
        <r>
          <rPr>
            <sz val="9"/>
            <color indexed="81"/>
            <rFont val="Tahoma"/>
            <family val="2"/>
          </rPr>
          <t xml:space="preserve">
- HS 3,33 từ 01/9/2016
- HS 3,66 từ 01/9/2019
- HS 3,99 từ 01/9/2022</t>
        </r>
      </text>
    </comment>
    <comment ref="I8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text>
        <r>
          <rPr>
            <b/>
            <sz val="9"/>
            <color indexed="81"/>
            <rFont val="Tahoma"/>
            <family val="2"/>
          </rPr>
          <t>Quynh:</t>
        </r>
        <r>
          <rPr>
            <sz val="9"/>
            <color indexed="81"/>
            <rFont val="Tahoma"/>
            <family val="2"/>
          </rPr>
          <t xml:space="preserve">
- HS 2,67 từ 01/10/2018
- HS 3,00 từ 01/10/2021
- HS 3,33 từ 01/10/2024</t>
        </r>
      </text>
    </comment>
    <comment ref="F91" authorId="2" shapeId="0">
      <text>
        <r>
          <rPr>
            <b/>
            <sz val="9"/>
            <color indexed="81"/>
            <rFont val="Tahoma"/>
            <family val="2"/>
          </rPr>
          <t>user:</t>
        </r>
        <r>
          <rPr>
            <sz val="9"/>
            <color indexed="81"/>
            <rFont val="Tahoma"/>
            <family val="2"/>
          </rPr>
          <t xml:space="preserve">
- HS 2,67 từ 01/10/2019
- HS 3,00 từ 01/10/2022</t>
        </r>
      </text>
    </comment>
    <comment ref="F92" authorId="1" shapeId="0">
      <text>
        <r>
          <rPr>
            <b/>
            <sz val="9"/>
            <color indexed="81"/>
            <rFont val="Tahoma"/>
            <family val="2"/>
          </rPr>
          <t>Admin:</t>
        </r>
        <r>
          <rPr>
            <sz val="9"/>
            <color indexed="81"/>
            <rFont val="Tahoma"/>
            <family val="2"/>
          </rPr>
          <t xml:space="preserve">
- HS 3,00 từ 01/12/2016
- HS 3,33 từ 01/12/2019
- HS 3,66 từ 01/12/2021</t>
        </r>
      </text>
    </comment>
    <comment ref="I9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text>
        <r>
          <rPr>
            <b/>
            <sz val="9"/>
            <color indexed="81"/>
            <rFont val="Tahoma"/>
            <family val="2"/>
          </rPr>
          <t>Admin:</t>
        </r>
        <r>
          <rPr>
            <sz val="9"/>
            <color indexed="81"/>
            <rFont val="Tahoma"/>
            <family val="2"/>
          </rPr>
          <t xml:space="preserve">
- HS 2,67 từ 01/9/2016
- HS 3,00 từ 01/9/2019
- HS 3,33 từ 01/9/2022</t>
        </r>
      </text>
    </comment>
    <comment ref="F95" authorId="4" shapeId="0">
      <text>
        <r>
          <rPr>
            <b/>
            <sz val="9"/>
            <color indexed="81"/>
            <rFont val="Tahoma"/>
            <family val="2"/>
          </rPr>
          <t>Quynh:</t>
        </r>
        <r>
          <rPr>
            <sz val="9"/>
            <color indexed="81"/>
            <rFont val="Tahoma"/>
            <family val="2"/>
          </rPr>
          <t xml:space="preserve">
- HS 2,67 từ 01/10/2018
- HS 3,00 từ 01/10/2021
- HS 3,33 từ 01/10/2024</t>
        </r>
      </text>
    </comment>
    <comment ref="F96" authorId="1" shapeId="0">
      <text>
        <r>
          <rPr>
            <b/>
            <sz val="9"/>
            <color indexed="81"/>
            <rFont val="Tahoma"/>
            <family val="2"/>
          </rPr>
          <t>Admin:</t>
        </r>
        <r>
          <rPr>
            <sz val="9"/>
            <color indexed="81"/>
            <rFont val="Tahoma"/>
            <family val="2"/>
          </rPr>
          <t xml:space="preserve">
- HS 3,00 từ 01/9/2016
- HS 3,33 từ 01/9/2019
- HS 3,66 từ 01/9/2022</t>
        </r>
      </text>
    </comment>
    <comment ref="F97" authorId="1" shapeId="0">
      <text>
        <r>
          <rPr>
            <b/>
            <sz val="9"/>
            <color indexed="81"/>
            <rFont val="Tahoma"/>
            <family val="2"/>
          </rPr>
          <t>Admin:</t>
        </r>
        <r>
          <rPr>
            <sz val="9"/>
            <color indexed="81"/>
            <rFont val="Tahoma"/>
            <family val="2"/>
          </rPr>
          <t xml:space="preserve">
- HS 2,34 từ 01/09/2016
- HS 2,67 từ 01/09/2019
- HS 3,00 từ 01/09/2022
</t>
        </r>
      </text>
    </comment>
    <comment ref="F98" authorId="1" shapeId="0">
      <text>
        <r>
          <rPr>
            <sz val="9"/>
            <color indexed="81"/>
            <rFont val="Tahoma"/>
            <family val="2"/>
          </rPr>
          <t>- HS 3,00  từ 01/01/2018
- HS 3,33 từ 01/01/2020 (NL trước hạn)
- HS 3,66 từ 01/01/2023</t>
        </r>
      </text>
    </comment>
    <comment ref="I98" authorId="4" shapeId="0">
      <text>
        <r>
          <rPr>
            <b/>
            <sz val="9"/>
            <color indexed="81"/>
            <rFont val="Tahoma"/>
            <family val="2"/>
          </rPr>
          <t>Quynh:</t>
        </r>
        <r>
          <rPr>
            <sz val="9"/>
            <color indexed="81"/>
            <rFont val="Tahoma"/>
            <family val="2"/>
          </rPr>
          <t xml:space="preserve">
- BN Trưởng BM Cơ sở ngành từ 01/1/2019</t>
        </r>
      </text>
    </comment>
    <comment ref="F9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text>
        <r>
          <rPr>
            <b/>
            <sz val="9"/>
            <color indexed="81"/>
            <rFont val="Tahoma"/>
            <family val="2"/>
          </rPr>
          <t>user:</t>
        </r>
        <r>
          <rPr>
            <sz val="9"/>
            <color indexed="81"/>
            <rFont val="Tahoma"/>
            <family val="2"/>
          </rPr>
          <t xml:space="preserve">
- HS 2,34 từ 01/5/2021
- HS 2,67 từ 01/5/2023 (NL trước hạn)</t>
        </r>
      </text>
    </comment>
    <comment ref="I100" authorId="3" shapeId="0">
      <text>
        <r>
          <rPr>
            <b/>
            <sz val="9"/>
            <color indexed="81"/>
            <rFont val="Tahoma"/>
            <family val="2"/>
          </rPr>
          <t>Windows User:</t>
        </r>
        <r>
          <rPr>
            <sz val="9"/>
            <color indexed="81"/>
            <rFont val="Tahoma"/>
            <family val="2"/>
          </rPr>
          <t xml:space="preserve">
- BN Trưởng khoa DL-KS từ 01/12/2023</t>
        </r>
      </text>
    </comment>
    <comment ref="F101" authorId="7" shapeId="0">
      <text>
        <r>
          <rPr>
            <b/>
            <sz val="9"/>
            <color indexed="81"/>
            <rFont val="Tahoma"/>
            <family val="2"/>
          </rPr>
          <t>huynh-panda:</t>
        </r>
        <r>
          <rPr>
            <sz val="9"/>
            <color indexed="81"/>
            <rFont val="Tahoma"/>
            <family val="2"/>
          </rPr>
          <t xml:space="preserve">
- HS 2,34 từ 01/05/2022</t>
        </r>
      </text>
    </comment>
    <comment ref="F102" authorId="7" shapeId="0">
      <text>
        <r>
          <rPr>
            <b/>
            <sz val="9"/>
            <color indexed="81"/>
            <rFont val="Tahoma"/>
            <family val="2"/>
          </rPr>
          <t>huynh-panda:</t>
        </r>
        <r>
          <rPr>
            <sz val="9"/>
            <color indexed="81"/>
            <rFont val="Tahoma"/>
            <family val="2"/>
          </rPr>
          <t xml:space="preserve">
- TD từ 01/7/2022 (HS 1,989)
- HS 2,34 từ 01/7/2023</t>
        </r>
      </text>
    </comment>
    <comment ref="F103" authorId="7" shapeId="0">
      <text>
        <r>
          <rPr>
            <b/>
            <sz val="9"/>
            <color indexed="81"/>
            <rFont val="Tahoma"/>
            <family val="2"/>
          </rPr>
          <t>huynh-panda:</t>
        </r>
        <r>
          <rPr>
            <sz val="9"/>
            <color indexed="81"/>
            <rFont val="Tahoma"/>
            <family val="2"/>
          </rPr>
          <t xml:space="preserve">
- TD từ 01/7/2022 (HS 1,989)
- HS 3,33 từ 01/3/2022
</t>
        </r>
      </text>
    </comment>
    <comment ref="B10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text>
        <r>
          <rPr>
            <b/>
            <sz val="9"/>
            <color indexed="81"/>
            <rFont val="Tahoma"/>
            <family val="2"/>
          </rPr>
          <t>Windows User:</t>
        </r>
        <r>
          <rPr>
            <sz val="9"/>
            <color indexed="81"/>
            <rFont val="Tahoma"/>
            <family val="2"/>
          </rPr>
          <t xml:space="preserve">
- HS 2,67 từ 01/10/2022
- HS 3,00 từ 01/11/2022</t>
        </r>
      </text>
    </comment>
    <comment ref="B107" authorId="3" shapeId="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text>
        <r>
          <rPr>
            <b/>
            <sz val="9"/>
            <color indexed="81"/>
            <rFont val="Tahoma"/>
            <family val="2"/>
          </rPr>
          <t>Admin:</t>
        </r>
        <r>
          <rPr>
            <sz val="9"/>
            <color indexed="81"/>
            <rFont val="Tahoma"/>
            <family val="2"/>
          </rPr>
          <t xml:space="preserve">
- HS 3,00 từ 01/9/2016
- HS 3,33 từ 01/9/2019
- HS 3,66 từ 01/9/2022</t>
        </r>
      </text>
    </comment>
    <comment ref="F110" authorId="1" shapeId="0">
      <text>
        <r>
          <rPr>
            <b/>
            <sz val="9"/>
            <color indexed="81"/>
            <rFont val="Tahoma"/>
            <family val="2"/>
          </rPr>
          <t>Admin:</t>
        </r>
        <r>
          <rPr>
            <sz val="9"/>
            <color indexed="81"/>
            <rFont val="Tahoma"/>
            <family val="2"/>
          </rPr>
          <t xml:space="preserve">
- HS 2,67 từ 01/9/2016
- HS 3,00 từ 01/9/2019
- HS 3,33 từ 01/9/2022</t>
        </r>
      </text>
    </comment>
    <comment ref="I110"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text>
        <r>
          <rPr>
            <b/>
            <sz val="9"/>
            <color indexed="81"/>
            <rFont val="Tahoma"/>
            <family val="2"/>
          </rPr>
          <t>Admin:</t>
        </r>
        <r>
          <rPr>
            <sz val="9"/>
            <color indexed="81"/>
            <rFont val="Tahoma"/>
            <family val="2"/>
          </rPr>
          <t xml:space="preserve">
- HS 2,67 từ 01/9/2016
- HS 3,00 từ 01/9/2019
- HS 3,33 từ 01/9/2022</t>
        </r>
      </text>
    </comment>
    <comment ref="F112" authorId="1"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text>
        <r>
          <rPr>
            <sz val="9"/>
            <color indexed="81"/>
            <rFont val="Tahoma"/>
            <family val="2"/>
          </rPr>
          <t>- HS 2,67 từ 01/12/2017
- HS 3,00 từ 01/12/2020
- HS 3,33 từ 01/12/2022 (NL trước hạn)</t>
        </r>
      </text>
    </comment>
    <comment ref="F114"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text>
        <r>
          <rPr>
            <b/>
            <sz val="9"/>
            <color indexed="81"/>
            <rFont val="Tahoma"/>
            <family val="2"/>
          </rPr>
          <t>Windows User:</t>
        </r>
        <r>
          <rPr>
            <sz val="9"/>
            <color indexed="81"/>
            <rFont val="Tahoma"/>
            <family val="2"/>
          </rPr>
          <t xml:space="preserve">
- VK 5% từ 01/11/2023</t>
        </r>
      </text>
    </comment>
    <comment ref="F11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text>
        <r>
          <rPr>
            <b/>
            <sz val="9"/>
            <color indexed="81"/>
            <rFont val="Tahoma"/>
            <family val="2"/>
          </rPr>
          <t>user:</t>
        </r>
        <r>
          <rPr>
            <sz val="9"/>
            <color indexed="81"/>
            <rFont val="Tahoma"/>
            <family val="2"/>
          </rPr>
          <t xml:space="preserve">
- HS 2,67 từ 01/10/2019
- HS 3,00 từ 01/10/2022</t>
        </r>
      </text>
    </comment>
    <comment ref="F117"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text>
        <r>
          <rPr>
            <b/>
            <sz val="9"/>
            <color indexed="81"/>
            <rFont val="Tahoma"/>
            <family val="2"/>
          </rPr>
          <t>user:</t>
        </r>
        <r>
          <rPr>
            <sz val="9"/>
            <color indexed="81"/>
            <rFont val="Tahoma"/>
            <family val="2"/>
          </rPr>
          <t xml:space="preserve">
- Trưởng TT Thư viện từ 01/9/2020</t>
        </r>
      </text>
    </comment>
    <comment ref="F118" authorId="1" shapeId="0">
      <text>
        <r>
          <rPr>
            <b/>
            <sz val="9"/>
            <color indexed="81"/>
            <rFont val="Tahoma"/>
            <family val="2"/>
          </rPr>
          <t>Admin:</t>
        </r>
        <r>
          <rPr>
            <sz val="9"/>
            <color indexed="81"/>
            <rFont val="Tahoma"/>
            <family val="2"/>
          </rPr>
          <t xml:space="preserve">
- HS 4,65 từ 01/6/2016 (NL Trước hạn năm 2017)</t>
        </r>
      </text>
    </comment>
    <comment ref="G118" authorId="7" shapeId="0">
      <text>
        <r>
          <rPr>
            <b/>
            <sz val="9"/>
            <color indexed="81"/>
            <rFont val="Tahoma"/>
            <family val="2"/>
          </rPr>
          <t>Quynh-panda:</t>
        </r>
        <r>
          <rPr>
            <sz val="9"/>
            <color indexed="81"/>
            <rFont val="Tahoma"/>
            <family val="2"/>
          </rPr>
          <t xml:space="preserve">
- VK 5% từ 01/06/2022
- VK 6% từ 01/06/2023
- VK 7% từ 01/06/2024</t>
        </r>
      </text>
    </comment>
    <comment ref="F119"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text>
        <r>
          <rPr>
            <b/>
            <sz val="9"/>
            <color indexed="81"/>
            <rFont val="Tahoma"/>
            <family val="2"/>
          </rPr>
          <t>Admin:</t>
        </r>
        <r>
          <rPr>
            <sz val="9"/>
            <color indexed="81"/>
            <rFont val="Tahoma"/>
            <family val="2"/>
          </rPr>
          <t xml:space="preserve">
- HS 3,00 từ 01/12/2016
- HS 3,33 từ 01/12/2019
- HS 3,66 từ 01/12/2022</t>
        </r>
      </text>
    </comment>
    <comment ref="F122" authorId="1" shapeId="0">
      <text>
        <r>
          <rPr>
            <b/>
            <sz val="9"/>
            <color indexed="81"/>
            <rFont val="Tahoma"/>
            <family val="2"/>
          </rPr>
          <t>Admin:</t>
        </r>
        <r>
          <rPr>
            <sz val="9"/>
            <color indexed="81"/>
            <rFont val="Tahoma"/>
            <family val="2"/>
          </rPr>
          <t xml:space="preserve">
- HS 3,99 từ 01/12/2015
- HS 4,32 từ 01/12/2018
- HS 4,65 từ 01/12/2021</t>
        </r>
      </text>
    </comment>
    <comment ref="F12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text>
        <r>
          <rPr>
            <b/>
            <sz val="9"/>
            <color indexed="81"/>
            <rFont val="Tahoma"/>
            <family val="2"/>
          </rPr>
          <t>User:</t>
        </r>
        <r>
          <rPr>
            <sz val="9"/>
            <color indexed="81"/>
            <rFont val="Tahoma"/>
            <family val="2"/>
          </rPr>
          <t xml:space="preserve">
- HS 4,65 từ 01/9/2015
- HS 4,98 từ 01/9/17 (NL trước hạn)</t>
        </r>
      </text>
    </comment>
    <comment ref="G124"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text>
        <r>
          <rPr>
            <b/>
            <sz val="9"/>
            <color indexed="81"/>
            <rFont val="Tahoma"/>
            <family val="2"/>
          </rPr>
          <t>Admin:</t>
        </r>
        <r>
          <rPr>
            <sz val="9"/>
            <color indexed="81"/>
            <rFont val="Tahoma"/>
            <family val="2"/>
          </rPr>
          <t xml:space="preserve">
- HS 3,00 từ 01/11/2016
- HS 3,33 từ 01/11/2019
- HS 3,66 từ 01/11/2022</t>
        </r>
      </text>
    </comment>
    <comment ref="F127"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text>
        <r>
          <rPr>
            <b/>
            <sz val="9"/>
            <color indexed="81"/>
            <rFont val="Tahoma"/>
            <family val="2"/>
          </rPr>
          <t>Admin:</t>
        </r>
        <r>
          <rPr>
            <sz val="9"/>
            <color indexed="81"/>
            <rFont val="Tahoma"/>
            <family val="2"/>
          </rPr>
          <t xml:space="preserve">
- BN Phó TK từ 01/8/2018</t>
        </r>
      </text>
    </comment>
    <comment ref="F128" authorId="0" shapeId="0">
      <text>
        <r>
          <rPr>
            <b/>
            <sz val="9"/>
            <color indexed="81"/>
            <rFont val="Tahoma"/>
            <family val="2"/>
          </rPr>
          <t>User:</t>
        </r>
        <r>
          <rPr>
            <sz val="9"/>
            <color indexed="81"/>
            <rFont val="Tahoma"/>
            <family val="2"/>
          </rPr>
          <t xml:space="preserve">
- HS 4,32 từ 01/9/2014
- HS 4,65 từ 01/9/2017
- HS 4,98 từ 01/9/2020</t>
        </r>
      </text>
    </comment>
    <comment ref="G128" authorId="3" shapeId="0">
      <text>
        <r>
          <rPr>
            <b/>
            <sz val="9"/>
            <color indexed="81"/>
            <rFont val="Tahoma"/>
            <family val="2"/>
          </rPr>
          <t>Windows User:</t>
        </r>
        <r>
          <rPr>
            <sz val="9"/>
            <color indexed="81"/>
            <rFont val="Tahoma"/>
            <family val="2"/>
          </rPr>
          <t xml:space="preserve">
- VK 5% từ 01/9/2023
- VK 6% từ 01/9/2024</t>
        </r>
      </text>
    </comment>
    <comment ref="F129"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text>
        <r>
          <rPr>
            <b/>
            <sz val="9"/>
            <color indexed="81"/>
            <rFont val="Tahoma"/>
            <family val="2"/>
          </rPr>
          <t>Admin:</t>
        </r>
        <r>
          <rPr>
            <sz val="9"/>
            <color indexed="81"/>
            <rFont val="Tahoma"/>
            <family val="2"/>
          </rPr>
          <t xml:space="preserve">
- HS 3,00 từ 01/9/2016
- HS 3,33 từ 01/3/2020
- HS 3,66 từ 01/03/2023</t>
        </r>
      </text>
    </comment>
    <comment ref="F131" authorId="1" shapeId="0">
      <text>
        <r>
          <rPr>
            <b/>
            <sz val="9"/>
            <color indexed="81"/>
            <rFont val="Tahoma"/>
            <family val="2"/>
          </rPr>
          <t>Admin:</t>
        </r>
        <r>
          <rPr>
            <sz val="9"/>
            <color indexed="81"/>
            <rFont val="Tahoma"/>
            <family val="2"/>
          </rPr>
          <t xml:space="preserve">
- HS 2,67 từ 01/9/2017
- HS 3,00 từ 01/9/2020</t>
        </r>
      </text>
    </comment>
    <comment ref="F132"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text>
        <r>
          <rPr>
            <b/>
            <sz val="9"/>
            <color indexed="81"/>
            <rFont val="Tahoma"/>
            <family val="2"/>
          </rPr>
          <t>Admin:</t>
        </r>
        <r>
          <rPr>
            <sz val="9"/>
            <color indexed="81"/>
            <rFont val="Tahoma"/>
            <family val="2"/>
          </rPr>
          <t xml:space="preserve">
+ BN Tổ trưởng CM từ 03/5/2017</t>
        </r>
      </text>
    </comment>
    <comment ref="F134"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text>
        <r>
          <rPr>
            <sz val="9"/>
            <color indexed="81"/>
            <rFont val="Tahoma"/>
            <family val="2"/>
          </rPr>
          <t>- HS 3,33 từ 01/3/2018
- HS 3,66 từ 01/3/2020 (NL trước hạn)
- HS 3,99 từ 01/3/2023</t>
        </r>
      </text>
    </comment>
    <comment ref="F136"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text>
        <r>
          <rPr>
            <b/>
            <sz val="9"/>
            <color indexed="81"/>
            <rFont val="Tahoma"/>
            <family val="2"/>
          </rPr>
          <t>Admin:</t>
        </r>
        <r>
          <rPr>
            <sz val="9"/>
            <color indexed="81"/>
            <rFont val="Tahoma"/>
            <family val="2"/>
          </rPr>
          <t xml:space="preserve">
- HS 3,66 từ 01/9/2016
- HS 3,99 từ 01/9/2019
- HS 4,32 từ 01/9/2022</t>
        </r>
      </text>
    </comment>
    <comment ref="F138" authorId="8" shapeId="0">
      <text>
        <r>
          <rPr>
            <sz val="9"/>
            <color indexed="81"/>
            <rFont val="Tahoma"/>
            <family val="2"/>
          </rPr>
          <t xml:space="preserve">- HS 3,99 từ 01/12/2017
- HS 4,32 từ 01/12/2020
- HS 4,65 từ 01/12/2023
</t>
        </r>
      </text>
    </comment>
    <comment ref="F139" authorId="1" shapeId="0">
      <text>
        <r>
          <rPr>
            <b/>
            <sz val="9"/>
            <color indexed="81"/>
            <rFont val="Tahoma"/>
            <family val="2"/>
          </rPr>
          <t>Admin:</t>
        </r>
        <r>
          <rPr>
            <sz val="9"/>
            <color indexed="81"/>
            <rFont val="Tahoma"/>
            <family val="2"/>
          </rPr>
          <t xml:space="preserve">
- HS 3,99 từ 01/9/2017
- HS 4,32 từ 01/9/2019
- HS 4,65 từ 01/9/2022</t>
        </r>
      </text>
    </comment>
    <comment ref="I139" authorId="2" shapeId="0">
      <text>
        <r>
          <rPr>
            <b/>
            <sz val="9"/>
            <color indexed="81"/>
            <rFont val="Tahoma"/>
            <family val="2"/>
          </rPr>
          <t>user:</t>
        </r>
        <r>
          <rPr>
            <sz val="9"/>
            <color indexed="81"/>
            <rFont val="Tahoma"/>
            <family val="2"/>
          </rPr>
          <t xml:space="preserve">
- Trưởng BM Cơ điện tử và tự động hóa từ 01/1/2020</t>
        </r>
      </text>
    </comment>
    <comment ref="F140" authorId="1" shapeId="0">
      <text>
        <r>
          <rPr>
            <b/>
            <sz val="9"/>
            <color indexed="81"/>
            <rFont val="Tahoma"/>
            <family val="2"/>
          </rPr>
          <t>Admin:</t>
        </r>
        <r>
          <rPr>
            <sz val="9"/>
            <color indexed="81"/>
            <rFont val="Tahoma"/>
            <family val="2"/>
          </rPr>
          <t xml:space="preserve">
- HS 3,99 từ 01/9/2017
- HS 4,32 từ 01/9/2020
- HS 4,65 từ 01/9/2023</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F142" authorId="1" shapeId="0">
      <text>
        <r>
          <rPr>
            <b/>
            <sz val="9"/>
            <color indexed="81"/>
            <rFont val="Tahoma"/>
            <family val="2"/>
          </rPr>
          <t>Admin:</t>
        </r>
        <r>
          <rPr>
            <sz val="9"/>
            <color indexed="81"/>
            <rFont val="Tahoma"/>
            <family val="2"/>
          </rPr>
          <t xml:space="preserve">
- HS 4,32 từ 01/9/2016
- HS 4,65 từ 01/9/2019
- HS 4,98 từ 01/9/2022</t>
        </r>
      </text>
    </comment>
    <comment ref="F143" authorId="1" shapeId="0">
      <text>
        <r>
          <rPr>
            <b/>
            <sz val="9"/>
            <color indexed="81"/>
            <rFont val="Tahoma"/>
            <family val="2"/>
          </rPr>
          <t>Admin:</t>
        </r>
        <r>
          <rPr>
            <sz val="9"/>
            <color indexed="81"/>
            <rFont val="Tahoma"/>
            <family val="2"/>
          </rPr>
          <t xml:space="preserve">
- HS 3,33 từ 01/9/2017
- HS 3,66 từ 01/9/2020
- HS 3,99 từ 01/9/2023</t>
        </r>
      </text>
    </comment>
    <comment ref="I143"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text>
        <r>
          <rPr>
            <sz val="9"/>
            <color indexed="81"/>
            <rFont val="Tahoma"/>
            <family val="2"/>
          </rPr>
          <t>- HS 3,00 từ 01/01/2018
- HS 3,33 từ 01/01/2023</t>
        </r>
      </text>
    </comment>
    <comment ref="I144"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text>
        <r>
          <rPr>
            <b/>
            <sz val="9"/>
            <color indexed="81"/>
            <rFont val="Tahoma"/>
            <family val="2"/>
          </rPr>
          <t>Admin:</t>
        </r>
        <r>
          <rPr>
            <sz val="9"/>
            <color indexed="81"/>
            <rFont val="Tahoma"/>
            <family val="2"/>
          </rPr>
          <t xml:space="preserve">
- HS 2,34 từ 01/09/2016
- HS 2,67 từ 01/9/2019
- HS 3,00 từ 0/09/2022</t>
        </r>
      </text>
    </comment>
    <comment ref="F146" authorId="2" shapeId="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text>
        <r>
          <rPr>
            <b/>
            <sz val="9"/>
            <color indexed="81"/>
            <rFont val="Tahoma"/>
            <family val="2"/>
          </rPr>
          <t>Admin:</t>
        </r>
        <r>
          <rPr>
            <sz val="9"/>
            <color indexed="81"/>
            <rFont val="Tahoma"/>
            <family val="2"/>
          </rPr>
          <t xml:space="preserve">
- HS 2,34 từ 01/09/2016
- HS 2,67 từ 01/9/2019
- HS 3,00 từ 01/9/2022</t>
        </r>
      </text>
    </comment>
    <comment ref="F148" authorId="2" shapeId="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text>
        <r>
          <rPr>
            <b/>
            <sz val="9"/>
            <color indexed="81"/>
            <rFont val="Tahoma"/>
            <family val="2"/>
          </rPr>
          <t>User:</t>
        </r>
        <r>
          <rPr>
            <sz val="9"/>
            <color indexed="81"/>
            <rFont val="Tahoma"/>
            <family val="2"/>
          </rPr>
          <t xml:space="preserve">
HS 0,35 hưởng từ 01/7/2015
</t>
        </r>
      </text>
    </comment>
    <comment ref="F155"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text>
        <r>
          <rPr>
            <b/>
            <sz val="9"/>
            <color indexed="81"/>
            <rFont val="Tahoma"/>
            <family val="2"/>
          </rPr>
          <t>user:</t>
        </r>
        <r>
          <rPr>
            <sz val="9"/>
            <color indexed="81"/>
            <rFont val="Tahoma"/>
            <family val="2"/>
          </rPr>
          <t xml:space="preserve">
- QĐ BN Trưởng BM GDCT từ 01/4/2021</t>
        </r>
      </text>
    </comment>
    <comment ref="F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text>
        <r>
          <rPr>
            <b/>
            <sz val="9"/>
            <color indexed="81"/>
            <rFont val="Tahoma"/>
            <family val="2"/>
          </rPr>
          <t>Admin:</t>
        </r>
        <r>
          <rPr>
            <sz val="9"/>
            <color indexed="81"/>
            <rFont val="Tahoma"/>
            <family val="2"/>
          </rPr>
          <t xml:space="preserve">
- HS 3,99 từ 01/9/2017
- HS 4,32 từ 01/9/2020
- HS 4,65 từ 01/9/2023</t>
        </r>
      </text>
    </comment>
    <comment ref="F159"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text>
        <r>
          <rPr>
            <b/>
            <sz val="9"/>
            <color indexed="81"/>
            <rFont val="Tahoma"/>
            <family val="2"/>
          </rPr>
          <t>Admin:</t>
        </r>
        <r>
          <rPr>
            <sz val="9"/>
            <color indexed="81"/>
            <rFont val="Tahoma"/>
            <family val="2"/>
          </rPr>
          <t xml:space="preserve">
- HS 3,00 từ 01/03/2017
- HS 3,33 từ 01/03/2020
- HS 3,66 từ 01/03/2023</t>
        </r>
      </text>
    </comment>
    <comment ref="F168" authorId="1" shapeId="0">
      <text>
        <r>
          <rPr>
            <b/>
            <sz val="9"/>
            <color indexed="81"/>
            <rFont val="Tahoma"/>
            <family val="2"/>
          </rPr>
          <t>Admin:</t>
        </r>
        <r>
          <rPr>
            <sz val="9"/>
            <color indexed="81"/>
            <rFont val="Tahoma"/>
            <family val="2"/>
          </rPr>
          <t xml:space="preserve">
- HS 2,67 từ 01/9/2017
- HS 3,00 từ 01/9/2020
- HS 3,33 từ 01/9/2023</t>
        </r>
      </text>
    </comment>
    <comment ref="F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text>
        <r>
          <rPr>
            <b/>
            <sz val="9"/>
            <color indexed="81"/>
            <rFont val="Tahoma"/>
            <family val="2"/>
          </rPr>
          <t>Admin:</t>
        </r>
        <r>
          <rPr>
            <sz val="9"/>
            <color indexed="81"/>
            <rFont val="Tahoma"/>
            <family val="2"/>
          </rPr>
          <t xml:space="preserve">
- 3,33 từ 01/9/2017
- 3,66 từ 01/9/2020
- 3,99 từ 01/9/2023</t>
        </r>
      </text>
    </comment>
    <comment ref="I170" authorId="0" shapeId="0">
      <text>
        <r>
          <rPr>
            <b/>
            <sz val="9"/>
            <color indexed="81"/>
            <rFont val="Tahoma"/>
            <family val="2"/>
          </rPr>
          <t>User:</t>
        </r>
        <r>
          <rPr>
            <sz val="9"/>
            <color indexed="81"/>
            <rFont val="Tahoma"/>
            <family val="2"/>
          </rPr>
          <t xml:space="preserve">
Miễn nhiệm Trưởng bộ môn từ 01/9/2015</t>
        </r>
      </text>
    </comment>
    <comment ref="F171" authorId="1" shapeId="0">
      <text>
        <r>
          <rPr>
            <b/>
            <sz val="9"/>
            <color indexed="81"/>
            <rFont val="Tahoma"/>
            <family val="2"/>
          </rPr>
          <t>Admin:</t>
        </r>
        <r>
          <rPr>
            <sz val="9"/>
            <color indexed="81"/>
            <rFont val="Tahoma"/>
            <family val="2"/>
          </rPr>
          <t xml:space="preserve">
- HS 3,33 từ 01/9/2016
- HS 3,66 từ 01/9/2019
- HS 3,99 từ 01/9/2022</t>
        </r>
      </text>
    </comment>
    <comment ref="I171" authorId="0" shapeId="0">
      <text>
        <r>
          <rPr>
            <b/>
            <sz val="9"/>
            <color indexed="81"/>
            <rFont val="Tahoma"/>
            <family val="2"/>
          </rPr>
          <t>User:</t>
        </r>
        <r>
          <rPr>
            <sz val="9"/>
            <color indexed="81"/>
            <rFont val="Tahoma"/>
            <family val="2"/>
          </rPr>
          <t xml:space="preserve">
Miễn nhiệm Trưởng BM từ 01/9/15
</t>
        </r>
      </text>
    </comment>
    <comment ref="F172"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text>
        <r>
          <rPr>
            <sz val="9"/>
            <color indexed="81"/>
            <rFont val="Tahoma"/>
            <family val="2"/>
          </rPr>
          <t xml:space="preserve">- HS 3,33 từ 01/12/2017
- HS 3,66 từ 01/12/2020
- HS 3,99 từ 01/12/2023
</t>
        </r>
      </text>
    </comment>
    <comment ref="F174"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text>
        <r>
          <rPr>
            <b/>
            <sz val="9"/>
            <color indexed="81"/>
            <rFont val="Tahoma"/>
            <family val="2"/>
          </rPr>
          <t>Quynh:</t>
        </r>
        <r>
          <rPr>
            <sz val="9"/>
            <color indexed="81"/>
            <rFont val="Tahoma"/>
            <family val="2"/>
          </rPr>
          <t xml:space="preserve">
- HS 3,00 từ 01/5/2018
- HS 3,33 từ 01/5/2021
- HS 3,66 từ 01/5/2024</t>
        </r>
      </text>
    </comment>
    <comment ref="F180" authorId="1"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text>
        <r>
          <rPr>
            <b/>
            <sz val="9"/>
            <color indexed="81"/>
            <rFont val="Tahoma"/>
            <family val="2"/>
          </rPr>
          <t>huynh-panda:</t>
        </r>
        <r>
          <rPr>
            <sz val="9"/>
            <color indexed="81"/>
            <rFont val="Tahoma"/>
            <family val="2"/>
          </rPr>
          <t xml:space="preserve">
Phụ trách BM Khoa học máy tính từ 06/7/2022</t>
        </r>
      </text>
    </comment>
    <comment ref="F181"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text>
        <r>
          <rPr>
            <b/>
            <sz val="9"/>
            <color indexed="81"/>
            <rFont val="Tahoma"/>
            <family val="2"/>
          </rPr>
          <t>User:</t>
        </r>
        <r>
          <rPr>
            <sz val="9"/>
            <color indexed="81"/>
            <rFont val="Tahoma"/>
            <family val="2"/>
          </rPr>
          <t xml:space="preserve">
+ HS 0,45 được bảo lưu đến hết 31/12/2015</t>
        </r>
      </text>
    </comment>
    <comment ref="F183"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text>
        <r>
          <rPr>
            <b/>
            <sz val="9"/>
            <color indexed="81"/>
            <rFont val="Tahoma"/>
            <family val="2"/>
          </rPr>
          <t>huynh-panda:</t>
        </r>
        <r>
          <rPr>
            <sz val="9"/>
            <color indexed="81"/>
            <rFont val="Tahoma"/>
            <family val="2"/>
          </rPr>
          <t xml:space="preserve">
- Phụ trách BM Công nghệ phần mềm từ 05/7/2022</t>
        </r>
      </text>
    </comment>
    <comment ref="F185"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text>
        <r>
          <rPr>
            <b/>
            <sz val="9"/>
            <color indexed="81"/>
            <rFont val="Tahoma"/>
            <family val="2"/>
          </rPr>
          <t>User:</t>
        </r>
        <r>
          <rPr>
            <sz val="9"/>
            <color indexed="81"/>
            <rFont val="Tahoma"/>
            <family val="2"/>
          </rPr>
          <t xml:space="preserve">
- QĐ Bổ nhiệm trưởng khoa từ 01/2/2016</t>
        </r>
      </text>
    </comment>
    <comment ref="F189" authorId="1" shapeId="0">
      <text>
        <r>
          <rPr>
            <b/>
            <sz val="9"/>
            <color indexed="81"/>
            <rFont val="Tahoma"/>
            <family val="2"/>
          </rPr>
          <t>Admin:</t>
        </r>
        <r>
          <rPr>
            <sz val="9"/>
            <color indexed="81"/>
            <rFont val="Tahoma"/>
            <family val="2"/>
          </rPr>
          <t xml:space="preserve">
- HS 4,65 từ 01/12/2015
- HS 4,98 từ 01/12/2018</t>
        </r>
      </text>
    </comment>
    <comment ref="G189" authorId="2" shapeId="0">
      <text>
        <r>
          <rPr>
            <b/>
            <sz val="9"/>
            <color indexed="81"/>
            <rFont val="Tahoma"/>
            <family val="2"/>
          </rPr>
          <t>user:</t>
        </r>
        <r>
          <rPr>
            <sz val="9"/>
            <color indexed="81"/>
            <rFont val="Tahoma"/>
            <family val="2"/>
          </rPr>
          <t xml:space="preserve">
- VK 5% từ 01/12/2021
- VK 6% từ 01/12/2022
- VK 7% từ 01/12/2023</t>
        </r>
      </text>
    </comment>
    <comment ref="F190" authorId="1" shapeId="0">
      <text>
        <r>
          <rPr>
            <b/>
            <sz val="9"/>
            <color indexed="81"/>
            <rFont val="Tahoma"/>
            <family val="2"/>
          </rPr>
          <t>Admin:</t>
        </r>
        <r>
          <rPr>
            <sz val="9"/>
            <color indexed="81"/>
            <rFont val="Tahoma"/>
            <family val="2"/>
          </rPr>
          <t xml:space="preserve">
- HS 4,65 từ 01/9/2015
- HS 4,98 từ 01/9/2018</t>
        </r>
      </text>
    </comment>
    <comment ref="G19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text>
        <r>
          <rPr>
            <b/>
            <sz val="9"/>
            <color indexed="81"/>
            <rFont val="Tahoma"/>
            <family val="2"/>
          </rPr>
          <t>Admin:</t>
        </r>
        <r>
          <rPr>
            <sz val="9"/>
            <color indexed="81"/>
            <rFont val="Tahoma"/>
            <family val="2"/>
          </rPr>
          <t xml:space="preserve">
QĐ BN Trưởng BM từ 15/5/2016
</t>
        </r>
      </text>
    </comment>
    <comment ref="F194"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text>
        <r>
          <rPr>
            <b/>
            <sz val="9"/>
            <color indexed="81"/>
            <rFont val="Tahoma"/>
            <family val="2"/>
          </rPr>
          <t>huynh-panda:</t>
        </r>
        <r>
          <rPr>
            <sz val="9"/>
            <color indexed="81"/>
            <rFont val="Tahoma"/>
            <family val="2"/>
          </rPr>
          <t xml:space="preserve">
- VK 5% từ 01/9/2022
- VK 6% từ 01/9/2023
- VK 7% từ 01/9/2024</t>
        </r>
      </text>
    </comment>
    <comment ref="I194" authorId="1" shapeId="0">
      <text>
        <r>
          <rPr>
            <sz val="9"/>
            <color indexed="81"/>
            <rFont val="Tahoma"/>
            <family val="2"/>
          </rPr>
          <t>QĐ phụ trách từ 01/12/2017</t>
        </r>
      </text>
    </comment>
    <comment ref="F195" authorId="1" shapeId="0">
      <text>
        <r>
          <rPr>
            <b/>
            <sz val="9"/>
            <color indexed="81"/>
            <rFont val="Tahoma"/>
            <family val="2"/>
          </rPr>
          <t>Admin:</t>
        </r>
        <r>
          <rPr>
            <sz val="9"/>
            <color indexed="81"/>
            <rFont val="Tahoma"/>
            <family val="2"/>
          </rPr>
          <t xml:space="preserve">
- HS 3,33 từ 01/9/2017
- HS 3,66 từ 01/9/2020
- HS 3,99 từ 01/9/2023</t>
        </r>
      </text>
    </comment>
    <comment ref="F196" authorId="1" shapeId="0">
      <text>
        <r>
          <rPr>
            <b/>
            <sz val="9"/>
            <color indexed="81"/>
            <rFont val="Tahoma"/>
            <family val="2"/>
          </rPr>
          <t>Admin:</t>
        </r>
        <r>
          <rPr>
            <sz val="9"/>
            <color indexed="81"/>
            <rFont val="Tahoma"/>
            <family val="2"/>
          </rPr>
          <t xml:space="preserve">
- HS 4,65 từ 01/9/2017
- HS 4,98 từ 01/9/2020</t>
        </r>
      </text>
    </comment>
    <comment ref="G196" authorId="3" shapeId="0">
      <text>
        <r>
          <rPr>
            <b/>
            <sz val="9"/>
            <color indexed="81"/>
            <rFont val="Tahoma"/>
            <family val="2"/>
          </rPr>
          <t>Windows User:</t>
        </r>
        <r>
          <rPr>
            <sz val="9"/>
            <color indexed="81"/>
            <rFont val="Tahoma"/>
            <family val="2"/>
          </rPr>
          <t xml:space="preserve">
- VK 5% từ 01/9/2023
- VK 6% từ 01/9/2024</t>
        </r>
      </text>
    </comment>
    <comment ref="F197"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text>
        <r>
          <rPr>
            <b/>
            <sz val="9"/>
            <color indexed="81"/>
            <rFont val="Tahoma"/>
            <family val="2"/>
          </rPr>
          <t>Admin:</t>
        </r>
        <r>
          <rPr>
            <sz val="9"/>
            <color indexed="81"/>
            <rFont val="Tahoma"/>
            <family val="2"/>
          </rPr>
          <t xml:space="preserve">
- HS 3,00 từ 01/9/2016
- HS 3,33 từ 01/9/2019
- HS 3,66 từ 01/9/2022</t>
        </r>
      </text>
    </comment>
    <comment ref="F200" authorId="1" shapeId="0">
      <text>
        <r>
          <rPr>
            <b/>
            <sz val="9"/>
            <color indexed="81"/>
            <rFont val="Tahoma"/>
            <family val="2"/>
          </rPr>
          <t>Admin:</t>
        </r>
        <r>
          <rPr>
            <sz val="9"/>
            <color indexed="81"/>
            <rFont val="Tahoma"/>
            <family val="2"/>
          </rPr>
          <t xml:space="preserve">
- HS 3,00 từ 01/9/2016
- HS 3,33 từ 01/9/2019
- HS 3,66 từ 01/9/2022</t>
        </r>
      </text>
    </comment>
    <comment ref="F201" authorId="1" shapeId="0">
      <text>
        <r>
          <rPr>
            <b/>
            <sz val="9"/>
            <color indexed="81"/>
            <rFont val="Tahoma"/>
            <family val="2"/>
          </rPr>
          <t>Admin:</t>
        </r>
        <r>
          <rPr>
            <sz val="9"/>
            <color indexed="81"/>
            <rFont val="Tahoma"/>
            <family val="2"/>
          </rPr>
          <t xml:space="preserve">
- HS 3,00 từ 01/9/2016
- HS 3,33 từ 01/9/2019
- HS 3,66 từ 01/9/2022</t>
        </r>
      </text>
    </comment>
    <comment ref="F202" authorId="1" shapeId="0">
      <text>
        <r>
          <rPr>
            <b/>
            <sz val="9"/>
            <color indexed="81"/>
            <rFont val="Tahoma"/>
            <family val="2"/>
          </rPr>
          <t>Admin:</t>
        </r>
        <r>
          <rPr>
            <sz val="9"/>
            <color indexed="81"/>
            <rFont val="Tahoma"/>
            <family val="2"/>
          </rPr>
          <t xml:space="preserve">
- HS 3,00 từ 01/9/2017
- HS 3,33 từ 01/9/2020
- HS 3,66 từ 01/9/2023</t>
        </r>
      </text>
    </comment>
    <comment ref="I202" authorId="0" shapeId="0">
      <text>
        <r>
          <rPr>
            <b/>
            <sz val="9"/>
            <color indexed="81"/>
            <rFont val="Tahoma"/>
            <family val="2"/>
          </rPr>
          <t>User:</t>
        </r>
        <r>
          <rPr>
            <sz val="9"/>
            <color indexed="81"/>
            <rFont val="Tahoma"/>
            <family val="2"/>
          </rPr>
          <t xml:space="preserve">
BN Trưởng BM Cơ sở Cơ khí từ 01/09/2015</t>
        </r>
      </text>
    </comment>
    <comment ref="F20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text>
        <r>
          <rPr>
            <b/>
            <sz val="9"/>
            <color indexed="81"/>
            <rFont val="Tahoma"/>
            <family val="2"/>
          </rPr>
          <t>Admin:</t>
        </r>
        <r>
          <rPr>
            <sz val="9"/>
            <color indexed="81"/>
            <rFont val="Tahoma"/>
            <family val="2"/>
          </rPr>
          <t xml:space="preserve">
- HS 3,00 từ 01/10/2016
- HS 3,33 từ 01/10/2019
- HS 3,66 từ 01/10/2022</t>
        </r>
      </text>
    </comment>
    <comment ref="F205" authorId="1" shapeId="0">
      <text>
        <r>
          <rPr>
            <b/>
            <sz val="9"/>
            <color indexed="81"/>
            <rFont val="Tahoma"/>
            <family val="2"/>
          </rPr>
          <t>Admin:</t>
        </r>
        <r>
          <rPr>
            <sz val="9"/>
            <color indexed="81"/>
            <rFont val="Tahoma"/>
            <family val="2"/>
          </rPr>
          <t xml:space="preserve">
- HS 2,67 từ 01/10/2016
- HS 3,00 từ 01/10/2019
- HS 3,33 từ 01/10/2022</t>
        </r>
      </text>
    </comment>
    <comment ref="F206" authorId="0" shapeId="0">
      <text>
        <r>
          <rPr>
            <b/>
            <sz val="9"/>
            <color indexed="81"/>
            <rFont val="Tahoma"/>
            <family val="2"/>
          </rPr>
          <t>User:</t>
        </r>
        <r>
          <rPr>
            <sz val="9"/>
            <color indexed="81"/>
            <rFont val="Tahoma"/>
            <family val="2"/>
          </rPr>
          <t xml:space="preserve">
- HS 4,65 từ 01/9/2015
- HS 4,98 từ 01/9/2018</t>
        </r>
      </text>
    </comment>
    <comment ref="G206"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text>
        <r>
          <rPr>
            <b/>
            <sz val="9"/>
            <color indexed="81"/>
            <rFont val="Tahoma"/>
            <family val="2"/>
          </rPr>
          <t>user:</t>
        </r>
        <r>
          <rPr>
            <sz val="9"/>
            <color indexed="81"/>
            <rFont val="Tahoma"/>
            <family val="2"/>
          </rPr>
          <t xml:space="preserve">
- BN CDNN từ 01/4/2019 (HS 2.67)
- HS 3,00 từ 01/4/2022</t>
        </r>
      </text>
    </comment>
    <comment ref="F209" authorId="2" shapeId="0">
      <text>
        <r>
          <rPr>
            <b/>
            <sz val="9"/>
            <color indexed="81"/>
            <rFont val="Tahoma"/>
            <family val="2"/>
          </rPr>
          <t>user:</t>
        </r>
        <r>
          <rPr>
            <sz val="9"/>
            <color indexed="81"/>
            <rFont val="Tahoma"/>
            <family val="2"/>
          </rPr>
          <t xml:space="preserve">
- HS 2,67 từ 01/10/2019
- HS 3,00 từ 01/10/2022</t>
        </r>
      </text>
    </comment>
    <comment ref="G210"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text>
        <r>
          <rPr>
            <b/>
            <sz val="9"/>
            <color indexed="81"/>
            <rFont val="Tahoma"/>
            <family val="2"/>
          </rPr>
          <t>Windows User:</t>
        </r>
        <r>
          <rPr>
            <sz val="9"/>
            <color indexed="81"/>
            <rFont val="Tahoma"/>
            <family val="2"/>
          </rPr>
          <t xml:space="preserve">
- Tuyển dụng từ T10/2022
- HS 2,67 từ 01/10/2022</t>
        </r>
      </text>
    </comment>
    <comment ref="F215" authorId="1" shapeId="0">
      <text>
        <r>
          <rPr>
            <b/>
            <sz val="9"/>
            <color indexed="81"/>
            <rFont val="Tahoma"/>
            <family val="2"/>
          </rPr>
          <t>Admin:</t>
        </r>
        <r>
          <rPr>
            <sz val="9"/>
            <color indexed="81"/>
            <rFont val="Tahoma"/>
            <family val="2"/>
          </rPr>
          <t xml:space="preserve">
- HS 4.65 từ 01/01/2016
- HS 4,98 từ 01/01/2019</t>
        </r>
      </text>
    </comment>
    <comment ref="G215" authorId="2" shapeId="0">
      <text>
        <r>
          <rPr>
            <b/>
            <sz val="9"/>
            <color indexed="81"/>
            <rFont val="Tahoma"/>
            <family val="2"/>
          </rPr>
          <t>user:</t>
        </r>
        <r>
          <rPr>
            <sz val="9"/>
            <color indexed="81"/>
            <rFont val="Tahoma"/>
            <family val="2"/>
          </rPr>
          <t xml:space="preserve">
- VK 5% từ 01/01/2022
- VK 6% từ 01/01/2023
- VK 7% từ 01/01/2023</t>
        </r>
      </text>
    </comment>
    <comment ref="I215" authorId="4" shapeId="0">
      <text>
        <r>
          <rPr>
            <b/>
            <sz val="9"/>
            <color indexed="81"/>
            <rFont val="Tahoma"/>
            <family val="2"/>
          </rPr>
          <t>Quynh:</t>
        </r>
        <r>
          <rPr>
            <sz val="9"/>
            <color indexed="81"/>
            <rFont val="Tahoma"/>
            <family val="2"/>
          </rPr>
          <t xml:space="preserve">
- BN Phó Trưởng phòng từ 01/01/2019</t>
        </r>
      </text>
    </comment>
    <comment ref="F216"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text>
        <r>
          <rPr>
            <b/>
            <sz val="8"/>
            <color indexed="81"/>
            <rFont val="Tahoma"/>
            <family val="2"/>
          </rPr>
          <t>HS 0,35 từ 05/7/2015</t>
        </r>
        <r>
          <rPr>
            <sz val="8"/>
            <color indexed="81"/>
            <rFont val="Tahoma"/>
            <family val="2"/>
          </rPr>
          <t xml:space="preserve">
</t>
        </r>
      </text>
    </comment>
    <comment ref="F218" authorId="1" shapeId="0">
      <text>
        <r>
          <rPr>
            <b/>
            <sz val="9"/>
            <color indexed="81"/>
            <rFont val="Tahoma"/>
            <family val="2"/>
          </rPr>
          <t>Admin:</t>
        </r>
        <r>
          <rPr>
            <sz val="9"/>
            <color indexed="81"/>
            <rFont val="Tahoma"/>
            <family val="2"/>
          </rPr>
          <t xml:space="preserve">
- 4,65 từ 01/9/2016
- 4,98 từ 01/9/2019</t>
        </r>
      </text>
    </comment>
    <comment ref="G218" authorId="7" shapeId="0">
      <text>
        <r>
          <rPr>
            <b/>
            <sz val="9"/>
            <color indexed="81"/>
            <rFont val="Tahoma"/>
            <family val="2"/>
          </rPr>
          <t>huynh-panda:</t>
        </r>
        <r>
          <rPr>
            <sz val="9"/>
            <color indexed="81"/>
            <rFont val="Tahoma"/>
            <family val="2"/>
          </rPr>
          <t xml:space="preserve">
- VK 5% từ 01/9/2022
- VK 6% từ 01/9/2023
- VK 7% từ 01/9/2024</t>
        </r>
      </text>
    </comment>
    <comment ref="F219" authorId="1" shapeId="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text>
        <r>
          <rPr>
            <b/>
            <sz val="9"/>
            <color indexed="81"/>
            <rFont val="Tahoma"/>
            <family val="2"/>
          </rPr>
          <t>Admin:</t>
        </r>
        <r>
          <rPr>
            <sz val="9"/>
            <color indexed="81"/>
            <rFont val="Tahoma"/>
            <family val="2"/>
          </rPr>
          <t xml:space="preserve">
- HS 3,66 từ 01/9/2016
- HS 3,99 từ 01/9/2019
- HS 4,32 từ 01/9/2022</t>
        </r>
      </text>
    </comment>
    <comment ref="F222"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text>
        <r>
          <rPr>
            <b/>
            <sz val="9"/>
            <color indexed="81"/>
            <rFont val="Tahoma"/>
            <family val="2"/>
          </rPr>
          <t>user:</t>
        </r>
        <r>
          <rPr>
            <sz val="9"/>
            <color indexed="81"/>
            <rFont val="Tahoma"/>
            <family val="2"/>
          </rPr>
          <t xml:space="preserve">
Trưởng BM Cơ điện tử và tự động hóa từ 01/01/2019</t>
        </r>
      </text>
    </comment>
    <comment ref="F224" authorId="1" shapeId="0">
      <text>
        <r>
          <rPr>
            <b/>
            <sz val="9"/>
            <color indexed="81"/>
            <rFont val="Tahoma"/>
            <family val="2"/>
          </rPr>
          <t>Admin:</t>
        </r>
        <r>
          <rPr>
            <sz val="9"/>
            <color indexed="81"/>
            <rFont val="Tahoma"/>
            <family val="2"/>
          </rPr>
          <t xml:space="preserve">
- HS 3,66 từ 01/9/2016
- HS 3,99 từ 01/9/2019
- HS 4,32 từ 01/9/2022</t>
        </r>
      </text>
    </comment>
    <comment ref="F225" authorId="1" shapeId="0">
      <text>
        <r>
          <rPr>
            <b/>
            <sz val="9"/>
            <color indexed="81"/>
            <rFont val="Tahoma"/>
            <family val="2"/>
          </rPr>
          <t>Admin:</t>
        </r>
        <r>
          <rPr>
            <sz val="9"/>
            <color indexed="81"/>
            <rFont val="Tahoma"/>
            <family val="2"/>
          </rPr>
          <t xml:space="preserve">
- HS 3,99 từ 01/9/2016
- HS 4,32 từ 01/9/2019
- HS 4,65 từ 01/9/2022</t>
        </r>
      </text>
    </comment>
    <comment ref="I225" authorId="0" shapeId="0">
      <text>
        <r>
          <rPr>
            <b/>
            <sz val="9"/>
            <color indexed="81"/>
            <rFont val="Tahoma"/>
            <family val="2"/>
          </rPr>
          <t>User:</t>
        </r>
        <r>
          <rPr>
            <sz val="9"/>
            <color indexed="81"/>
            <rFont val="Tahoma"/>
            <family val="2"/>
          </rPr>
          <t xml:space="preserve">
Miễn nhiệm Trưởng BM. Bảo lưu HS hết T02/2015</t>
        </r>
      </text>
    </comment>
    <comment ref="F226" authorId="1" shapeId="0">
      <text>
        <r>
          <rPr>
            <b/>
            <sz val="9"/>
            <color indexed="81"/>
            <rFont val="Tahoma"/>
            <family val="2"/>
          </rPr>
          <t>Admin:</t>
        </r>
        <r>
          <rPr>
            <sz val="9"/>
            <color indexed="81"/>
            <rFont val="Tahoma"/>
            <family val="2"/>
          </rPr>
          <t xml:space="preserve">
- HS 3,00 từ 01/9/2016
- HS 3,33 từ 01/9/2019
- HS 3,66 từ 01/9/2022</t>
        </r>
      </text>
    </comment>
    <comment ref="F22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text>
        <r>
          <rPr>
            <b/>
            <sz val="9"/>
            <color indexed="81"/>
            <rFont val="Tahoma"/>
            <family val="2"/>
          </rPr>
          <t>Admin:</t>
        </r>
        <r>
          <rPr>
            <sz val="9"/>
            <color indexed="81"/>
            <rFont val="Tahoma"/>
            <family val="2"/>
          </rPr>
          <t xml:space="preserve">
- HS 3,00 từ 01/9/2017
- HS 3,33 từ 01/9/2020
- HS 3,66 từ 01/9/2023</t>
        </r>
      </text>
    </comment>
    <comment ref="F229" authorId="1" shapeId="0">
      <text>
        <r>
          <rPr>
            <b/>
            <sz val="9"/>
            <color indexed="81"/>
            <rFont val="Tahoma"/>
            <family val="2"/>
          </rPr>
          <t>Admin:</t>
        </r>
        <r>
          <rPr>
            <sz val="9"/>
            <color indexed="81"/>
            <rFont val="Tahoma"/>
            <family val="2"/>
          </rPr>
          <t xml:space="preserve">
- HS 3,00 từ 01/9/2017
- HS 3,33 từ 01/9/2019
- HS 3,66 từ 01/9/2022</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text>
        <r>
          <rPr>
            <b/>
            <sz val="9"/>
            <color indexed="81"/>
            <rFont val="Tahoma"/>
            <family val="2"/>
          </rPr>
          <t>user:</t>
        </r>
        <r>
          <rPr>
            <sz val="9"/>
            <color indexed="81"/>
            <rFont val="Tahoma"/>
            <family val="2"/>
          </rPr>
          <t xml:space="preserve">
+ QĐ Bổ nhiệm Phó TK Điện - Điện tử từ 10/6/2019
</t>
        </r>
      </text>
    </comment>
    <comment ref="G231"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text>
        <r>
          <rPr>
            <b/>
            <sz val="9"/>
            <color indexed="81"/>
            <rFont val="Tahoma"/>
            <family val="2"/>
          </rPr>
          <t>User:</t>
        </r>
        <r>
          <rPr>
            <sz val="9"/>
            <color indexed="81"/>
            <rFont val="Tahoma"/>
            <family val="2"/>
          </rPr>
          <t xml:space="preserve">
- HS 4,65 từ 01/5/2014
- HS 4,98 từ 01/5/2017</t>
        </r>
      </text>
    </comment>
    <comment ref="G232"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text>
        <r>
          <rPr>
            <b/>
            <sz val="9"/>
            <color indexed="81"/>
            <rFont val="Tahoma"/>
            <family val="2"/>
          </rPr>
          <t>Admin:</t>
        </r>
        <r>
          <rPr>
            <sz val="9"/>
            <color indexed="81"/>
            <rFont val="Tahoma"/>
            <family val="2"/>
          </rPr>
          <t xml:space="preserve">
- HS 3,33 từ 01/12/2015
- HS 3,66 từ 01/12/2016
- HS 3,99 từ 01/12/2021</t>
        </r>
      </text>
    </comment>
    <comment ref="F240"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text>
        <r>
          <rPr>
            <b/>
            <sz val="9"/>
            <color indexed="81"/>
            <rFont val="Tahoma"/>
            <family val="2"/>
          </rPr>
          <t>user:</t>
        </r>
        <r>
          <rPr>
            <sz val="9"/>
            <color indexed="81"/>
            <rFont val="Tahoma"/>
            <family val="2"/>
          </rPr>
          <t xml:space="preserve">
- BN CDNN 2.34 từ 1/4/2019
- HS 2,67 từ 01/4/2022</t>
        </r>
      </text>
    </comment>
    <comment ref="I241" authorId="3" shapeId="0">
      <text>
        <r>
          <rPr>
            <b/>
            <sz val="9"/>
            <color indexed="81"/>
            <rFont val="Tahoma"/>
            <family val="2"/>
          </rPr>
          <t>Windows User:</t>
        </r>
        <r>
          <rPr>
            <sz val="9"/>
            <color indexed="81"/>
            <rFont val="Tahoma"/>
            <family val="2"/>
          </rPr>
          <t xml:space="preserve">
- Trưởng BM Điện Công nghiệp từ 01/10/2022</t>
        </r>
      </text>
    </comment>
    <comment ref="F242" authorId="2" shapeId="0">
      <text>
        <r>
          <rPr>
            <b/>
            <sz val="9"/>
            <color indexed="81"/>
            <rFont val="Tahoma"/>
            <family val="2"/>
          </rPr>
          <t>user:</t>
        </r>
        <r>
          <rPr>
            <sz val="9"/>
            <color indexed="81"/>
            <rFont val="Tahoma"/>
            <family val="2"/>
          </rPr>
          <t xml:space="preserve">
- HS 2,34 từ 01/01/2020
- HS 2,67 từ 01/01/2022 (NL trước hạn)</t>
        </r>
      </text>
    </comment>
    <comment ref="I24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text>
        <r>
          <rPr>
            <b/>
            <sz val="9"/>
            <color indexed="81"/>
            <rFont val="Tahoma"/>
            <family val="2"/>
          </rPr>
          <t>Windows User:</t>
        </r>
        <r>
          <rPr>
            <sz val="9"/>
            <color indexed="81"/>
            <rFont val="Tahoma"/>
            <family val="2"/>
          </rPr>
          <t xml:space="preserve">
- HS 2,67 từ 01/10/2023 (BN CDNN)</t>
        </r>
      </text>
    </comment>
    <comment ref="F245" authorId="3" shapeId="0">
      <text>
        <r>
          <rPr>
            <b/>
            <sz val="9"/>
            <color indexed="81"/>
            <rFont val="Tahoma"/>
            <family val="2"/>
          </rPr>
          <t>Windows User:</t>
        </r>
        <r>
          <rPr>
            <sz val="9"/>
            <color indexed="81"/>
            <rFont val="Tahoma"/>
            <family val="2"/>
          </rPr>
          <t xml:space="preserve">
- HS 2,34 từ 01/10/2023 (BN CDNN)</t>
        </r>
      </text>
    </comment>
    <comment ref="F246"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text>
        <r>
          <rPr>
            <b/>
            <sz val="9"/>
            <color indexed="81"/>
            <rFont val="Tahoma"/>
            <family val="2"/>
          </rPr>
          <t>User:</t>
        </r>
        <r>
          <rPr>
            <sz val="9"/>
            <color indexed="81"/>
            <rFont val="Tahoma"/>
            <family val="2"/>
          </rPr>
          <t xml:space="preserve">
- Trưởng khoa Động lực từ 01/8/2015</t>
        </r>
      </text>
    </comment>
    <comment ref="F247"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text>
        <r>
          <rPr>
            <b/>
            <sz val="9"/>
            <color indexed="81"/>
            <rFont val="Tahoma"/>
            <family val="2"/>
          </rPr>
          <t>Admin:</t>
        </r>
        <r>
          <rPr>
            <sz val="9"/>
            <color indexed="81"/>
            <rFont val="Tahoma"/>
            <family val="2"/>
          </rPr>
          <t xml:space="preserve">
- Bảo lưu đến hết T5/2018</t>
        </r>
      </text>
    </comment>
    <comment ref="F250"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text>
        <r>
          <rPr>
            <b/>
            <sz val="9"/>
            <color indexed="81"/>
            <rFont val="Tahoma"/>
            <family val="2"/>
          </rPr>
          <t>Admin:</t>
        </r>
        <r>
          <rPr>
            <sz val="9"/>
            <color indexed="81"/>
            <rFont val="Tahoma"/>
            <family val="2"/>
          </rPr>
          <t xml:space="preserve">
- HS 3,00 từ 01/9/2017
- HS 3,33 từ 01/9/2019
- HS 3,66 từ 01/9/2022
</t>
        </r>
      </text>
    </comment>
    <comment ref="F256" authorId="8" shapeId="0">
      <text>
        <r>
          <rPr>
            <sz val="9"/>
            <color indexed="81"/>
            <rFont val="Tahoma"/>
            <family val="2"/>
          </rPr>
          <t>- HS 3,00 từ 01/3/2018
- HS 3,33 từ 01/3/2020 (NL trước hạn)
- HS 3,66 từ 01/03/2023</t>
        </r>
      </text>
    </comment>
    <comment ref="F257"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text>
        <r>
          <rPr>
            <b/>
            <sz val="9"/>
            <color indexed="81"/>
            <rFont val="Tahoma"/>
            <family val="2"/>
          </rPr>
          <t>Quynh:</t>
        </r>
        <r>
          <rPr>
            <sz val="9"/>
            <color indexed="81"/>
            <rFont val="Tahoma"/>
            <family val="2"/>
          </rPr>
          <t xml:space="preserve">
- BN Trưởng BM Điện ô tô từ 01/01/2019 </t>
        </r>
      </text>
    </comment>
    <comment ref="F260"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text>
        <r>
          <rPr>
            <b/>
            <sz val="9"/>
            <color indexed="81"/>
            <rFont val="Tahoma"/>
            <family val="2"/>
          </rPr>
          <t>user:</t>
        </r>
        <r>
          <rPr>
            <sz val="9"/>
            <color indexed="81"/>
            <rFont val="Tahoma"/>
            <family val="2"/>
          </rPr>
          <t xml:space="preserve">
- HS 2,34 từ 01/10/2019
- HS 2,67 từ 01/10/2022</t>
        </r>
      </text>
    </comment>
    <comment ref="F263" authorId="2" shapeId="0">
      <text>
        <r>
          <rPr>
            <b/>
            <sz val="9"/>
            <color indexed="81"/>
            <rFont val="Tahoma"/>
            <family val="2"/>
          </rPr>
          <t>user:</t>
        </r>
        <r>
          <rPr>
            <sz val="9"/>
            <color indexed="81"/>
            <rFont val="Tahoma"/>
            <family val="2"/>
          </rPr>
          <t xml:space="preserve">
- HS 2,67 từ 01/01/2020
- HS 3,00 từ 01/01/2022 (NL trước hạn)</t>
        </r>
      </text>
    </comment>
    <comment ref="F264" authorId="2" shapeId="0">
      <text>
        <r>
          <rPr>
            <b/>
            <sz val="9"/>
            <color indexed="81"/>
            <rFont val="Tahoma"/>
            <family val="2"/>
          </rPr>
          <t>user:</t>
        </r>
        <r>
          <rPr>
            <sz val="9"/>
            <color indexed="81"/>
            <rFont val="Tahoma"/>
            <family val="2"/>
          </rPr>
          <t xml:space="preserve">
- HS 3,00 từ 01/11/2019
- HS 3,33 từ 01/12/2020
- HS 3,66 từ 01/12/2022</t>
        </r>
      </text>
    </comment>
    <comment ref="F265" authorId="2" shapeId="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text>
        <r>
          <rPr>
            <b/>
            <sz val="9"/>
            <color indexed="81"/>
            <rFont val="Tahoma"/>
            <family val="2"/>
          </rPr>
          <t>Windows User:</t>
        </r>
        <r>
          <rPr>
            <sz val="9"/>
            <color indexed="81"/>
            <rFont val="Tahoma"/>
            <family val="2"/>
          </rPr>
          <t xml:space="preserve">
- HS 3,00 từ 01/10/2022
- HS 3,33 từ 01/01/2023</t>
        </r>
      </text>
    </comment>
    <comment ref="F27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text>
        <r>
          <rPr>
            <b/>
            <sz val="9"/>
            <color indexed="81"/>
            <rFont val="Tahoma"/>
            <family val="2"/>
          </rPr>
          <t>Admin:</t>
        </r>
        <r>
          <rPr>
            <sz val="9"/>
            <color indexed="81"/>
            <rFont val="Tahoma"/>
            <family val="2"/>
          </rPr>
          <t xml:space="preserve">
- HS 3,99 từ 01/9/2017
- HS 4,32 từ 01/9/2020
- HS 4,65 từ 01/9/2022</t>
        </r>
      </text>
    </comment>
    <comment ref="F272" authorId="1" shapeId="0">
      <text>
        <r>
          <rPr>
            <b/>
            <sz val="9"/>
            <color indexed="81"/>
            <rFont val="Tahoma"/>
            <family val="2"/>
          </rPr>
          <t>Admin:</t>
        </r>
        <r>
          <rPr>
            <sz val="9"/>
            <color indexed="81"/>
            <rFont val="Tahoma"/>
            <family val="2"/>
          </rPr>
          <t xml:space="preserve">
- HS 3,99 từ 01/9/2017
- HS 4,32 từ 01/9/2020
- HS 4,65 từ 01/9/2023</t>
        </r>
      </text>
    </comment>
    <comment ref="F273" authorId="1" shapeId="0">
      <text>
        <r>
          <rPr>
            <b/>
            <sz val="9"/>
            <color indexed="81"/>
            <rFont val="Tahoma"/>
            <family val="2"/>
          </rPr>
          <t>Admin:</t>
        </r>
        <r>
          <rPr>
            <sz val="9"/>
            <color indexed="81"/>
            <rFont val="Tahoma"/>
            <family val="2"/>
          </rPr>
          <t xml:space="preserve">
- HS 3,00 từ 01/9/2016
- HS 3,33 từ 01/9/2019
- HS 3,66 từ 01/9/2022</t>
        </r>
      </text>
    </comment>
    <comment ref="F274" authorId="1" shapeId="0">
      <text>
        <r>
          <rPr>
            <b/>
            <sz val="9"/>
            <color indexed="81"/>
            <rFont val="Tahoma"/>
            <family val="2"/>
          </rPr>
          <t>Admin:</t>
        </r>
        <r>
          <rPr>
            <sz val="9"/>
            <color indexed="81"/>
            <rFont val="Tahoma"/>
            <family val="2"/>
          </rPr>
          <t xml:space="preserve">
- HS 3,00 từ 01/9/2017
- HS 3,33 từ 01/9/2020
- HS 3,66 từ 01/9/2023</t>
        </r>
      </text>
    </comment>
    <comment ref="F275" authorId="1" shapeId="0">
      <text>
        <r>
          <rPr>
            <b/>
            <sz val="9"/>
            <color indexed="81"/>
            <rFont val="Tahoma"/>
            <family val="2"/>
          </rPr>
          <t>Admin:</t>
        </r>
        <r>
          <rPr>
            <sz val="9"/>
            <color indexed="81"/>
            <rFont val="Tahoma"/>
            <family val="2"/>
          </rPr>
          <t xml:space="preserve">
- HS 3,66 từ 01/9/2016
- HS 3,99 từ 01/9/2019
- HS 4,32 từ 01/9/2022</t>
        </r>
      </text>
    </comment>
    <comment ref="F27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text>
        <r>
          <rPr>
            <b/>
            <sz val="9"/>
            <color indexed="81"/>
            <rFont val="Tahoma"/>
            <family val="2"/>
          </rPr>
          <t>User:</t>
        </r>
        <r>
          <rPr>
            <sz val="9"/>
            <color indexed="81"/>
            <rFont val="Tahoma"/>
            <family val="2"/>
          </rPr>
          <t xml:space="preserve">
- HS 4,32 từ 01/10/2015
- HS 4,65 từ 01/10/2018
- HS 4,98 từ 01/10/2021</t>
        </r>
      </text>
    </comment>
    <comment ref="G277" authorId="3" shapeId="0">
      <text>
        <r>
          <rPr>
            <b/>
            <sz val="9"/>
            <color indexed="81"/>
            <rFont val="Tahoma"/>
            <family val="2"/>
          </rPr>
          <t>Windows User:</t>
        </r>
        <r>
          <rPr>
            <sz val="9"/>
            <color indexed="81"/>
            <rFont val="Tahoma"/>
            <family val="2"/>
          </rPr>
          <t xml:space="preserve">
- VK 5% từ 01/10/2024</t>
        </r>
      </text>
    </comment>
    <comment ref="F278" authorId="8" shapeId="0">
      <text>
        <r>
          <rPr>
            <sz val="9"/>
            <color indexed="81"/>
            <rFont val="Tahoma"/>
            <family val="2"/>
          </rPr>
          <t>- HS 2,67 hưởng từ 01/9 làm bảng truy lãnh từ tháng 9-11/2017
- HS 3,00 từ 01/9/2019
- HS 3,33 từ 01/9/2022</t>
        </r>
      </text>
    </comment>
    <comment ref="I278" authorId="1" shapeId="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text>
        <r>
          <rPr>
            <b/>
            <sz val="9"/>
            <color indexed="81"/>
            <rFont val="Tahoma"/>
            <family val="2"/>
          </rPr>
          <t>Admin:</t>
        </r>
        <r>
          <rPr>
            <sz val="9"/>
            <color indexed="81"/>
            <rFont val="Tahoma"/>
            <family val="2"/>
          </rPr>
          <t xml:space="preserve">
- HS 4,65 từ 01/12/2015
- HS 4,98 từ 01/12/2018</t>
        </r>
      </text>
    </comment>
    <comment ref="G19" authorId="2" shapeId="0">
      <text>
        <r>
          <rPr>
            <b/>
            <sz val="9"/>
            <color indexed="81"/>
            <rFont val="Tahoma"/>
            <family val="2"/>
          </rPr>
          <t>user:</t>
        </r>
        <r>
          <rPr>
            <sz val="9"/>
            <color indexed="81"/>
            <rFont val="Tahoma"/>
            <family val="2"/>
          </rPr>
          <t xml:space="preserve">
- VK 5% từ 01/12/2021
- VK 6% từ 01/12/2022
- VK 7% từ 01/12/2023</t>
        </r>
      </text>
    </comment>
    <comment ref="J19" authorId="1" shapeId="0">
      <text>
        <r>
          <rPr>
            <b/>
            <sz val="9"/>
            <color indexed="81"/>
            <rFont val="Tahoma"/>
            <family val="2"/>
          </rPr>
          <t>Admin:</t>
        </r>
        <r>
          <rPr>
            <sz val="9"/>
            <color indexed="81"/>
            <rFont val="Tahoma"/>
            <family val="2"/>
          </rPr>
          <t xml:space="preserve">
- HS 4,65 từ 01/12/2015
- HS 4,98 từ 01/12/2018</t>
        </r>
      </text>
    </comment>
    <comment ref="K19" authorId="2" shapeId="0">
      <text>
        <r>
          <rPr>
            <b/>
            <sz val="9"/>
            <color indexed="81"/>
            <rFont val="Tahoma"/>
            <family val="2"/>
          </rPr>
          <t>user:</t>
        </r>
        <r>
          <rPr>
            <sz val="9"/>
            <color indexed="81"/>
            <rFont val="Tahoma"/>
            <family val="2"/>
          </rPr>
          <t xml:space="preserve">
- VK 5% từ 01/12/2021
- VK 6% từ 01/12/2022
- VK 7% từ 01/12/2023</t>
        </r>
      </text>
    </comment>
    <comment ref="N19" authorId="1" shapeId="0">
      <text>
        <r>
          <rPr>
            <b/>
            <sz val="9"/>
            <color indexed="81"/>
            <rFont val="Tahoma"/>
            <family val="2"/>
          </rPr>
          <t>Admin:</t>
        </r>
        <r>
          <rPr>
            <sz val="9"/>
            <color indexed="81"/>
            <rFont val="Tahoma"/>
            <family val="2"/>
          </rPr>
          <t xml:space="preserve">
- HS 4,65 từ 01/12/2015
- HS 4,98 từ 01/12/2018</t>
        </r>
      </text>
    </comment>
    <comment ref="O19" authorId="2" shapeId="0">
      <text>
        <r>
          <rPr>
            <b/>
            <sz val="9"/>
            <color indexed="81"/>
            <rFont val="Tahoma"/>
            <family val="2"/>
          </rPr>
          <t>user:</t>
        </r>
        <r>
          <rPr>
            <sz val="9"/>
            <color indexed="81"/>
            <rFont val="Tahoma"/>
            <family val="2"/>
          </rPr>
          <t xml:space="preserve">
- VK 5% từ 01/12/2021
- VK 6% từ 01/12/2022
- VK 7% từ 01/12/2023</t>
        </r>
      </text>
    </comment>
    <comment ref="F20" authorId="0" shapeId="0">
      <text>
        <r>
          <rPr>
            <b/>
            <sz val="9"/>
            <color indexed="81"/>
            <rFont val="Tahoma"/>
            <family val="2"/>
          </rPr>
          <t>User:</t>
        </r>
        <r>
          <rPr>
            <sz val="9"/>
            <color indexed="81"/>
            <rFont val="Tahoma"/>
            <family val="2"/>
          </rPr>
          <t xml:space="preserve">
- 4,65 từ 01/10/2015
- HS 4,98 từ 01/10/17 (NL trước hạn)</t>
        </r>
      </text>
    </comment>
    <comment ref="G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text>
        <r>
          <rPr>
            <b/>
            <sz val="9"/>
            <color indexed="81"/>
            <rFont val="Tahoma"/>
            <family val="2"/>
          </rPr>
          <t>Admin:</t>
        </r>
        <r>
          <rPr>
            <sz val="9"/>
            <color indexed="81"/>
            <rFont val="Tahoma"/>
            <family val="2"/>
          </rPr>
          <t xml:space="preserve">
- HS 0,7 từ 01/11/2016</t>
        </r>
      </text>
    </comment>
    <comment ref="J20" authorId="0" shapeId="0">
      <text>
        <r>
          <rPr>
            <b/>
            <sz val="9"/>
            <color indexed="81"/>
            <rFont val="Tahoma"/>
            <family val="2"/>
          </rPr>
          <t>User:</t>
        </r>
        <r>
          <rPr>
            <sz val="9"/>
            <color indexed="81"/>
            <rFont val="Tahoma"/>
            <family val="2"/>
          </rPr>
          <t xml:space="preserve">
- 4,65 từ 01/10/2015
- HS 4,98 từ 01/10/17 (NL trước hạn)</t>
        </r>
      </text>
    </comment>
    <comment ref="K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text>
        <r>
          <rPr>
            <b/>
            <sz val="9"/>
            <color indexed="81"/>
            <rFont val="Tahoma"/>
            <family val="2"/>
          </rPr>
          <t>Admin:</t>
        </r>
        <r>
          <rPr>
            <sz val="9"/>
            <color indexed="81"/>
            <rFont val="Tahoma"/>
            <family val="2"/>
          </rPr>
          <t xml:space="preserve">
- HS 0,7 từ 01/11/2016</t>
        </r>
      </text>
    </comment>
    <comment ref="N20" authorId="0" shapeId="0">
      <text>
        <r>
          <rPr>
            <b/>
            <sz val="9"/>
            <color indexed="81"/>
            <rFont val="Tahoma"/>
            <family val="2"/>
          </rPr>
          <t>User:</t>
        </r>
        <r>
          <rPr>
            <sz val="9"/>
            <color indexed="81"/>
            <rFont val="Tahoma"/>
            <family val="2"/>
          </rPr>
          <t xml:space="preserve">
- 4,65 từ 01/10/2015
- HS 4,98 từ 01/10/17 (NL trước hạn)</t>
        </r>
      </text>
    </comment>
    <comment ref="O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text>
        <r>
          <rPr>
            <b/>
            <sz val="9"/>
            <color indexed="81"/>
            <rFont val="Tahoma"/>
            <family val="2"/>
          </rPr>
          <t>Admin:</t>
        </r>
        <r>
          <rPr>
            <sz val="9"/>
            <color indexed="81"/>
            <rFont val="Tahoma"/>
            <family val="2"/>
          </rPr>
          <t xml:space="preserve">
- HS 0,7 từ 01/11/2016</t>
        </r>
      </text>
    </comment>
    <comment ref="F21" authorId="2" shapeId="0">
      <text>
        <r>
          <rPr>
            <b/>
            <sz val="9"/>
            <color indexed="81"/>
            <rFont val="Tahoma"/>
            <family val="2"/>
          </rPr>
          <t>user:</t>
        </r>
        <r>
          <rPr>
            <sz val="9"/>
            <color indexed="81"/>
            <rFont val="Tahoma"/>
            <family val="2"/>
          </rPr>
          <t xml:space="preserve">
- HS 4.32 từ 01/4/2019
- HS 4,65 từ 01/4/2021 (NL trước hạn)
</t>
        </r>
      </text>
    </comment>
    <comment ref="I21" authorId="2" shapeId="0">
      <text>
        <r>
          <rPr>
            <b/>
            <sz val="9"/>
            <color indexed="81"/>
            <rFont val="Tahoma"/>
            <family val="2"/>
          </rPr>
          <t>user:</t>
        </r>
        <r>
          <rPr>
            <sz val="9"/>
            <color indexed="81"/>
            <rFont val="Tahoma"/>
            <family val="2"/>
          </rPr>
          <t xml:space="preserve">
- HS 0.7 từ 15/4/2019</t>
        </r>
      </text>
    </comment>
    <comment ref="J21" authorId="2" shapeId="0">
      <text>
        <r>
          <rPr>
            <b/>
            <sz val="9"/>
            <color indexed="81"/>
            <rFont val="Tahoma"/>
            <family val="2"/>
          </rPr>
          <t>user:</t>
        </r>
        <r>
          <rPr>
            <sz val="9"/>
            <color indexed="81"/>
            <rFont val="Tahoma"/>
            <family val="2"/>
          </rPr>
          <t xml:space="preserve">
- HS 4.32 từ 01/4/2019
- HS 4,65 từ 01/4/2021 (NL trước hạn)
</t>
        </r>
      </text>
    </comment>
    <comment ref="M21" authorId="2" shapeId="0">
      <text>
        <r>
          <rPr>
            <b/>
            <sz val="9"/>
            <color indexed="81"/>
            <rFont val="Tahoma"/>
            <family val="2"/>
          </rPr>
          <t>user:</t>
        </r>
        <r>
          <rPr>
            <sz val="9"/>
            <color indexed="81"/>
            <rFont val="Tahoma"/>
            <family val="2"/>
          </rPr>
          <t xml:space="preserve">
- HS 0.7 từ 15/4/2019</t>
        </r>
      </text>
    </comment>
    <comment ref="N21"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text>
        <r>
          <rPr>
            <b/>
            <sz val="9"/>
            <color indexed="81"/>
            <rFont val="Tahoma"/>
            <family val="2"/>
          </rPr>
          <t>user:</t>
        </r>
        <r>
          <rPr>
            <sz val="9"/>
            <color indexed="81"/>
            <rFont val="Tahoma"/>
            <family val="2"/>
          </rPr>
          <t xml:space="preserve">
- HS 0.7 từ 15/4/2019</t>
        </r>
      </text>
    </comment>
    <comment ref="F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text>
        <r>
          <rPr>
            <b/>
            <sz val="9"/>
            <color indexed="81"/>
            <rFont val="Tahoma"/>
            <family val="2"/>
          </rPr>
          <t>Windows User:</t>
        </r>
        <r>
          <rPr>
            <sz val="9"/>
            <color indexed="81"/>
            <rFont val="Tahoma"/>
            <family val="2"/>
          </rPr>
          <t xml:space="preserve">
- VK 5% từ 01/9/2023</t>
        </r>
      </text>
    </comment>
    <comment ref="J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text>
        <r>
          <rPr>
            <b/>
            <sz val="9"/>
            <color indexed="81"/>
            <rFont val="Tahoma"/>
            <family val="2"/>
          </rPr>
          <t>Windows User:</t>
        </r>
        <r>
          <rPr>
            <sz val="9"/>
            <color indexed="81"/>
            <rFont val="Tahoma"/>
            <family val="2"/>
          </rPr>
          <t xml:space="preserve">
- VK 5% từ 01/9/2023</t>
        </r>
      </text>
    </comment>
    <comment ref="N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text>
        <r>
          <rPr>
            <b/>
            <sz val="9"/>
            <color indexed="81"/>
            <rFont val="Tahoma"/>
            <family val="2"/>
          </rPr>
          <t>Windows User:</t>
        </r>
        <r>
          <rPr>
            <sz val="9"/>
            <color indexed="81"/>
            <rFont val="Tahoma"/>
            <family val="2"/>
          </rPr>
          <t xml:space="preserve">
- VK 5% từ 01/9/2023
- VK 6% từ 01/9/2024</t>
        </r>
      </text>
    </comment>
    <comment ref="F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text>
        <r>
          <rPr>
            <b/>
            <sz val="9"/>
            <color indexed="81"/>
            <rFont val="Tahoma"/>
            <family val="2"/>
          </rPr>
          <t>user:</t>
        </r>
        <r>
          <rPr>
            <sz val="9"/>
            <color indexed="81"/>
            <rFont val="Tahoma"/>
            <family val="2"/>
          </rPr>
          <t xml:space="preserve">
- PP TC-HC-TH từ 01/9/2020</t>
        </r>
      </text>
    </comment>
    <comment ref="J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text>
        <r>
          <rPr>
            <b/>
            <sz val="9"/>
            <color indexed="81"/>
            <rFont val="Tahoma"/>
            <family val="2"/>
          </rPr>
          <t>user:</t>
        </r>
        <r>
          <rPr>
            <sz val="9"/>
            <color indexed="81"/>
            <rFont val="Tahoma"/>
            <family val="2"/>
          </rPr>
          <t xml:space="preserve">
- PP TC-HC-TH từ 01/9/2020</t>
        </r>
      </text>
    </comment>
    <comment ref="N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text>
        <r>
          <rPr>
            <b/>
            <sz val="9"/>
            <color indexed="81"/>
            <rFont val="Tahoma"/>
            <family val="2"/>
          </rPr>
          <t>user:</t>
        </r>
        <r>
          <rPr>
            <sz val="9"/>
            <color indexed="81"/>
            <rFont val="Tahoma"/>
            <family val="2"/>
          </rPr>
          <t xml:space="preserve">
- PP TC-HC-TH từ 01/9/2020</t>
        </r>
      </text>
    </comment>
    <comment ref="F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text>
        <r>
          <rPr>
            <b/>
            <sz val="9"/>
            <color indexed="81"/>
            <rFont val="Tahoma"/>
            <family val="2"/>
          </rPr>
          <t>user:</t>
        </r>
        <r>
          <rPr>
            <sz val="9"/>
            <color indexed="81"/>
            <rFont val="Tahoma"/>
            <family val="2"/>
          </rPr>
          <t xml:space="preserve">
BN Phó TP từ 01/03/2021</t>
        </r>
      </text>
    </comment>
    <comment ref="J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text>
        <r>
          <rPr>
            <b/>
            <sz val="9"/>
            <color indexed="81"/>
            <rFont val="Tahoma"/>
            <family val="2"/>
          </rPr>
          <t>user:</t>
        </r>
        <r>
          <rPr>
            <sz val="9"/>
            <color indexed="81"/>
            <rFont val="Tahoma"/>
            <family val="2"/>
          </rPr>
          <t xml:space="preserve">
BN Phó TP từ 01/03/2021</t>
        </r>
      </text>
    </comment>
    <comment ref="N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text>
        <r>
          <rPr>
            <b/>
            <sz val="9"/>
            <color indexed="81"/>
            <rFont val="Tahoma"/>
            <family val="2"/>
          </rPr>
          <t>user:</t>
        </r>
        <r>
          <rPr>
            <sz val="9"/>
            <color indexed="81"/>
            <rFont val="Tahoma"/>
            <family val="2"/>
          </rPr>
          <t xml:space="preserve">
BN Phó TP từ 01/03/2021</t>
        </r>
      </text>
    </comment>
    <comment ref="F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text>
        <r>
          <rPr>
            <b/>
            <sz val="9"/>
            <color indexed="81"/>
            <rFont val="Tahoma"/>
            <family val="2"/>
          </rPr>
          <t>Windows User:</t>
        </r>
        <r>
          <rPr>
            <sz val="9"/>
            <color indexed="81"/>
            <rFont val="Tahoma"/>
            <family val="2"/>
          </rPr>
          <t xml:space="preserve">
- VK 5% từ 01/9/2023</t>
        </r>
      </text>
    </comment>
    <comment ref="J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text>
        <r>
          <rPr>
            <b/>
            <sz val="9"/>
            <color indexed="81"/>
            <rFont val="Tahoma"/>
            <family val="2"/>
          </rPr>
          <t>Windows User:</t>
        </r>
        <r>
          <rPr>
            <sz val="9"/>
            <color indexed="81"/>
            <rFont val="Tahoma"/>
            <family val="2"/>
          </rPr>
          <t xml:space="preserve">
- VK 5% từ 01/9/2023</t>
        </r>
      </text>
    </comment>
    <comment ref="N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text>
        <r>
          <rPr>
            <b/>
            <sz val="9"/>
            <color indexed="81"/>
            <rFont val="Tahoma"/>
            <family val="2"/>
          </rPr>
          <t>Windows User:</t>
        </r>
        <r>
          <rPr>
            <sz val="9"/>
            <color indexed="81"/>
            <rFont val="Tahoma"/>
            <family val="2"/>
          </rPr>
          <t xml:space="preserve">
- VK 5% từ 01/9/2023
- VK 6% từ 01/9/2024</t>
        </r>
      </text>
    </comment>
    <comment ref="F34" authorId="1" shapeId="0">
      <text>
        <r>
          <rPr>
            <b/>
            <sz val="9"/>
            <color indexed="81"/>
            <rFont val="Tahoma"/>
            <family val="2"/>
          </rPr>
          <t>Admin:</t>
        </r>
        <r>
          <rPr>
            <sz val="9"/>
            <color indexed="81"/>
            <rFont val="Tahoma"/>
            <family val="2"/>
          </rPr>
          <t xml:space="preserve">
- HS 4,65 từ 01/12/2015
- HS 4,98 từ 01/12/2018</t>
        </r>
      </text>
    </comment>
    <comment ref="G34" authorId="2" shapeId="0">
      <text>
        <r>
          <rPr>
            <b/>
            <sz val="9"/>
            <color indexed="81"/>
            <rFont val="Tahoma"/>
            <family val="2"/>
          </rPr>
          <t>user:</t>
        </r>
        <r>
          <rPr>
            <sz val="9"/>
            <color indexed="81"/>
            <rFont val="Tahoma"/>
            <family val="2"/>
          </rPr>
          <t xml:space="preserve">
- VK 5% từ 01/12/2021
- VK 6% từ 01/12/2022
- VK 7% từ 01/12/2023</t>
        </r>
      </text>
    </comment>
    <comment ref="I34" authorId="6" shapeId="0">
      <text>
        <r>
          <rPr>
            <b/>
            <sz val="8"/>
            <color indexed="81"/>
            <rFont val="Tahoma"/>
            <family val="2"/>
          </rPr>
          <t>admin:</t>
        </r>
        <r>
          <rPr>
            <sz val="8"/>
            <color indexed="81"/>
            <rFont val="Tahoma"/>
            <family val="2"/>
          </rPr>
          <t xml:space="preserve">
+ QĐ Bổ nhiệm Phó Trưởng phòng QT CSVC từ 01/06/2014</t>
        </r>
      </text>
    </comment>
    <comment ref="J34" authorId="1" shapeId="0">
      <text>
        <r>
          <rPr>
            <b/>
            <sz val="9"/>
            <color indexed="81"/>
            <rFont val="Tahoma"/>
            <family val="2"/>
          </rPr>
          <t>Admin:</t>
        </r>
        <r>
          <rPr>
            <sz val="9"/>
            <color indexed="81"/>
            <rFont val="Tahoma"/>
            <family val="2"/>
          </rPr>
          <t xml:space="preserve">
- HS 4,65 từ 01/12/2015
- HS 4,98 từ 01/12/2018</t>
        </r>
      </text>
    </comment>
    <comment ref="K34" authorId="2" shapeId="0">
      <text>
        <r>
          <rPr>
            <b/>
            <sz val="9"/>
            <color indexed="81"/>
            <rFont val="Tahoma"/>
            <family val="2"/>
          </rPr>
          <t>user:</t>
        </r>
        <r>
          <rPr>
            <sz val="9"/>
            <color indexed="81"/>
            <rFont val="Tahoma"/>
            <family val="2"/>
          </rPr>
          <t xml:space="preserve">
- VK 5% từ 01/12/2021
- VK 6% từ 01/12/2022
- VK 7% từ 01/12/2023</t>
        </r>
      </text>
    </comment>
    <comment ref="M34" authorId="6" shapeId="0">
      <text>
        <r>
          <rPr>
            <b/>
            <sz val="8"/>
            <color indexed="81"/>
            <rFont val="Tahoma"/>
            <family val="2"/>
          </rPr>
          <t>admin:</t>
        </r>
        <r>
          <rPr>
            <sz val="8"/>
            <color indexed="81"/>
            <rFont val="Tahoma"/>
            <family val="2"/>
          </rPr>
          <t xml:space="preserve">
+ QĐ Bổ nhiệm Phó Trưởng phòng QT CSVC từ 01/06/2014</t>
        </r>
      </text>
    </comment>
    <comment ref="N34" authorId="1" shapeId="0">
      <text>
        <r>
          <rPr>
            <b/>
            <sz val="9"/>
            <color indexed="81"/>
            <rFont val="Tahoma"/>
            <family val="2"/>
          </rPr>
          <t>Admin:</t>
        </r>
        <r>
          <rPr>
            <sz val="9"/>
            <color indexed="81"/>
            <rFont val="Tahoma"/>
            <family val="2"/>
          </rPr>
          <t xml:space="preserve">
- HS 4,65 từ 01/12/2015
- HS 4,98 từ 01/12/2018</t>
        </r>
      </text>
    </comment>
    <comment ref="O34" authorId="2" shapeId="0">
      <text>
        <r>
          <rPr>
            <b/>
            <sz val="9"/>
            <color indexed="81"/>
            <rFont val="Tahoma"/>
            <family val="2"/>
          </rPr>
          <t>user:</t>
        </r>
        <r>
          <rPr>
            <sz val="9"/>
            <color indexed="81"/>
            <rFont val="Tahoma"/>
            <family val="2"/>
          </rPr>
          <t xml:space="preserve">
- VK 5% từ 01/12/2021
- VK 6% từ 01/12/2022
- VK 7% từ 01/12/2023</t>
        </r>
      </text>
    </comment>
    <comment ref="Q34" authorId="6" shapeId="0">
      <text>
        <r>
          <rPr>
            <b/>
            <sz val="8"/>
            <color indexed="81"/>
            <rFont val="Tahoma"/>
            <family val="2"/>
          </rPr>
          <t>admin:</t>
        </r>
        <r>
          <rPr>
            <sz val="8"/>
            <color indexed="81"/>
            <rFont val="Tahoma"/>
            <family val="2"/>
          </rPr>
          <t xml:space="preserve">
+ QĐ Bổ nhiệm Phó Trưởng phòng QT CSVC từ 01/06/2014</t>
        </r>
      </text>
    </comment>
    <comment ref="F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text>
        <r>
          <rPr>
            <b/>
            <sz val="9"/>
            <color indexed="81"/>
            <rFont val="Tahoma"/>
            <family val="2"/>
          </rPr>
          <t>Admin:</t>
        </r>
        <r>
          <rPr>
            <sz val="9"/>
            <color indexed="81"/>
            <rFont val="Tahoma"/>
            <family val="2"/>
          </rPr>
          <t xml:space="preserve">
- HS 2,41 từ 01/11/2015
- HS 2,72 từ 01/11/2018
- HS 3,03 từ 01/11/2021</t>
        </r>
      </text>
    </comment>
    <comment ref="J40" authorId="1" shapeId="0">
      <text>
        <r>
          <rPr>
            <b/>
            <sz val="9"/>
            <color indexed="81"/>
            <rFont val="Tahoma"/>
            <family val="2"/>
          </rPr>
          <t>Admin:</t>
        </r>
        <r>
          <rPr>
            <sz val="9"/>
            <color indexed="81"/>
            <rFont val="Tahoma"/>
            <family val="2"/>
          </rPr>
          <t xml:space="preserve">
- HS 2,41 từ 01/11/2015
- HS 2,72 từ 01/11/2018
- HS 3,03 từ 01/11/2021</t>
        </r>
      </text>
    </comment>
    <comment ref="N40" authorId="1" shapeId="0">
      <text>
        <r>
          <rPr>
            <b/>
            <sz val="9"/>
            <color indexed="81"/>
            <rFont val="Tahoma"/>
            <family val="2"/>
          </rPr>
          <t>Admin:</t>
        </r>
        <r>
          <rPr>
            <sz val="9"/>
            <color indexed="81"/>
            <rFont val="Tahoma"/>
            <family val="2"/>
          </rPr>
          <t xml:space="preserve">
- HS 2,41 từ 01/11/2015
- HS 2,72 từ 01/11/2018
- HS 3,03 từ 01/11/2021</t>
        </r>
      </text>
    </comment>
    <comment ref="F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text>
        <r>
          <rPr>
            <b/>
            <sz val="9"/>
            <color indexed="81"/>
            <rFont val="Tahoma"/>
            <family val="2"/>
          </rPr>
          <t>Windows User:</t>
        </r>
        <r>
          <rPr>
            <sz val="9"/>
            <color indexed="81"/>
            <rFont val="Tahoma"/>
            <family val="2"/>
          </rPr>
          <t xml:space="preserve">
- VK 5% từ 01/9/2023</t>
        </r>
      </text>
    </comment>
    <comment ref="I44" authorId="0" shapeId="0">
      <text>
        <r>
          <rPr>
            <b/>
            <sz val="9"/>
            <color indexed="81"/>
            <rFont val="Tahoma"/>
            <family val="2"/>
          </rPr>
          <t>User:</t>
        </r>
        <r>
          <rPr>
            <sz val="9"/>
            <color indexed="81"/>
            <rFont val="Tahoma"/>
            <family val="2"/>
          </rPr>
          <t xml:space="preserve">
- QĐ Bổ nhiệm Tổ trưởng tổ Ký túc xá SV từ 15/9/2015</t>
        </r>
      </text>
    </comment>
    <comment ref="J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text>
        <r>
          <rPr>
            <b/>
            <sz val="9"/>
            <color indexed="81"/>
            <rFont val="Tahoma"/>
            <family val="2"/>
          </rPr>
          <t>Windows User:</t>
        </r>
        <r>
          <rPr>
            <sz val="9"/>
            <color indexed="81"/>
            <rFont val="Tahoma"/>
            <family val="2"/>
          </rPr>
          <t xml:space="preserve">
- VK 5% từ 01/9/2023</t>
        </r>
      </text>
    </comment>
    <comment ref="M44" authorId="0" shapeId="0">
      <text>
        <r>
          <rPr>
            <b/>
            <sz val="9"/>
            <color indexed="81"/>
            <rFont val="Tahoma"/>
            <family val="2"/>
          </rPr>
          <t>User:</t>
        </r>
        <r>
          <rPr>
            <sz val="9"/>
            <color indexed="81"/>
            <rFont val="Tahoma"/>
            <family val="2"/>
          </rPr>
          <t xml:space="preserve">
- QĐ Bổ nhiệm Tổ trưởng tổ Ký túc xá SV từ 15/9/2015</t>
        </r>
      </text>
    </comment>
    <comment ref="N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text>
        <r>
          <rPr>
            <b/>
            <sz val="9"/>
            <color indexed="81"/>
            <rFont val="Tahoma"/>
            <family val="2"/>
          </rPr>
          <t>Windows User:</t>
        </r>
        <r>
          <rPr>
            <sz val="9"/>
            <color indexed="81"/>
            <rFont val="Tahoma"/>
            <family val="2"/>
          </rPr>
          <t xml:space="preserve">
- VK 5% từ 01/9/2023
- VK 6% từ 01/9/2024</t>
        </r>
      </text>
    </comment>
    <comment ref="Q44" authorId="0" shapeId="0">
      <text>
        <r>
          <rPr>
            <b/>
            <sz val="9"/>
            <color indexed="81"/>
            <rFont val="Tahoma"/>
            <family val="2"/>
          </rPr>
          <t>User:</t>
        </r>
        <r>
          <rPr>
            <sz val="9"/>
            <color indexed="81"/>
            <rFont val="Tahoma"/>
            <family val="2"/>
          </rPr>
          <t xml:space="preserve">
- QĐ Bổ nhiệm Tổ trưởng tổ Ký túc xá SV từ 15/9/2015</t>
        </r>
      </text>
    </comment>
    <comment ref="F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text>
        <r>
          <rPr>
            <b/>
            <sz val="9"/>
            <color indexed="81"/>
            <rFont val="Tahoma"/>
            <family val="2"/>
          </rPr>
          <t>Windows User:</t>
        </r>
        <r>
          <rPr>
            <sz val="9"/>
            <color indexed="81"/>
            <rFont val="Tahoma"/>
            <family val="2"/>
          </rPr>
          <t xml:space="preserve">
- VK 10% từ 01/9/2023</t>
        </r>
      </text>
    </comment>
    <comment ref="I46" authorId="3" shapeId="0">
      <text>
        <r>
          <rPr>
            <b/>
            <sz val="9"/>
            <color indexed="81"/>
            <rFont val="Tahoma"/>
            <family val="2"/>
          </rPr>
          <t>Windows User:</t>
        </r>
        <r>
          <rPr>
            <sz val="9"/>
            <color indexed="81"/>
            <rFont val="Tahoma"/>
            <family val="2"/>
          </rPr>
          <t xml:space="preserve">
- Phó TP QT-DV từ T10/23</t>
        </r>
      </text>
    </comment>
    <comment ref="K46" authorId="3" shapeId="0">
      <text>
        <r>
          <rPr>
            <b/>
            <sz val="9"/>
            <color indexed="81"/>
            <rFont val="Tahoma"/>
            <family val="2"/>
          </rPr>
          <t>Windows User:</t>
        </r>
        <r>
          <rPr>
            <sz val="9"/>
            <color indexed="81"/>
            <rFont val="Tahoma"/>
            <family val="2"/>
          </rPr>
          <t xml:space="preserve">
- VK 10% từ 01/9/2023</t>
        </r>
      </text>
    </comment>
    <comment ref="M46" authorId="3" shapeId="0">
      <text>
        <r>
          <rPr>
            <b/>
            <sz val="9"/>
            <color indexed="81"/>
            <rFont val="Tahoma"/>
            <family val="2"/>
          </rPr>
          <t>Windows User:</t>
        </r>
        <r>
          <rPr>
            <sz val="9"/>
            <color indexed="81"/>
            <rFont val="Tahoma"/>
            <family val="2"/>
          </rPr>
          <t xml:space="preserve">
- Phó TP QT-DV từ T10/23</t>
        </r>
      </text>
    </comment>
    <comment ref="O46" authorId="3" shapeId="0">
      <text>
        <r>
          <rPr>
            <b/>
            <sz val="9"/>
            <color indexed="81"/>
            <rFont val="Tahoma"/>
            <family val="2"/>
          </rPr>
          <t>Windows User:</t>
        </r>
        <r>
          <rPr>
            <sz val="9"/>
            <color indexed="81"/>
            <rFont val="Tahoma"/>
            <family val="2"/>
          </rPr>
          <t xml:space="preserve">
- VK 10% từ 01/9/2023
- VK 11% từ 01/9/2024</t>
        </r>
      </text>
    </comment>
    <comment ref="Q46" authorId="3" shapeId="0">
      <text>
        <r>
          <rPr>
            <b/>
            <sz val="9"/>
            <color indexed="81"/>
            <rFont val="Tahoma"/>
            <family val="2"/>
          </rPr>
          <t>Windows User:</t>
        </r>
        <r>
          <rPr>
            <sz val="9"/>
            <color indexed="81"/>
            <rFont val="Tahoma"/>
            <family val="2"/>
          </rPr>
          <t xml:space="preserve">
- Phó TP QT-DV từ T10/23</t>
        </r>
      </text>
    </comment>
    <comment ref="F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text>
        <r>
          <rPr>
            <sz val="9"/>
            <color indexed="81"/>
            <rFont val="Tahoma"/>
            <family val="2"/>
          </rPr>
          <t>- 31% từ 01/10/2017
- 32% từ 01/10/2018
- 33% từ 01/10/2019
- 34% từ 01/10/2020
- 35% từ 01/10/2021
- 36% từ 01/10/2022</t>
        </r>
      </text>
    </comment>
    <comment ref="I49" authorId="0" shapeId="0">
      <text>
        <r>
          <rPr>
            <b/>
            <sz val="9"/>
            <color indexed="81"/>
            <rFont val="Tahoma"/>
            <family val="2"/>
          </rPr>
          <t>User:</t>
        </r>
        <r>
          <rPr>
            <sz val="9"/>
            <color indexed="81"/>
            <rFont val="Tahoma"/>
            <family val="2"/>
          </rPr>
          <t xml:space="preserve">
Trưởng phòng Kế toán từ 19/8/2015
</t>
        </r>
      </text>
    </comment>
    <comment ref="K49" authorId="1" shapeId="0">
      <text>
        <r>
          <rPr>
            <sz val="9"/>
            <color indexed="81"/>
            <rFont val="Tahoma"/>
            <family val="2"/>
          </rPr>
          <t>- 31% từ 01/10/2017
- 32% từ 01/10/2018
- 33% từ 01/10/2019
- 34% từ 01/10/2020
- 35% từ 01/10/2021
- 36% từ 01/10/2022</t>
        </r>
      </text>
    </comment>
    <comment ref="M49" authorId="0" shapeId="0">
      <text>
        <r>
          <rPr>
            <b/>
            <sz val="9"/>
            <color indexed="81"/>
            <rFont val="Tahoma"/>
            <family val="2"/>
          </rPr>
          <t>User:</t>
        </r>
        <r>
          <rPr>
            <sz val="9"/>
            <color indexed="81"/>
            <rFont val="Tahoma"/>
            <family val="2"/>
          </rPr>
          <t xml:space="preserve">
Trưởng phòng Kế toán từ 19/8/2015
</t>
        </r>
      </text>
    </comment>
    <comment ref="O49" authorId="1" shapeId="0">
      <text>
        <r>
          <rPr>
            <sz val="9"/>
            <color indexed="81"/>
            <rFont val="Tahoma"/>
            <family val="2"/>
          </rPr>
          <t>- 31% từ 01/10/2017
- 32% từ 01/10/2018
- 33% từ 01/10/2019
- 34% từ 01/10/2020
- 35% từ 01/10/2021
- 36% từ 01/10/2022</t>
        </r>
      </text>
    </comment>
    <comment ref="Q49" authorId="0" shapeId="0">
      <text>
        <r>
          <rPr>
            <b/>
            <sz val="9"/>
            <color indexed="81"/>
            <rFont val="Tahoma"/>
            <family val="2"/>
          </rPr>
          <t>User:</t>
        </r>
        <r>
          <rPr>
            <sz val="9"/>
            <color indexed="81"/>
            <rFont val="Tahoma"/>
            <family val="2"/>
          </rPr>
          <t xml:space="preserve">
Trưởng phòng Kế toán từ 19/8/2015
</t>
        </r>
      </text>
    </comment>
    <comment ref="F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text>
        <r>
          <rPr>
            <b/>
            <sz val="9"/>
            <color indexed="81"/>
            <rFont val="Tahoma"/>
            <family val="2"/>
          </rPr>
          <t>Admin:</t>
        </r>
        <r>
          <rPr>
            <sz val="9"/>
            <color indexed="81"/>
            <rFont val="Tahoma"/>
            <family val="2"/>
          </rPr>
          <t xml:space="preserve">
- HS 3,66 từ 01/01/2017
- HS 3,99 từ 01/01/2019</t>
        </r>
      </text>
    </comment>
    <comment ref="I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text>
        <r>
          <rPr>
            <b/>
            <sz val="9"/>
            <color indexed="81"/>
            <rFont val="Tahoma"/>
            <family val="2"/>
          </rPr>
          <t>Admin:</t>
        </r>
        <r>
          <rPr>
            <sz val="9"/>
            <color indexed="81"/>
            <rFont val="Tahoma"/>
            <family val="2"/>
          </rPr>
          <t xml:space="preserve">
- HS 3,66 từ 01/01/2017
- HS 3,99 từ 01/01/2019</t>
        </r>
      </text>
    </comment>
    <comment ref="M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text>
        <r>
          <rPr>
            <b/>
            <sz val="9"/>
            <color indexed="81"/>
            <rFont val="Tahoma"/>
            <family val="2"/>
          </rPr>
          <t>Admin:</t>
        </r>
        <r>
          <rPr>
            <sz val="9"/>
            <color indexed="81"/>
            <rFont val="Tahoma"/>
            <family val="2"/>
          </rPr>
          <t xml:space="preserve">
- HS 3,66 từ 01/01/2017
- HS 3,99 từ 01/01/2019</t>
        </r>
      </text>
    </comment>
    <comment ref="Q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text>
        <r>
          <rPr>
            <b/>
            <sz val="9"/>
            <color indexed="81"/>
            <rFont val="Tahoma"/>
            <family val="2"/>
          </rPr>
          <t>User:</t>
        </r>
        <r>
          <rPr>
            <sz val="9"/>
            <color indexed="81"/>
            <rFont val="Tahoma"/>
            <family val="2"/>
          </rPr>
          <t xml:space="preserve">
- HS 3,33 từ 01/9/2015
- HS 3,66 từ 01/9/2018
- HS 3,99 từ 01/9/2021</t>
        </r>
      </text>
    </comment>
    <comment ref="J55" authorId="0" shapeId="0">
      <text>
        <r>
          <rPr>
            <b/>
            <sz val="9"/>
            <color indexed="81"/>
            <rFont val="Tahoma"/>
            <family val="2"/>
          </rPr>
          <t>User:</t>
        </r>
        <r>
          <rPr>
            <sz val="9"/>
            <color indexed="81"/>
            <rFont val="Tahoma"/>
            <family val="2"/>
          </rPr>
          <t xml:space="preserve">
- HS 3,33 từ 01/9/2015
- HS 3,66 từ 01/9/2018
- HS 3,99 từ 01/9/2021</t>
        </r>
      </text>
    </comment>
    <comment ref="N55"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text>
        <r>
          <rPr>
            <b/>
            <sz val="9"/>
            <color indexed="81"/>
            <rFont val="Tahoma"/>
            <family val="2"/>
          </rPr>
          <t>Admin:</t>
        </r>
        <r>
          <rPr>
            <sz val="9"/>
            <color indexed="81"/>
            <rFont val="Tahoma"/>
            <family val="2"/>
          </rPr>
          <t xml:space="preserve">
- HS 4,65 từ 01/9/2016
- HS 4,98 từ 01/9/2018 (NL trước hạn)</t>
        </r>
      </text>
    </comment>
    <comment ref="G57" authorId="2" shapeId="0">
      <text>
        <r>
          <rPr>
            <b/>
            <sz val="9"/>
            <color indexed="81"/>
            <rFont val="Tahoma"/>
            <family val="2"/>
          </rPr>
          <t>user:</t>
        </r>
        <r>
          <rPr>
            <sz val="9"/>
            <color indexed="81"/>
            <rFont val="Tahoma"/>
            <family val="2"/>
          </rPr>
          <t xml:space="preserve">
- VK 5% từ 01/9/2021
- VK 6% từ 01/9/2022
- VK 7% từ 01/9/2023</t>
        </r>
      </text>
    </comment>
    <comment ref="I57" authorId="2" shapeId="0">
      <text>
        <r>
          <rPr>
            <b/>
            <sz val="9"/>
            <color indexed="81"/>
            <rFont val="Tahoma"/>
            <family val="2"/>
          </rPr>
          <t>user:</t>
        </r>
        <r>
          <rPr>
            <sz val="9"/>
            <color indexed="81"/>
            <rFont val="Tahoma"/>
            <family val="2"/>
          </rPr>
          <t xml:space="preserve">
BN Trưởng phòng T10/19</t>
        </r>
      </text>
    </comment>
    <comment ref="J57" authorId="1" shapeId="0">
      <text>
        <r>
          <rPr>
            <b/>
            <sz val="9"/>
            <color indexed="81"/>
            <rFont val="Tahoma"/>
            <family val="2"/>
          </rPr>
          <t>Admin:</t>
        </r>
        <r>
          <rPr>
            <sz val="9"/>
            <color indexed="81"/>
            <rFont val="Tahoma"/>
            <family val="2"/>
          </rPr>
          <t xml:space="preserve">
- HS 4,65 từ 01/9/2016
- HS 4,98 từ 01/9/2018 (NL trước hạn)</t>
        </r>
      </text>
    </comment>
    <comment ref="K57" authorId="2" shapeId="0">
      <text>
        <r>
          <rPr>
            <b/>
            <sz val="9"/>
            <color indexed="81"/>
            <rFont val="Tahoma"/>
            <family val="2"/>
          </rPr>
          <t>user:</t>
        </r>
        <r>
          <rPr>
            <sz val="9"/>
            <color indexed="81"/>
            <rFont val="Tahoma"/>
            <family val="2"/>
          </rPr>
          <t xml:space="preserve">
- VK 5% từ 01/9/2021
- VK 6% từ 01/9/2022
- VK 7% từ 01/9/2023</t>
        </r>
      </text>
    </comment>
    <comment ref="M57" authorId="2" shapeId="0">
      <text>
        <r>
          <rPr>
            <b/>
            <sz val="9"/>
            <color indexed="81"/>
            <rFont val="Tahoma"/>
            <family val="2"/>
          </rPr>
          <t>user:</t>
        </r>
        <r>
          <rPr>
            <sz val="9"/>
            <color indexed="81"/>
            <rFont val="Tahoma"/>
            <family val="2"/>
          </rPr>
          <t xml:space="preserve">
BN Trưởng phòng T10/19</t>
        </r>
      </text>
    </comment>
    <comment ref="N57" authorId="1" shapeId="0">
      <text>
        <r>
          <rPr>
            <b/>
            <sz val="9"/>
            <color indexed="81"/>
            <rFont val="Tahoma"/>
            <family val="2"/>
          </rPr>
          <t>Admin:</t>
        </r>
        <r>
          <rPr>
            <sz val="9"/>
            <color indexed="81"/>
            <rFont val="Tahoma"/>
            <family val="2"/>
          </rPr>
          <t xml:space="preserve">
- HS 4,65 từ 01/9/2016
- HS 4,98 từ 01/9/2018 (NL trước hạn)</t>
        </r>
      </text>
    </comment>
    <comment ref="O5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text>
        <r>
          <rPr>
            <b/>
            <sz val="9"/>
            <color indexed="81"/>
            <rFont val="Tahoma"/>
            <family val="2"/>
          </rPr>
          <t>user:</t>
        </r>
        <r>
          <rPr>
            <sz val="9"/>
            <color indexed="81"/>
            <rFont val="Tahoma"/>
            <family val="2"/>
          </rPr>
          <t xml:space="preserve">
BN Trưởng phòng T10/19</t>
        </r>
      </text>
    </comment>
    <comment ref="F58" authorId="1" shapeId="0">
      <text>
        <r>
          <rPr>
            <b/>
            <sz val="9"/>
            <color indexed="81"/>
            <rFont val="Tahoma"/>
            <family val="2"/>
          </rPr>
          <t>Admin:</t>
        </r>
        <r>
          <rPr>
            <sz val="9"/>
            <color indexed="81"/>
            <rFont val="Tahoma"/>
            <family val="2"/>
          </rPr>
          <t xml:space="preserve">
- HS 3.33 từ 01/01/2016
- HS 3,66 từ 01/01/2019</t>
        </r>
      </text>
    </comment>
    <comment ref="J58" authorId="1" shapeId="0">
      <text>
        <r>
          <rPr>
            <b/>
            <sz val="9"/>
            <color indexed="81"/>
            <rFont val="Tahoma"/>
            <family val="2"/>
          </rPr>
          <t>Admin:</t>
        </r>
        <r>
          <rPr>
            <sz val="9"/>
            <color indexed="81"/>
            <rFont val="Tahoma"/>
            <family val="2"/>
          </rPr>
          <t xml:space="preserve">
- HS 3.33 từ 01/01/2016
- HS 3,66 từ 01/01/2019</t>
        </r>
      </text>
    </comment>
    <comment ref="N58" authorId="1" shapeId="0">
      <text>
        <r>
          <rPr>
            <b/>
            <sz val="9"/>
            <color indexed="81"/>
            <rFont val="Tahoma"/>
            <family val="2"/>
          </rPr>
          <t>Admin:</t>
        </r>
        <r>
          <rPr>
            <sz val="9"/>
            <color indexed="81"/>
            <rFont val="Tahoma"/>
            <family val="2"/>
          </rPr>
          <t xml:space="preserve">
- HS 3.33 từ 01/01/2016
- HS 3,66 từ 01/01/2019</t>
        </r>
      </text>
    </comment>
    <comment ref="F59" authorId="1" shapeId="0">
      <text>
        <r>
          <rPr>
            <b/>
            <sz val="9"/>
            <color indexed="81"/>
            <rFont val="Tahoma"/>
            <family val="2"/>
          </rPr>
          <t>Admin:</t>
        </r>
        <r>
          <rPr>
            <sz val="9"/>
            <color indexed="81"/>
            <rFont val="Tahoma"/>
            <family val="2"/>
          </rPr>
          <t xml:space="preserve">
- HS 3,00 từ 01/9/2016
- HS 3,33 từ 01/9/2019
- HS 3,66 từ 01/9/2022
</t>
        </r>
      </text>
    </comment>
    <comment ref="J59" authorId="1" shapeId="0">
      <text>
        <r>
          <rPr>
            <b/>
            <sz val="9"/>
            <color indexed="81"/>
            <rFont val="Tahoma"/>
            <family val="2"/>
          </rPr>
          <t>Admin:</t>
        </r>
        <r>
          <rPr>
            <sz val="9"/>
            <color indexed="81"/>
            <rFont val="Tahoma"/>
            <family val="2"/>
          </rPr>
          <t xml:space="preserve">
- HS 3,00 từ 01/9/2016
- HS 3,33 từ 01/9/2019
- HS 3,66 từ 01/9/2022
</t>
        </r>
      </text>
    </comment>
    <comment ref="N59" authorId="1" shapeId="0">
      <text>
        <r>
          <rPr>
            <b/>
            <sz val="9"/>
            <color indexed="81"/>
            <rFont val="Tahoma"/>
            <family val="2"/>
          </rPr>
          <t>Admin:</t>
        </r>
        <r>
          <rPr>
            <sz val="9"/>
            <color indexed="81"/>
            <rFont val="Tahoma"/>
            <family val="2"/>
          </rPr>
          <t xml:space="preserve">
- HS 3,00 từ 01/9/2016
- HS 3,33 từ 01/9/2019
- HS 3,66 từ 01/9/2022
</t>
        </r>
      </text>
    </comment>
    <comment ref="F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text>
        <r>
          <rPr>
            <b/>
            <sz val="9"/>
            <color indexed="81"/>
            <rFont val="Tahoma"/>
            <family val="2"/>
          </rPr>
          <t>Admin:</t>
        </r>
        <r>
          <rPr>
            <sz val="9"/>
            <color indexed="81"/>
            <rFont val="Tahoma"/>
            <family val="2"/>
          </rPr>
          <t xml:space="preserve">
- HS 3,66 từ 01/9/2016
- HS 3,99 từ 01/9/2019
- HS 4,32 từ 01/9/2022</t>
        </r>
      </text>
    </comment>
    <comment ref="J61" authorId="1" shapeId="0">
      <text>
        <r>
          <rPr>
            <b/>
            <sz val="9"/>
            <color indexed="81"/>
            <rFont val="Tahoma"/>
            <family val="2"/>
          </rPr>
          <t>Admin:</t>
        </r>
        <r>
          <rPr>
            <sz val="9"/>
            <color indexed="81"/>
            <rFont val="Tahoma"/>
            <family val="2"/>
          </rPr>
          <t xml:space="preserve">
- HS 3,66 từ 01/9/2016
- HS 3,99 từ 01/9/2019
- HS 4,32 từ 01/9/2022</t>
        </r>
      </text>
    </comment>
    <comment ref="N61" authorId="1" shapeId="0">
      <text>
        <r>
          <rPr>
            <b/>
            <sz val="9"/>
            <color indexed="81"/>
            <rFont val="Tahoma"/>
            <family val="2"/>
          </rPr>
          <t>Admin:</t>
        </r>
        <r>
          <rPr>
            <sz val="9"/>
            <color indexed="81"/>
            <rFont val="Tahoma"/>
            <family val="2"/>
          </rPr>
          <t xml:space="preserve">
- HS 3,66 từ 01/9/2016
- HS 3,99 từ 01/9/2019
- HS 4,32 từ 01/9/2022</t>
        </r>
      </text>
    </comment>
    <comment ref="F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text>
        <r>
          <rPr>
            <b/>
            <sz val="9"/>
            <color indexed="81"/>
            <rFont val="Tahoma"/>
            <family val="2"/>
          </rPr>
          <t>user:</t>
        </r>
        <r>
          <rPr>
            <sz val="9"/>
            <color indexed="81"/>
            <rFont val="Tahoma"/>
            <family val="2"/>
          </rPr>
          <t xml:space="preserve">
- HS 3,33 từ 01/11/2019
- HS 3,66 từ 01/11/2022</t>
        </r>
      </text>
    </comment>
    <comment ref="J63" authorId="2" shapeId="0">
      <text>
        <r>
          <rPr>
            <b/>
            <sz val="9"/>
            <color indexed="81"/>
            <rFont val="Tahoma"/>
            <family val="2"/>
          </rPr>
          <t>user:</t>
        </r>
        <r>
          <rPr>
            <sz val="9"/>
            <color indexed="81"/>
            <rFont val="Tahoma"/>
            <family val="2"/>
          </rPr>
          <t xml:space="preserve">
- HS 3,33 từ 01/11/2019
- HS 3,66 từ 01/11/2022</t>
        </r>
      </text>
    </comment>
    <comment ref="N63" authorId="2" shapeId="0">
      <text>
        <r>
          <rPr>
            <b/>
            <sz val="9"/>
            <color indexed="81"/>
            <rFont val="Tahoma"/>
            <family val="2"/>
          </rPr>
          <t>user:</t>
        </r>
        <r>
          <rPr>
            <sz val="9"/>
            <color indexed="81"/>
            <rFont val="Tahoma"/>
            <family val="2"/>
          </rPr>
          <t xml:space="preserve">
- HS 3,33 từ 01/11/2019
- HS 3,66 từ 01/11/2022</t>
        </r>
      </text>
    </comment>
    <comment ref="F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text>
        <r>
          <rPr>
            <b/>
            <sz val="9"/>
            <color indexed="81"/>
            <rFont val="Tahoma"/>
            <family val="2"/>
          </rPr>
          <t>Windows User:</t>
        </r>
        <r>
          <rPr>
            <sz val="9"/>
            <color indexed="81"/>
            <rFont val="Tahoma"/>
            <family val="2"/>
          </rPr>
          <t xml:space="preserve">
- Phó Trưởng phòng TS - Đào tạo từ T10/22</t>
        </r>
      </text>
    </comment>
    <comment ref="J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text>
        <r>
          <rPr>
            <b/>
            <sz val="9"/>
            <color indexed="81"/>
            <rFont val="Tahoma"/>
            <family val="2"/>
          </rPr>
          <t>Windows User:</t>
        </r>
        <r>
          <rPr>
            <sz val="9"/>
            <color indexed="81"/>
            <rFont val="Tahoma"/>
            <family val="2"/>
          </rPr>
          <t xml:space="preserve">
- Phó Trưởng phòng TS - Đào tạo từ T10/22</t>
        </r>
      </text>
    </comment>
    <comment ref="N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text>
        <r>
          <rPr>
            <b/>
            <sz val="9"/>
            <color indexed="81"/>
            <rFont val="Tahoma"/>
            <family val="2"/>
          </rPr>
          <t>Windows User:</t>
        </r>
        <r>
          <rPr>
            <sz val="9"/>
            <color indexed="81"/>
            <rFont val="Tahoma"/>
            <family val="2"/>
          </rPr>
          <t xml:space="preserve">
- Phó Trưởng phòng TS - Đào tạo từ T10/22</t>
        </r>
      </text>
    </comment>
    <comment ref="F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text>
        <r>
          <rPr>
            <b/>
            <sz val="9"/>
            <color indexed="81"/>
            <rFont val="Tahoma"/>
            <family val="2"/>
          </rPr>
          <t>Admin:</t>
        </r>
        <r>
          <rPr>
            <sz val="9"/>
            <color indexed="81"/>
            <rFont val="Tahoma"/>
            <family val="2"/>
          </rPr>
          <t xml:space="preserve">
- HS 2.67 từ 01/02/2016
- HS 3,00 từ 01/02/2019</t>
        </r>
      </text>
    </comment>
    <comment ref="J72" authorId="1" shapeId="0">
      <text>
        <r>
          <rPr>
            <b/>
            <sz val="9"/>
            <color indexed="81"/>
            <rFont val="Tahoma"/>
            <family val="2"/>
          </rPr>
          <t>Admin:</t>
        </r>
        <r>
          <rPr>
            <sz val="9"/>
            <color indexed="81"/>
            <rFont val="Tahoma"/>
            <family val="2"/>
          </rPr>
          <t xml:space="preserve">
- HS 2.67 từ 01/02/2016
- HS 3,00 từ 01/02/2019</t>
        </r>
      </text>
    </comment>
    <comment ref="N72" authorId="1" shapeId="0">
      <text>
        <r>
          <rPr>
            <b/>
            <sz val="9"/>
            <color indexed="81"/>
            <rFont val="Tahoma"/>
            <family val="2"/>
          </rPr>
          <t>Admin:</t>
        </r>
        <r>
          <rPr>
            <sz val="9"/>
            <color indexed="81"/>
            <rFont val="Tahoma"/>
            <family val="2"/>
          </rPr>
          <t xml:space="preserve">
- HS 2.67 từ 01/02/2016
- HS 3,00 từ 01/02/2019</t>
        </r>
      </text>
    </comment>
    <comment ref="F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text>
        <r>
          <rPr>
            <b/>
            <sz val="9"/>
            <color indexed="81"/>
            <rFont val="Tahoma"/>
            <family val="2"/>
          </rPr>
          <t>User:</t>
        </r>
        <r>
          <rPr>
            <sz val="9"/>
            <color indexed="81"/>
            <rFont val="Tahoma"/>
            <family val="2"/>
          </rPr>
          <t xml:space="preserve">
- Phó Trưởng phòng từ 01/8/2015
- Trưởng phòng từ 01/9/2018</t>
        </r>
      </text>
    </comment>
    <comment ref="J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text>
        <r>
          <rPr>
            <b/>
            <sz val="9"/>
            <color indexed="81"/>
            <rFont val="Tahoma"/>
            <family val="2"/>
          </rPr>
          <t>User:</t>
        </r>
        <r>
          <rPr>
            <sz val="9"/>
            <color indexed="81"/>
            <rFont val="Tahoma"/>
            <family val="2"/>
          </rPr>
          <t xml:space="preserve">
- Phó Trưởng phòng từ 01/8/2015
- Trưởng phòng từ 01/9/2018</t>
        </r>
      </text>
    </comment>
    <comment ref="N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text>
        <r>
          <rPr>
            <b/>
            <sz val="9"/>
            <color indexed="81"/>
            <rFont val="Tahoma"/>
            <family val="2"/>
          </rPr>
          <t>User:</t>
        </r>
        <r>
          <rPr>
            <sz val="9"/>
            <color indexed="81"/>
            <rFont val="Tahoma"/>
            <family val="2"/>
          </rPr>
          <t xml:space="preserve">
- Phó Trưởng phòng từ 01/8/2015
- Trưởng phòng từ 01/9/2018</t>
        </r>
      </text>
    </comment>
    <comment ref="F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text>
        <r>
          <rPr>
            <sz val="9"/>
            <color indexed="81"/>
            <rFont val="Tahoma"/>
            <family val="2"/>
          </rPr>
          <t>- HS 3,00 từ 01/11/2017
- HS 3,33 từ 01/11/2020
- HS 3,66 từ 01/11/2022</t>
        </r>
      </text>
    </comment>
    <comment ref="J78" authorId="8" shapeId="0">
      <text>
        <r>
          <rPr>
            <sz val="9"/>
            <color indexed="81"/>
            <rFont val="Tahoma"/>
            <family val="2"/>
          </rPr>
          <t>- HS 3,00 từ 01/11/2017
- HS 3,33 từ 01/11/2020
- HS 3,66 từ 01/11/2022</t>
        </r>
      </text>
    </comment>
    <comment ref="N78" authorId="8" shapeId="0">
      <text>
        <r>
          <rPr>
            <sz val="9"/>
            <color indexed="81"/>
            <rFont val="Tahoma"/>
            <family val="2"/>
          </rPr>
          <t>- HS 3,00 từ 01/11/2017
- HS 3,33 từ 01/11/2020
- HS 3,66 từ 01/11/2022</t>
        </r>
      </text>
    </comment>
    <comment ref="F79" authorId="2" shapeId="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text>
        <r>
          <rPr>
            <b/>
            <sz val="9"/>
            <color indexed="81"/>
            <rFont val="Tahoma"/>
            <family val="2"/>
          </rPr>
          <t>Windows User:</t>
        </r>
        <r>
          <rPr>
            <sz val="9"/>
            <color indexed="81"/>
            <rFont val="Tahoma"/>
            <family val="2"/>
          </rPr>
          <t xml:space="preserve">
- Phó Trưởng TT ĐH&amp;QLDL từ T10/23</t>
        </r>
      </text>
    </comment>
    <comment ref="J79" authorId="2" shapeId="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text>
        <r>
          <rPr>
            <b/>
            <sz val="9"/>
            <color indexed="81"/>
            <rFont val="Tahoma"/>
            <family val="2"/>
          </rPr>
          <t>Windows User:</t>
        </r>
        <r>
          <rPr>
            <sz val="9"/>
            <color indexed="81"/>
            <rFont val="Tahoma"/>
            <family val="2"/>
          </rPr>
          <t xml:space="preserve">
- Phó Trưởng TT ĐH&amp;QLDL từ T10/23</t>
        </r>
      </text>
    </comment>
    <comment ref="N79" authorId="2" shapeId="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text>
        <r>
          <rPr>
            <b/>
            <sz val="9"/>
            <color indexed="81"/>
            <rFont val="Tahoma"/>
            <family val="2"/>
          </rPr>
          <t>Windows User:</t>
        </r>
        <r>
          <rPr>
            <sz val="9"/>
            <color indexed="81"/>
            <rFont val="Tahoma"/>
            <family val="2"/>
          </rPr>
          <t xml:space="preserve">
- Phó Trưởng TT ĐH&amp;QLDL từ T10/23</t>
        </r>
      </text>
    </comment>
    <comment ref="F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text>
        <r>
          <rPr>
            <b/>
            <sz val="9"/>
            <color indexed="81"/>
            <rFont val="Tahoma"/>
            <family val="2"/>
          </rPr>
          <t>User:</t>
        </r>
        <r>
          <rPr>
            <sz val="9"/>
            <color indexed="81"/>
            <rFont val="Tahoma"/>
            <family val="2"/>
          </rPr>
          <t xml:space="preserve">
- 3.00 từ 01/12/2015
- 3,33 từ 01/12/2018
- 3,66 từ 01/12/2021</t>
        </r>
      </text>
    </comment>
    <comment ref="J81" authorId="0" shapeId="0">
      <text>
        <r>
          <rPr>
            <b/>
            <sz val="9"/>
            <color indexed="81"/>
            <rFont val="Tahoma"/>
            <family val="2"/>
          </rPr>
          <t>User:</t>
        </r>
        <r>
          <rPr>
            <sz val="9"/>
            <color indexed="81"/>
            <rFont val="Tahoma"/>
            <family val="2"/>
          </rPr>
          <t xml:space="preserve">
- 3.00 từ 01/12/2015
- 3,33 từ 01/12/2018
- 3,66 từ 01/12/2021</t>
        </r>
      </text>
    </comment>
    <comment ref="N81" authorId="0" shapeId="0">
      <text>
        <r>
          <rPr>
            <b/>
            <sz val="9"/>
            <color indexed="81"/>
            <rFont val="Tahoma"/>
            <family val="2"/>
          </rPr>
          <t>User:</t>
        </r>
        <r>
          <rPr>
            <sz val="9"/>
            <color indexed="81"/>
            <rFont val="Tahoma"/>
            <family val="2"/>
          </rPr>
          <t xml:space="preserve">
- 3.00 từ 01/12/2015
- 3,33 từ 01/12/2018
- 3,66 từ 01/12/2021</t>
        </r>
      </text>
    </comment>
    <comment ref="F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text>
        <r>
          <rPr>
            <b/>
            <sz val="9"/>
            <color indexed="81"/>
            <rFont val="Tahoma"/>
            <family val="2"/>
          </rPr>
          <t>Quynh:</t>
        </r>
        <r>
          <rPr>
            <sz val="9"/>
            <color indexed="81"/>
            <rFont val="Tahoma"/>
            <family val="2"/>
          </rPr>
          <t xml:space="preserve">
- HS 3,00 từ 01/3/2016
</t>
        </r>
      </text>
    </comment>
    <comment ref="I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text>
        <r>
          <rPr>
            <b/>
            <sz val="9"/>
            <color indexed="81"/>
            <rFont val="Tahoma"/>
            <family val="2"/>
          </rPr>
          <t>Quynh:</t>
        </r>
        <r>
          <rPr>
            <sz val="9"/>
            <color indexed="81"/>
            <rFont val="Tahoma"/>
            <family val="2"/>
          </rPr>
          <t xml:space="preserve">
- HS 3,00 từ 01/3/2016
</t>
        </r>
      </text>
    </comment>
    <comment ref="M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text>
        <r>
          <rPr>
            <b/>
            <sz val="9"/>
            <color indexed="81"/>
            <rFont val="Tahoma"/>
            <family val="2"/>
          </rPr>
          <t>Quynh:</t>
        </r>
        <r>
          <rPr>
            <sz val="9"/>
            <color indexed="81"/>
            <rFont val="Tahoma"/>
            <family val="2"/>
          </rPr>
          <t xml:space="preserve">
- HS 3,00 từ 01/3/2016
</t>
        </r>
      </text>
    </comment>
    <comment ref="Q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text>
        <r>
          <rPr>
            <b/>
            <sz val="9"/>
            <color indexed="81"/>
            <rFont val="Tahoma"/>
            <family val="2"/>
          </rPr>
          <t>Admin:</t>
        </r>
        <r>
          <rPr>
            <sz val="9"/>
            <color indexed="81"/>
            <rFont val="Tahoma"/>
            <family val="2"/>
          </rPr>
          <t xml:space="preserve">
- HS 2,67 từ 01/4/2016
- HS 3.00 từ 01/4/2019
- HS 3,33 từ 01/4/2022
</t>
        </r>
      </text>
    </comment>
    <comment ref="J85" authorId="1" shapeId="0">
      <text>
        <r>
          <rPr>
            <b/>
            <sz val="9"/>
            <color indexed="81"/>
            <rFont val="Tahoma"/>
            <family val="2"/>
          </rPr>
          <t>Admin:</t>
        </r>
        <r>
          <rPr>
            <sz val="9"/>
            <color indexed="81"/>
            <rFont val="Tahoma"/>
            <family val="2"/>
          </rPr>
          <t xml:space="preserve">
- HS 2,67 từ 01/4/2016
- HS 3.00 từ 01/4/2019
- HS 3,33 từ 01/4/2022
</t>
        </r>
      </text>
    </comment>
    <comment ref="N85" authorId="1" shapeId="0">
      <text>
        <r>
          <rPr>
            <b/>
            <sz val="9"/>
            <color indexed="81"/>
            <rFont val="Tahoma"/>
            <family val="2"/>
          </rPr>
          <t>Admin:</t>
        </r>
        <r>
          <rPr>
            <sz val="9"/>
            <color indexed="81"/>
            <rFont val="Tahoma"/>
            <family val="2"/>
          </rPr>
          <t xml:space="preserve">
- HS 2,67 từ 01/4/2016
- HS 3.00 từ 01/4/2019
- HS 3,33 từ 01/4/2022
</t>
        </r>
      </text>
    </comment>
    <comment ref="F86" authorId="1" shapeId="0">
      <text>
        <r>
          <rPr>
            <b/>
            <sz val="9"/>
            <color indexed="81"/>
            <rFont val="Tahoma"/>
            <family val="2"/>
          </rPr>
          <t>Admin:</t>
        </r>
        <r>
          <rPr>
            <sz val="9"/>
            <color indexed="81"/>
            <rFont val="Tahoma"/>
            <family val="2"/>
          </rPr>
          <t xml:space="preserve">
- HS 4,65 từ 01/9/2017
- HS 4,98 từ 01/9/2020</t>
        </r>
      </text>
    </comment>
    <comment ref="G86" authorId="3" shapeId="0">
      <text>
        <r>
          <rPr>
            <b/>
            <sz val="9"/>
            <color indexed="81"/>
            <rFont val="Tahoma"/>
            <family val="2"/>
          </rPr>
          <t>Windows User:</t>
        </r>
        <r>
          <rPr>
            <sz val="9"/>
            <color indexed="81"/>
            <rFont val="Tahoma"/>
            <family val="2"/>
          </rPr>
          <t xml:space="preserve">
- 5% từ 01/9/2023</t>
        </r>
      </text>
    </comment>
    <comment ref="J86" authorId="1" shapeId="0">
      <text>
        <r>
          <rPr>
            <b/>
            <sz val="9"/>
            <color indexed="81"/>
            <rFont val="Tahoma"/>
            <family val="2"/>
          </rPr>
          <t>Admin:</t>
        </r>
        <r>
          <rPr>
            <sz val="9"/>
            <color indexed="81"/>
            <rFont val="Tahoma"/>
            <family val="2"/>
          </rPr>
          <t xml:space="preserve">
- HS 4,65 từ 01/9/2017
- HS 4,98 từ 01/9/2020</t>
        </r>
      </text>
    </comment>
    <comment ref="K86" authorId="3" shapeId="0">
      <text>
        <r>
          <rPr>
            <b/>
            <sz val="9"/>
            <color indexed="81"/>
            <rFont val="Tahoma"/>
            <family val="2"/>
          </rPr>
          <t>Windows User:</t>
        </r>
        <r>
          <rPr>
            <sz val="9"/>
            <color indexed="81"/>
            <rFont val="Tahoma"/>
            <family val="2"/>
          </rPr>
          <t xml:space="preserve">
- 5% từ 01/9/2023</t>
        </r>
      </text>
    </comment>
    <comment ref="N86" authorId="1" shapeId="0">
      <text>
        <r>
          <rPr>
            <b/>
            <sz val="9"/>
            <color indexed="81"/>
            <rFont val="Tahoma"/>
            <family val="2"/>
          </rPr>
          <t>Admin:</t>
        </r>
        <r>
          <rPr>
            <sz val="9"/>
            <color indexed="81"/>
            <rFont val="Tahoma"/>
            <family val="2"/>
          </rPr>
          <t xml:space="preserve">
- HS 4,65 từ 01/9/2017
- HS 4,98 từ 01/9/2020</t>
        </r>
      </text>
    </comment>
    <comment ref="O86" authorId="3" shapeId="0">
      <text>
        <r>
          <rPr>
            <b/>
            <sz val="9"/>
            <color indexed="81"/>
            <rFont val="Tahoma"/>
            <family val="2"/>
          </rPr>
          <t>Windows User:</t>
        </r>
        <r>
          <rPr>
            <sz val="9"/>
            <color indexed="81"/>
            <rFont val="Tahoma"/>
            <family val="2"/>
          </rPr>
          <t xml:space="preserve">
- 5% từ 01/9/2023
- 6% từ 01/9/2024</t>
        </r>
      </text>
    </comment>
    <comment ref="F87" authorId="8" shapeId="0">
      <text>
        <r>
          <rPr>
            <sz val="9"/>
            <color indexed="81"/>
            <rFont val="Tahoma"/>
            <family val="2"/>
          </rPr>
          <t>- HS 4,32 từ 01/12/2017
- HS 4,65 từ 01/12/2019
- HS 4,98 từ 01/12/2022</t>
        </r>
      </text>
    </comment>
    <comment ref="I87" authorId="0" shapeId="0">
      <text>
        <r>
          <rPr>
            <b/>
            <sz val="9"/>
            <color indexed="81"/>
            <rFont val="Tahoma"/>
            <family val="2"/>
          </rPr>
          <t>User:</t>
        </r>
        <r>
          <rPr>
            <sz val="9"/>
            <color indexed="81"/>
            <rFont val="Tahoma"/>
            <family val="2"/>
          </rPr>
          <t xml:space="preserve">
Trưởng khoa Kinh tế từ 20/8/2015
</t>
        </r>
      </text>
    </comment>
    <comment ref="J87" authorId="8" shapeId="0">
      <text>
        <r>
          <rPr>
            <sz val="9"/>
            <color indexed="81"/>
            <rFont val="Tahoma"/>
            <family val="2"/>
          </rPr>
          <t>- HS 4,32 từ 01/12/2017
- HS 4,65 từ 01/12/2019
- HS 4,98 từ 01/12/2022</t>
        </r>
      </text>
    </comment>
    <comment ref="M87" authorId="0" shapeId="0">
      <text>
        <r>
          <rPr>
            <b/>
            <sz val="9"/>
            <color indexed="81"/>
            <rFont val="Tahoma"/>
            <family val="2"/>
          </rPr>
          <t>User:</t>
        </r>
        <r>
          <rPr>
            <sz val="9"/>
            <color indexed="81"/>
            <rFont val="Tahoma"/>
            <family val="2"/>
          </rPr>
          <t xml:space="preserve">
Trưởng khoa Kinh tế từ 20/8/2015
</t>
        </r>
      </text>
    </comment>
    <comment ref="N87" authorId="8" shapeId="0">
      <text>
        <r>
          <rPr>
            <sz val="9"/>
            <color indexed="81"/>
            <rFont val="Tahoma"/>
            <family val="2"/>
          </rPr>
          <t>- HS 4,32 từ 01/12/2017
- HS 4,65 từ 01/12/2019
- HS 4,98 từ 01/12/2022</t>
        </r>
      </text>
    </comment>
    <comment ref="Q87" authorId="0" shapeId="0">
      <text>
        <r>
          <rPr>
            <b/>
            <sz val="9"/>
            <color indexed="81"/>
            <rFont val="Tahoma"/>
            <family val="2"/>
          </rPr>
          <t>User:</t>
        </r>
        <r>
          <rPr>
            <sz val="9"/>
            <color indexed="81"/>
            <rFont val="Tahoma"/>
            <family val="2"/>
          </rPr>
          <t xml:space="preserve">
Trưởng khoa Kinh tế từ 20/8/2015
</t>
        </r>
      </text>
    </comment>
    <comment ref="F89" authorId="2" shapeId="0">
      <text>
        <r>
          <rPr>
            <b/>
            <sz val="9"/>
            <color indexed="81"/>
            <rFont val="Tahoma"/>
            <family val="2"/>
          </rPr>
          <t>user:</t>
        </r>
        <r>
          <rPr>
            <sz val="9"/>
            <color indexed="81"/>
            <rFont val="Tahoma"/>
            <family val="2"/>
          </rPr>
          <t xml:space="preserve">
- HS 2,34 từ 01/10/2019
- HS 2,67 từ 01/10/2021 (NL trước hạn)</t>
        </r>
      </text>
    </comment>
    <comment ref="I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text>
        <r>
          <rPr>
            <b/>
            <sz val="9"/>
            <color indexed="81"/>
            <rFont val="Tahoma"/>
            <family val="2"/>
          </rPr>
          <t>user:</t>
        </r>
        <r>
          <rPr>
            <sz val="9"/>
            <color indexed="81"/>
            <rFont val="Tahoma"/>
            <family val="2"/>
          </rPr>
          <t xml:space="preserve">
- HS 2,34 từ 01/10/2019
- HS 2,67 từ 01/10/2021 (NL trước hạn)</t>
        </r>
      </text>
    </comment>
    <comment ref="M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text>
        <r>
          <rPr>
            <b/>
            <sz val="9"/>
            <color indexed="81"/>
            <rFont val="Tahoma"/>
            <family val="2"/>
          </rPr>
          <t>user:</t>
        </r>
        <r>
          <rPr>
            <sz val="9"/>
            <color indexed="81"/>
            <rFont val="Tahoma"/>
            <family val="2"/>
          </rPr>
          <t xml:space="preserve">
- HS 2,34 từ 01/10/2019
- HS 2,67 từ 01/10/2021 (NL trước hạn)</t>
        </r>
      </text>
    </comment>
    <comment ref="Q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text>
        <r>
          <rPr>
            <b/>
            <sz val="9"/>
            <color indexed="81"/>
            <rFont val="Tahoma"/>
            <family val="2"/>
          </rPr>
          <t>user:</t>
        </r>
        <r>
          <rPr>
            <sz val="9"/>
            <color indexed="81"/>
            <rFont val="Tahoma"/>
            <family val="2"/>
          </rPr>
          <t xml:space="preserve">
Phụ trách khoa Xây dựng từ 01/5/2019
- TK từ 01/5/2023</t>
        </r>
      </text>
    </comment>
    <comment ref="J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text>
        <r>
          <rPr>
            <b/>
            <sz val="9"/>
            <color indexed="81"/>
            <rFont val="Tahoma"/>
            <family val="2"/>
          </rPr>
          <t>user:</t>
        </r>
        <r>
          <rPr>
            <sz val="9"/>
            <color indexed="81"/>
            <rFont val="Tahoma"/>
            <family val="2"/>
          </rPr>
          <t xml:space="preserve">
Phụ trách khoa Xây dựng từ 01/5/2019
- TK từ 01/5/2023</t>
        </r>
      </text>
    </comment>
    <comment ref="N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text>
        <r>
          <rPr>
            <b/>
            <sz val="9"/>
            <color indexed="81"/>
            <rFont val="Tahoma"/>
            <family val="2"/>
          </rPr>
          <t>user:</t>
        </r>
        <r>
          <rPr>
            <sz val="9"/>
            <color indexed="81"/>
            <rFont val="Tahoma"/>
            <family val="2"/>
          </rPr>
          <t xml:space="preserve">
Phụ trách khoa Xây dựng từ 01/5/2019
- TK từ 01/5/2023</t>
        </r>
      </text>
    </comment>
    <comment ref="F92" authorId="2" shapeId="0">
      <text>
        <r>
          <rPr>
            <b/>
            <sz val="9"/>
            <color indexed="81"/>
            <rFont val="Tahoma"/>
            <family val="2"/>
          </rPr>
          <t>user:</t>
        </r>
        <r>
          <rPr>
            <sz val="9"/>
            <color indexed="81"/>
            <rFont val="Tahoma"/>
            <family val="2"/>
          </rPr>
          <t xml:space="preserve">
- Tuyển dụng từ T5/20
- HS 2,67 từ 01/5/2021
- HS 3,00 từ 01/9/2024</t>
        </r>
      </text>
    </comment>
    <comment ref="J92" authorId="2" shapeId="0">
      <text>
        <r>
          <rPr>
            <b/>
            <sz val="9"/>
            <color indexed="81"/>
            <rFont val="Tahoma"/>
            <family val="2"/>
          </rPr>
          <t>user:</t>
        </r>
        <r>
          <rPr>
            <sz val="9"/>
            <color indexed="81"/>
            <rFont val="Tahoma"/>
            <family val="2"/>
          </rPr>
          <t xml:space="preserve">
- Tuyển dụng từ T5/20
- HS 2,67 từ 01/5/2021
- HS 3,00 từ 01/9/2024</t>
        </r>
      </text>
    </comment>
    <comment ref="N92" authorId="2" shapeId="0">
      <text>
        <r>
          <rPr>
            <b/>
            <sz val="9"/>
            <color indexed="81"/>
            <rFont val="Tahoma"/>
            <family val="2"/>
          </rPr>
          <t>user:</t>
        </r>
        <r>
          <rPr>
            <sz val="9"/>
            <color indexed="81"/>
            <rFont val="Tahoma"/>
            <family val="2"/>
          </rPr>
          <t xml:space="preserve">
- Tuyển dụng từ T5/20
- HS 2,67 từ 01/5/2021
- HS 3,00 từ 01/9/2024</t>
        </r>
      </text>
    </comment>
    <comment ref="F93" authorId="2" shapeId="0">
      <text>
        <r>
          <rPr>
            <b/>
            <sz val="9"/>
            <color indexed="81"/>
            <rFont val="Tahoma"/>
            <family val="2"/>
          </rPr>
          <t>user:</t>
        </r>
        <r>
          <rPr>
            <sz val="9"/>
            <color indexed="81"/>
            <rFont val="Tahoma"/>
            <family val="2"/>
          </rPr>
          <t xml:space="preserve">
- HS 1,989 từ 01/4/21 (Tuyển dụng)
- HS 2,34 từ 01/4/2022</t>
        </r>
      </text>
    </comment>
    <comment ref="J93" authorId="2" shapeId="0">
      <text>
        <r>
          <rPr>
            <b/>
            <sz val="9"/>
            <color indexed="81"/>
            <rFont val="Tahoma"/>
            <family val="2"/>
          </rPr>
          <t>user:</t>
        </r>
        <r>
          <rPr>
            <sz val="9"/>
            <color indexed="81"/>
            <rFont val="Tahoma"/>
            <family val="2"/>
          </rPr>
          <t xml:space="preserve">
- HS 1,989 từ 01/4/21 (Tuyển dụng)
- HS 2,34 từ 01/4/2022</t>
        </r>
      </text>
    </comment>
    <comment ref="N93" authorId="2" shapeId="0">
      <text>
        <r>
          <rPr>
            <b/>
            <sz val="9"/>
            <color indexed="81"/>
            <rFont val="Tahoma"/>
            <family val="2"/>
          </rPr>
          <t>user:</t>
        </r>
        <r>
          <rPr>
            <sz val="9"/>
            <color indexed="81"/>
            <rFont val="Tahoma"/>
            <family val="2"/>
          </rPr>
          <t xml:space="preserve">
- HS 1,989 từ 01/4/21 (Tuyển dụng)
- HS 2,34 từ 01/4/2022</t>
        </r>
      </text>
    </comment>
    <comment ref="F94" authorId="1" shapeId="0">
      <text>
        <r>
          <rPr>
            <b/>
            <sz val="9"/>
            <color indexed="81"/>
            <rFont val="Tahoma"/>
            <family val="2"/>
          </rPr>
          <t>Admin:</t>
        </r>
        <r>
          <rPr>
            <sz val="9"/>
            <color indexed="81"/>
            <rFont val="Tahoma"/>
            <family val="2"/>
          </rPr>
          <t xml:space="preserve">
- HS 3,33 từ 01/9/2016
- HS 3,66 từ 01/9/2019
- HS 3,99 từ 01/9/2022</t>
        </r>
      </text>
    </comment>
    <comment ref="I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text>
        <r>
          <rPr>
            <b/>
            <sz val="9"/>
            <color indexed="81"/>
            <rFont val="Tahoma"/>
            <family val="2"/>
          </rPr>
          <t>Admin:</t>
        </r>
        <r>
          <rPr>
            <sz val="9"/>
            <color indexed="81"/>
            <rFont val="Tahoma"/>
            <family val="2"/>
          </rPr>
          <t xml:space="preserve">
- HS 3,33 từ 01/9/2016
- HS 3,66 từ 01/9/2019
- HS 3,99 từ 01/9/2022</t>
        </r>
      </text>
    </comment>
    <comment ref="M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text>
        <r>
          <rPr>
            <b/>
            <sz val="9"/>
            <color indexed="81"/>
            <rFont val="Tahoma"/>
            <family val="2"/>
          </rPr>
          <t>Admin:</t>
        </r>
        <r>
          <rPr>
            <sz val="9"/>
            <color indexed="81"/>
            <rFont val="Tahoma"/>
            <family val="2"/>
          </rPr>
          <t xml:space="preserve">
- HS 3,33 từ 01/9/2016
- HS 3,66 từ 01/9/2019
- HS 3,99 từ 01/9/2022</t>
        </r>
      </text>
    </comment>
    <comment ref="Q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text>
        <r>
          <rPr>
            <b/>
            <sz val="9"/>
            <color indexed="81"/>
            <rFont val="Tahoma"/>
            <family val="2"/>
          </rPr>
          <t>Quynh:</t>
        </r>
        <r>
          <rPr>
            <sz val="9"/>
            <color indexed="81"/>
            <rFont val="Tahoma"/>
            <family val="2"/>
          </rPr>
          <t xml:space="preserve">
- HS 2,67 từ 01/10/2018
- HS 3,00 từ 01/10/2021</t>
        </r>
      </text>
    </comment>
    <comment ref="J95" authorId="4" shapeId="0">
      <text>
        <r>
          <rPr>
            <b/>
            <sz val="9"/>
            <color indexed="81"/>
            <rFont val="Tahoma"/>
            <family val="2"/>
          </rPr>
          <t>Quynh:</t>
        </r>
        <r>
          <rPr>
            <sz val="9"/>
            <color indexed="81"/>
            <rFont val="Tahoma"/>
            <family val="2"/>
          </rPr>
          <t xml:space="preserve">
- HS 2,67 từ 01/10/2018
- HS 3,00 từ 01/10/2021</t>
        </r>
      </text>
    </comment>
    <comment ref="N95" authorId="4" shapeId="0">
      <text>
        <r>
          <rPr>
            <b/>
            <sz val="9"/>
            <color indexed="81"/>
            <rFont val="Tahoma"/>
            <family val="2"/>
          </rPr>
          <t>Quynh:</t>
        </r>
        <r>
          <rPr>
            <sz val="9"/>
            <color indexed="81"/>
            <rFont val="Tahoma"/>
            <family val="2"/>
          </rPr>
          <t xml:space="preserve">
- HS 2,67 từ 01/10/2018
- HS 3,00 từ 01/10/2021</t>
        </r>
      </text>
    </comment>
    <comment ref="F96" authorId="2" shapeId="0">
      <text>
        <r>
          <rPr>
            <b/>
            <sz val="9"/>
            <color indexed="81"/>
            <rFont val="Tahoma"/>
            <family val="2"/>
          </rPr>
          <t>user:</t>
        </r>
        <r>
          <rPr>
            <sz val="9"/>
            <color indexed="81"/>
            <rFont val="Tahoma"/>
            <family val="2"/>
          </rPr>
          <t xml:space="preserve">
- HS 2,67 từ 01/10/2019
- HS 3,00 từ 01/10/2022</t>
        </r>
      </text>
    </comment>
    <comment ref="J96" authorId="2" shapeId="0">
      <text>
        <r>
          <rPr>
            <b/>
            <sz val="9"/>
            <color indexed="81"/>
            <rFont val="Tahoma"/>
            <family val="2"/>
          </rPr>
          <t>user:</t>
        </r>
        <r>
          <rPr>
            <sz val="9"/>
            <color indexed="81"/>
            <rFont val="Tahoma"/>
            <family val="2"/>
          </rPr>
          <t xml:space="preserve">
- HS 2,67 từ 01/10/2019
- HS 3,00 từ 01/10/2022</t>
        </r>
      </text>
    </comment>
    <comment ref="N96" authorId="2" shapeId="0">
      <text>
        <r>
          <rPr>
            <b/>
            <sz val="9"/>
            <color indexed="81"/>
            <rFont val="Tahoma"/>
            <family val="2"/>
          </rPr>
          <t>user:</t>
        </r>
        <r>
          <rPr>
            <sz val="9"/>
            <color indexed="81"/>
            <rFont val="Tahoma"/>
            <family val="2"/>
          </rPr>
          <t xml:space="preserve">
- HS 2,67 từ 01/10/2019
- HS 3,00 từ 01/10/2022</t>
        </r>
      </text>
    </comment>
    <comment ref="F97" authorId="1" shapeId="0">
      <text>
        <r>
          <rPr>
            <b/>
            <sz val="9"/>
            <color indexed="81"/>
            <rFont val="Tahoma"/>
            <family val="2"/>
          </rPr>
          <t>Admin:</t>
        </r>
        <r>
          <rPr>
            <sz val="9"/>
            <color indexed="81"/>
            <rFont val="Tahoma"/>
            <family val="2"/>
          </rPr>
          <t xml:space="preserve">
- HS 3,00 từ 01/12/2016
- HS 3,33 từ 01/12/2019
- HS 3,66 từ 01/12/2021</t>
        </r>
      </text>
    </comment>
    <comment ref="I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text>
        <r>
          <rPr>
            <b/>
            <sz val="9"/>
            <color indexed="81"/>
            <rFont val="Tahoma"/>
            <family val="2"/>
          </rPr>
          <t>Admin:</t>
        </r>
        <r>
          <rPr>
            <sz val="9"/>
            <color indexed="81"/>
            <rFont val="Tahoma"/>
            <family val="2"/>
          </rPr>
          <t xml:space="preserve">
- HS 3,00 từ 01/12/2016
- HS 3,33 từ 01/12/2019
- HS 3,66 từ 01/12/2021</t>
        </r>
      </text>
    </comment>
    <comment ref="M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text>
        <r>
          <rPr>
            <b/>
            <sz val="9"/>
            <color indexed="81"/>
            <rFont val="Tahoma"/>
            <family val="2"/>
          </rPr>
          <t>Admin:</t>
        </r>
        <r>
          <rPr>
            <sz val="9"/>
            <color indexed="81"/>
            <rFont val="Tahoma"/>
            <family val="2"/>
          </rPr>
          <t xml:space="preserve">
- HS 3,00 từ 01/12/2016
- HS 3,33 từ 01/12/2019
- HS 3,66 từ 01/12/2021</t>
        </r>
      </text>
    </comment>
    <comment ref="Q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text>
        <r>
          <rPr>
            <b/>
            <sz val="9"/>
            <color indexed="81"/>
            <rFont val="Tahoma"/>
            <family val="2"/>
          </rPr>
          <t>Admin:</t>
        </r>
        <r>
          <rPr>
            <sz val="9"/>
            <color indexed="81"/>
            <rFont val="Tahoma"/>
            <family val="2"/>
          </rPr>
          <t xml:space="preserve">
- HS 2,67 từ 01/9/2016
- HS 3,00 từ 01/9/2019
- HS 3,33 từ 01/9/2022</t>
        </r>
      </text>
    </comment>
    <comment ref="J99" authorId="1" shapeId="0">
      <text>
        <r>
          <rPr>
            <b/>
            <sz val="9"/>
            <color indexed="81"/>
            <rFont val="Tahoma"/>
            <family val="2"/>
          </rPr>
          <t>Admin:</t>
        </r>
        <r>
          <rPr>
            <sz val="9"/>
            <color indexed="81"/>
            <rFont val="Tahoma"/>
            <family val="2"/>
          </rPr>
          <t xml:space="preserve">
- HS 2,67 từ 01/9/2016
- HS 3,00 từ 01/9/2019
- HS 3,33 từ 01/9/2022</t>
        </r>
      </text>
    </comment>
    <comment ref="N99" authorId="1" shapeId="0">
      <text>
        <r>
          <rPr>
            <b/>
            <sz val="9"/>
            <color indexed="81"/>
            <rFont val="Tahoma"/>
            <family val="2"/>
          </rPr>
          <t>Admin:</t>
        </r>
        <r>
          <rPr>
            <sz val="9"/>
            <color indexed="81"/>
            <rFont val="Tahoma"/>
            <family val="2"/>
          </rPr>
          <t xml:space="preserve">
- HS 2,67 từ 01/9/2016
- HS 3,00 từ 01/9/2019
- HS 3,33 từ 01/9/2022</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J100" authorId="4" shapeId="0">
      <text>
        <r>
          <rPr>
            <b/>
            <sz val="9"/>
            <color indexed="81"/>
            <rFont val="Tahoma"/>
            <family val="2"/>
          </rPr>
          <t>Quynh:</t>
        </r>
        <r>
          <rPr>
            <sz val="9"/>
            <color indexed="81"/>
            <rFont val="Tahoma"/>
            <family val="2"/>
          </rPr>
          <t xml:space="preserve">
- HS 2,67 từ 01/10/2018
- HS 3,00 từ 01/10/2021</t>
        </r>
      </text>
    </comment>
    <comment ref="N100" authorId="4" shapeId="0">
      <text>
        <r>
          <rPr>
            <b/>
            <sz val="9"/>
            <color indexed="81"/>
            <rFont val="Tahoma"/>
            <family val="2"/>
          </rPr>
          <t>Quynh:</t>
        </r>
        <r>
          <rPr>
            <sz val="9"/>
            <color indexed="81"/>
            <rFont val="Tahoma"/>
            <family val="2"/>
          </rPr>
          <t xml:space="preserve">
- HS 2,67 từ 01/10/2018
- HS 3,00 từ 01/10/2021</t>
        </r>
      </text>
    </comment>
    <comment ref="F101" authorId="1" shapeId="0">
      <text>
        <r>
          <rPr>
            <b/>
            <sz val="9"/>
            <color indexed="81"/>
            <rFont val="Tahoma"/>
            <family val="2"/>
          </rPr>
          <t>Admin:</t>
        </r>
        <r>
          <rPr>
            <sz val="9"/>
            <color indexed="81"/>
            <rFont val="Tahoma"/>
            <family val="2"/>
          </rPr>
          <t xml:space="preserve">
- HS 3,00 từ 01/9/2016
- HS 3,33 từ 01/9/2019
- HS 3,66 từ 01/9/2022</t>
        </r>
      </text>
    </comment>
    <comment ref="J101" authorId="1" shapeId="0">
      <text>
        <r>
          <rPr>
            <b/>
            <sz val="9"/>
            <color indexed="81"/>
            <rFont val="Tahoma"/>
            <family val="2"/>
          </rPr>
          <t>Admin:</t>
        </r>
        <r>
          <rPr>
            <sz val="9"/>
            <color indexed="81"/>
            <rFont val="Tahoma"/>
            <family val="2"/>
          </rPr>
          <t xml:space="preserve">
- HS 3,00 từ 01/9/2016
- HS 3,33 từ 01/9/2019
- HS 3,66 từ 01/9/2022</t>
        </r>
      </text>
    </comment>
    <comment ref="N101" authorId="1" shapeId="0">
      <text>
        <r>
          <rPr>
            <b/>
            <sz val="9"/>
            <color indexed="81"/>
            <rFont val="Tahoma"/>
            <family val="2"/>
          </rPr>
          <t>Admin:</t>
        </r>
        <r>
          <rPr>
            <sz val="9"/>
            <color indexed="81"/>
            <rFont val="Tahoma"/>
            <family val="2"/>
          </rPr>
          <t xml:space="preserve">
- HS 3,00 từ 01/9/2016
- HS 3,33 từ 01/9/2019
- HS 3,66 từ 01/9/2022</t>
        </r>
      </text>
    </comment>
    <comment ref="F102" authorId="1" shapeId="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text>
        <r>
          <rPr>
            <sz val="9"/>
            <color indexed="81"/>
            <rFont val="Tahoma"/>
            <family val="2"/>
          </rPr>
          <t>- HS 3,00  từ 01/01/2018
- HS 3,33 từ 01/01/2020 (NL trước hạn)
- HS 3,66 từ 01/01/2023</t>
        </r>
      </text>
    </comment>
    <comment ref="I103" authorId="4" shapeId="0">
      <text>
        <r>
          <rPr>
            <b/>
            <sz val="9"/>
            <color indexed="81"/>
            <rFont val="Tahoma"/>
            <family val="2"/>
          </rPr>
          <t>Quynh:</t>
        </r>
        <r>
          <rPr>
            <sz val="9"/>
            <color indexed="81"/>
            <rFont val="Tahoma"/>
            <family val="2"/>
          </rPr>
          <t xml:space="preserve">
- BN Trưởng BM Cơ sở ngành từ 01/1/2019</t>
        </r>
      </text>
    </comment>
    <comment ref="J103" authorId="1" shapeId="0">
      <text>
        <r>
          <rPr>
            <sz val="9"/>
            <color indexed="81"/>
            <rFont val="Tahoma"/>
            <family val="2"/>
          </rPr>
          <t>- HS 3,00  từ 01/01/2018
- HS 3,33 từ 01/01/2020 (NL trước hạn)
- HS 3,66 từ 01/01/2023</t>
        </r>
      </text>
    </comment>
    <comment ref="M103" authorId="4" shapeId="0">
      <text>
        <r>
          <rPr>
            <b/>
            <sz val="9"/>
            <color indexed="81"/>
            <rFont val="Tahoma"/>
            <family val="2"/>
          </rPr>
          <t>Quynh:</t>
        </r>
        <r>
          <rPr>
            <sz val="9"/>
            <color indexed="81"/>
            <rFont val="Tahoma"/>
            <family val="2"/>
          </rPr>
          <t xml:space="preserve">
- BN Trưởng BM Cơ sở ngành từ 01/1/2019</t>
        </r>
      </text>
    </comment>
    <comment ref="N103" authorId="1" shapeId="0">
      <text>
        <r>
          <rPr>
            <sz val="9"/>
            <color indexed="81"/>
            <rFont val="Tahoma"/>
            <family val="2"/>
          </rPr>
          <t>- HS 3,00  từ 01/01/2018
- HS 3,33 từ 01/01/2020 (NL trước hạn)
- HS 3,66 từ 01/01/2023</t>
        </r>
      </text>
    </comment>
    <comment ref="Q103" authorId="4" shapeId="0">
      <text>
        <r>
          <rPr>
            <b/>
            <sz val="9"/>
            <color indexed="81"/>
            <rFont val="Tahoma"/>
            <family val="2"/>
          </rPr>
          <t>Quynh:</t>
        </r>
        <r>
          <rPr>
            <sz val="9"/>
            <color indexed="81"/>
            <rFont val="Tahoma"/>
            <family val="2"/>
          </rPr>
          <t xml:space="preserve">
- BN Trưởng BM Cơ sở ngành từ 01/1/2019</t>
        </r>
      </text>
    </comment>
    <comment ref="F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text>
        <r>
          <rPr>
            <b/>
            <sz val="9"/>
            <color indexed="81"/>
            <rFont val="Tahoma"/>
            <family val="2"/>
          </rPr>
          <t>user:</t>
        </r>
        <r>
          <rPr>
            <sz val="9"/>
            <color indexed="81"/>
            <rFont val="Tahoma"/>
            <family val="2"/>
          </rPr>
          <t xml:space="preserve">
- HS 2,34 từ 01/5/2021
- HS 2,67 từ 01/5/2023 (NL trước hạn)</t>
        </r>
      </text>
    </comment>
    <comment ref="I105" authorId="3" shapeId="0">
      <text>
        <r>
          <rPr>
            <b/>
            <sz val="9"/>
            <color indexed="81"/>
            <rFont val="Tahoma"/>
            <family val="2"/>
          </rPr>
          <t>Windows User:</t>
        </r>
        <r>
          <rPr>
            <sz val="9"/>
            <color indexed="81"/>
            <rFont val="Tahoma"/>
            <family val="2"/>
          </rPr>
          <t xml:space="preserve">
- BN Trưởng khoa DL-KS từ 01/12/2023</t>
        </r>
      </text>
    </comment>
    <comment ref="J105" authorId="2" shapeId="0">
      <text>
        <r>
          <rPr>
            <b/>
            <sz val="9"/>
            <color indexed="81"/>
            <rFont val="Tahoma"/>
            <family val="2"/>
          </rPr>
          <t>user:</t>
        </r>
        <r>
          <rPr>
            <sz val="9"/>
            <color indexed="81"/>
            <rFont val="Tahoma"/>
            <family val="2"/>
          </rPr>
          <t xml:space="preserve">
- HS 2,34 từ 01/5/2021
- HS 2,67 từ 01/5/2023 (NL trước hạn)</t>
        </r>
      </text>
    </comment>
    <comment ref="M105" authorId="3" shapeId="0">
      <text>
        <r>
          <rPr>
            <b/>
            <sz val="9"/>
            <color indexed="81"/>
            <rFont val="Tahoma"/>
            <family val="2"/>
          </rPr>
          <t>Windows User:</t>
        </r>
        <r>
          <rPr>
            <sz val="9"/>
            <color indexed="81"/>
            <rFont val="Tahoma"/>
            <family val="2"/>
          </rPr>
          <t xml:space="preserve">
- BN Trưởng khoa DL-KS từ 01/12/2023</t>
        </r>
      </text>
    </comment>
    <comment ref="N105" authorId="2" shapeId="0">
      <text>
        <r>
          <rPr>
            <b/>
            <sz val="9"/>
            <color indexed="81"/>
            <rFont val="Tahoma"/>
            <family val="2"/>
          </rPr>
          <t>user:</t>
        </r>
        <r>
          <rPr>
            <sz val="9"/>
            <color indexed="81"/>
            <rFont val="Tahoma"/>
            <family val="2"/>
          </rPr>
          <t xml:space="preserve">
- HS 2,34 từ 01/5/2021
- HS 2,67 từ 01/5/2023 (NL trước hạn)</t>
        </r>
      </text>
    </comment>
    <comment ref="Q105" authorId="3" shapeId="0">
      <text>
        <r>
          <rPr>
            <b/>
            <sz val="9"/>
            <color indexed="81"/>
            <rFont val="Tahoma"/>
            <family val="2"/>
          </rPr>
          <t>Windows User:</t>
        </r>
        <r>
          <rPr>
            <sz val="9"/>
            <color indexed="81"/>
            <rFont val="Tahoma"/>
            <family val="2"/>
          </rPr>
          <t xml:space="preserve">
- BN Trưởng khoa DL-KS từ 01/12/2023</t>
        </r>
      </text>
    </comment>
    <comment ref="F106" authorId="7" shapeId="0">
      <text>
        <r>
          <rPr>
            <b/>
            <sz val="9"/>
            <color indexed="81"/>
            <rFont val="Tahoma"/>
            <family val="2"/>
          </rPr>
          <t>huynh-panda:</t>
        </r>
        <r>
          <rPr>
            <sz val="9"/>
            <color indexed="81"/>
            <rFont val="Tahoma"/>
            <family val="2"/>
          </rPr>
          <t xml:space="preserve">
- HS 2,34 từ 01/05/2022</t>
        </r>
      </text>
    </comment>
    <comment ref="J106" authorId="7" shapeId="0">
      <text>
        <r>
          <rPr>
            <b/>
            <sz val="9"/>
            <color indexed="81"/>
            <rFont val="Tahoma"/>
            <family val="2"/>
          </rPr>
          <t>huynh-panda:</t>
        </r>
        <r>
          <rPr>
            <sz val="9"/>
            <color indexed="81"/>
            <rFont val="Tahoma"/>
            <family val="2"/>
          </rPr>
          <t xml:space="preserve">
- HS 2,34 từ 01/05/2022</t>
        </r>
      </text>
    </comment>
    <comment ref="N106" authorId="7" shapeId="0">
      <text>
        <r>
          <rPr>
            <b/>
            <sz val="9"/>
            <color indexed="81"/>
            <rFont val="Tahoma"/>
            <family val="2"/>
          </rPr>
          <t>huynh-panda:</t>
        </r>
        <r>
          <rPr>
            <sz val="9"/>
            <color indexed="81"/>
            <rFont val="Tahoma"/>
            <family val="2"/>
          </rPr>
          <t xml:space="preserve">
- HS 2,34 từ 01/05/2022</t>
        </r>
      </text>
    </comment>
    <comment ref="F107" authorId="7" shapeId="0">
      <text>
        <r>
          <rPr>
            <b/>
            <sz val="9"/>
            <color indexed="81"/>
            <rFont val="Tahoma"/>
            <family val="2"/>
          </rPr>
          <t>huynh-panda:</t>
        </r>
        <r>
          <rPr>
            <sz val="9"/>
            <color indexed="81"/>
            <rFont val="Tahoma"/>
            <family val="2"/>
          </rPr>
          <t xml:space="preserve">
- TD từ 01/7/2022 (HS 1,989)
- HS 2,34 từ 01/7/2023</t>
        </r>
      </text>
    </comment>
    <comment ref="J107" authorId="7" shapeId="0">
      <text>
        <r>
          <rPr>
            <b/>
            <sz val="9"/>
            <color indexed="81"/>
            <rFont val="Tahoma"/>
            <family val="2"/>
          </rPr>
          <t>huynh-panda:</t>
        </r>
        <r>
          <rPr>
            <sz val="9"/>
            <color indexed="81"/>
            <rFont val="Tahoma"/>
            <family val="2"/>
          </rPr>
          <t xml:space="preserve">
- TD từ 01/7/2022 (HS 1,989)
- HS 2,34 từ 01/7/2023</t>
        </r>
      </text>
    </comment>
    <comment ref="N107" authorId="7" shapeId="0">
      <text>
        <r>
          <rPr>
            <b/>
            <sz val="9"/>
            <color indexed="81"/>
            <rFont val="Tahoma"/>
            <family val="2"/>
          </rPr>
          <t>huynh-panda:</t>
        </r>
        <r>
          <rPr>
            <sz val="9"/>
            <color indexed="81"/>
            <rFont val="Tahoma"/>
            <family val="2"/>
          </rPr>
          <t xml:space="preserve">
- TD từ 01/7/2022 (HS 1,989)
- HS 2,34 từ 01/7/2023</t>
        </r>
      </text>
    </comment>
    <comment ref="F108" authorId="7" shapeId="0">
      <text>
        <r>
          <rPr>
            <b/>
            <sz val="9"/>
            <color indexed="81"/>
            <rFont val="Tahoma"/>
            <family val="2"/>
          </rPr>
          <t>huynh-panda:</t>
        </r>
        <r>
          <rPr>
            <sz val="9"/>
            <color indexed="81"/>
            <rFont val="Tahoma"/>
            <family val="2"/>
          </rPr>
          <t xml:space="preserve">
- TD từ 01/7/2022 (HS 1,989)
- HS 3,33 từ 01/3/2022
</t>
        </r>
      </text>
    </comment>
    <comment ref="J108" authorId="7" shapeId="0">
      <text>
        <r>
          <rPr>
            <b/>
            <sz val="9"/>
            <color indexed="81"/>
            <rFont val="Tahoma"/>
            <family val="2"/>
          </rPr>
          <t>huynh-panda:</t>
        </r>
        <r>
          <rPr>
            <sz val="9"/>
            <color indexed="81"/>
            <rFont val="Tahoma"/>
            <family val="2"/>
          </rPr>
          <t xml:space="preserve">
- TD từ 01/7/2022 (HS 1,989)
- HS 3,33 từ 01/3/2022
</t>
        </r>
      </text>
    </comment>
    <comment ref="N108" authorId="7" shapeId="0">
      <text>
        <r>
          <rPr>
            <b/>
            <sz val="9"/>
            <color indexed="81"/>
            <rFont val="Tahoma"/>
            <family val="2"/>
          </rPr>
          <t>huynh-panda:</t>
        </r>
        <r>
          <rPr>
            <sz val="9"/>
            <color indexed="81"/>
            <rFont val="Tahoma"/>
            <family val="2"/>
          </rPr>
          <t xml:space="preserve">
- TD từ 01/7/2022 (HS 1,989)
- HS 3,33 từ 01/3/2022
</t>
        </r>
      </text>
    </comment>
    <comment ref="B109"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text>
        <r>
          <rPr>
            <b/>
            <sz val="9"/>
            <color indexed="81"/>
            <rFont val="Tahoma"/>
            <family val="2"/>
          </rPr>
          <t>Windows User:</t>
        </r>
        <r>
          <rPr>
            <sz val="9"/>
            <color indexed="81"/>
            <rFont val="Tahoma"/>
            <family val="2"/>
          </rPr>
          <t xml:space="preserve">
- HS 2,67 từ 01/10/2022
- HS 3,00 từ 01/11/2022</t>
        </r>
      </text>
    </comment>
    <comment ref="J110" authorId="3" shapeId="0">
      <text>
        <r>
          <rPr>
            <b/>
            <sz val="9"/>
            <color indexed="81"/>
            <rFont val="Tahoma"/>
            <family val="2"/>
          </rPr>
          <t>Windows User:</t>
        </r>
        <r>
          <rPr>
            <sz val="9"/>
            <color indexed="81"/>
            <rFont val="Tahoma"/>
            <family val="2"/>
          </rPr>
          <t xml:space="preserve">
- HS 2,67 từ 01/10/2022
- HS 3,00 từ 01/11/2022</t>
        </r>
      </text>
    </comment>
    <comment ref="N110" authorId="3" shapeId="0">
      <text>
        <r>
          <rPr>
            <b/>
            <sz val="9"/>
            <color indexed="81"/>
            <rFont val="Tahoma"/>
            <family val="2"/>
          </rPr>
          <t>Windows User:</t>
        </r>
        <r>
          <rPr>
            <sz val="9"/>
            <color indexed="81"/>
            <rFont val="Tahoma"/>
            <family val="2"/>
          </rPr>
          <t xml:space="preserve">
- HS 2,67 từ 01/10/2022
- HS 3,00 từ 01/11/2022</t>
        </r>
      </text>
    </comment>
    <comment ref="B111" authorId="3" shapeId="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text>
        <r>
          <rPr>
            <b/>
            <sz val="9"/>
            <color indexed="81"/>
            <rFont val="Tahoma"/>
            <family val="2"/>
          </rPr>
          <t>Admin:</t>
        </r>
        <r>
          <rPr>
            <sz val="9"/>
            <color indexed="81"/>
            <rFont val="Tahoma"/>
            <family val="2"/>
          </rPr>
          <t xml:space="preserve">
- HS 3,00 từ 01/9/2016
- HS 3,33 từ 01/9/2019
- HS 3,66 từ 01/9/2022</t>
        </r>
      </text>
    </comment>
    <comment ref="J113" authorId="1" shapeId="0">
      <text>
        <r>
          <rPr>
            <b/>
            <sz val="9"/>
            <color indexed="81"/>
            <rFont val="Tahoma"/>
            <family val="2"/>
          </rPr>
          <t>Admin:</t>
        </r>
        <r>
          <rPr>
            <sz val="9"/>
            <color indexed="81"/>
            <rFont val="Tahoma"/>
            <family val="2"/>
          </rPr>
          <t xml:space="preserve">
- HS 3,00 từ 01/9/2016
- HS 3,33 từ 01/9/2019
- HS 3,66 từ 01/9/2022</t>
        </r>
      </text>
    </comment>
    <comment ref="N113" authorId="1" shapeId="0">
      <text>
        <r>
          <rPr>
            <b/>
            <sz val="9"/>
            <color indexed="81"/>
            <rFont val="Tahoma"/>
            <family val="2"/>
          </rPr>
          <t>Admin:</t>
        </r>
        <r>
          <rPr>
            <sz val="9"/>
            <color indexed="81"/>
            <rFont val="Tahoma"/>
            <family val="2"/>
          </rPr>
          <t xml:space="preserve">
- HS 3,00 từ 01/9/2016
- HS 3,33 từ 01/9/2019
- HS 3,66 từ 01/9/2022</t>
        </r>
      </text>
    </comment>
    <comment ref="F114" authorId="1" shapeId="0">
      <text>
        <r>
          <rPr>
            <b/>
            <sz val="9"/>
            <color indexed="81"/>
            <rFont val="Tahoma"/>
            <family val="2"/>
          </rPr>
          <t>Admin:</t>
        </r>
        <r>
          <rPr>
            <sz val="9"/>
            <color indexed="81"/>
            <rFont val="Tahoma"/>
            <family val="2"/>
          </rPr>
          <t xml:space="preserve">
- HS 2,67 từ 01/9/2016
- HS 3,00 từ 01/9/2019
- HS 3,33 từ 01/9/2022</t>
        </r>
      </text>
    </comment>
    <comment ref="I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text>
        <r>
          <rPr>
            <b/>
            <sz val="9"/>
            <color indexed="81"/>
            <rFont val="Tahoma"/>
            <family val="2"/>
          </rPr>
          <t>Admin:</t>
        </r>
        <r>
          <rPr>
            <sz val="9"/>
            <color indexed="81"/>
            <rFont val="Tahoma"/>
            <family val="2"/>
          </rPr>
          <t xml:space="preserve">
- HS 2,67 từ 01/9/2016
- HS 3,00 từ 01/9/2019
- HS 3,33 từ 01/9/2022</t>
        </r>
      </text>
    </comment>
    <comment ref="M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text>
        <r>
          <rPr>
            <b/>
            <sz val="9"/>
            <color indexed="81"/>
            <rFont val="Tahoma"/>
            <family val="2"/>
          </rPr>
          <t>Admin:</t>
        </r>
        <r>
          <rPr>
            <sz val="9"/>
            <color indexed="81"/>
            <rFont val="Tahoma"/>
            <family val="2"/>
          </rPr>
          <t xml:space="preserve">
- HS 2,67 từ 01/9/2016
- HS 3,00 từ 01/9/2019
- HS 3,33 từ 01/9/2022</t>
        </r>
      </text>
    </comment>
    <comment ref="Q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text>
        <r>
          <rPr>
            <b/>
            <sz val="9"/>
            <color indexed="81"/>
            <rFont val="Tahoma"/>
            <family val="2"/>
          </rPr>
          <t>Admin:</t>
        </r>
        <r>
          <rPr>
            <sz val="9"/>
            <color indexed="81"/>
            <rFont val="Tahoma"/>
            <family val="2"/>
          </rPr>
          <t xml:space="preserve">
- HS 2,67 từ 01/9/2016
- HS 3,00 từ 01/9/2019
- HS 3,33 từ 01/9/2022</t>
        </r>
      </text>
    </comment>
    <comment ref="J115" authorId="1" shapeId="0">
      <text>
        <r>
          <rPr>
            <b/>
            <sz val="9"/>
            <color indexed="81"/>
            <rFont val="Tahoma"/>
            <family val="2"/>
          </rPr>
          <t>Admin:</t>
        </r>
        <r>
          <rPr>
            <sz val="9"/>
            <color indexed="81"/>
            <rFont val="Tahoma"/>
            <family val="2"/>
          </rPr>
          <t xml:space="preserve">
- HS 2,67 từ 01/9/2016
- HS 3,00 từ 01/9/2019
- HS 3,33 từ 01/9/2022</t>
        </r>
      </text>
    </comment>
    <comment ref="N115" authorId="1" shapeId="0">
      <text>
        <r>
          <rPr>
            <b/>
            <sz val="9"/>
            <color indexed="81"/>
            <rFont val="Tahoma"/>
            <family val="2"/>
          </rPr>
          <t>Admin:</t>
        </r>
        <r>
          <rPr>
            <sz val="9"/>
            <color indexed="81"/>
            <rFont val="Tahoma"/>
            <family val="2"/>
          </rPr>
          <t xml:space="preserve">
- HS 2,67 từ 01/9/2016
- HS 3,00 từ 01/9/2019
- HS 3,33 từ 01/9/2022</t>
        </r>
      </text>
    </comment>
    <comment ref="F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text>
        <r>
          <rPr>
            <sz val="9"/>
            <color indexed="81"/>
            <rFont val="Tahoma"/>
            <family val="2"/>
          </rPr>
          <t>- HS 2,67 từ 01/12/2017
- HS 3,00 từ 01/12/2020
- HS 3,33 từ 01/12/2022 (NL trước hạn)</t>
        </r>
      </text>
    </comment>
    <comment ref="J117" authorId="8" shapeId="0">
      <text>
        <r>
          <rPr>
            <sz val="9"/>
            <color indexed="81"/>
            <rFont val="Tahoma"/>
            <family val="2"/>
          </rPr>
          <t>- HS 2,67 từ 01/12/2017
- HS 3,00 từ 01/12/2020
- HS 3,33 từ 01/12/2022 (NL trước hạn)</t>
        </r>
      </text>
    </comment>
    <comment ref="N117" authorId="8" shapeId="0">
      <text>
        <r>
          <rPr>
            <sz val="9"/>
            <color indexed="81"/>
            <rFont val="Tahoma"/>
            <family val="2"/>
          </rPr>
          <t>- HS 2,67 từ 01/12/2017
- HS 3,00 từ 01/12/2020
- HS 3,33 từ 01/12/2022 (NL trước hạn)</t>
        </r>
      </text>
    </comment>
    <comment ref="F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text>
        <r>
          <rPr>
            <b/>
            <sz val="9"/>
            <color indexed="81"/>
            <rFont val="Tahoma"/>
            <family val="2"/>
          </rPr>
          <t>Windows User:</t>
        </r>
        <r>
          <rPr>
            <sz val="9"/>
            <color indexed="81"/>
            <rFont val="Tahoma"/>
            <family val="2"/>
          </rPr>
          <t xml:space="preserve">
- VK 5% từ 01/11/2023</t>
        </r>
      </text>
    </comment>
    <comment ref="J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text>
        <r>
          <rPr>
            <b/>
            <sz val="9"/>
            <color indexed="81"/>
            <rFont val="Tahoma"/>
            <family val="2"/>
          </rPr>
          <t>Windows User:</t>
        </r>
        <r>
          <rPr>
            <sz val="9"/>
            <color indexed="81"/>
            <rFont val="Tahoma"/>
            <family val="2"/>
          </rPr>
          <t xml:space="preserve">
- VK 5% từ 01/11/2023</t>
        </r>
      </text>
    </comment>
    <comment ref="N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text>
        <r>
          <rPr>
            <b/>
            <sz val="9"/>
            <color indexed="81"/>
            <rFont val="Tahoma"/>
            <family val="2"/>
          </rPr>
          <t>Windows User:</t>
        </r>
        <r>
          <rPr>
            <sz val="9"/>
            <color indexed="81"/>
            <rFont val="Tahoma"/>
            <family val="2"/>
          </rPr>
          <t xml:space="preserve">
- VK 5% từ 01/11/2023</t>
        </r>
      </text>
    </comment>
    <comment ref="F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text>
        <r>
          <rPr>
            <b/>
            <sz val="9"/>
            <color indexed="81"/>
            <rFont val="Tahoma"/>
            <family val="2"/>
          </rPr>
          <t>user:</t>
        </r>
        <r>
          <rPr>
            <sz val="9"/>
            <color indexed="81"/>
            <rFont val="Tahoma"/>
            <family val="2"/>
          </rPr>
          <t xml:space="preserve">
- HS 2,67 từ 01/10/2019
- HS 3,00 từ 01/10/2022</t>
        </r>
      </text>
    </comment>
    <comment ref="J120" authorId="2" shapeId="0">
      <text>
        <r>
          <rPr>
            <b/>
            <sz val="9"/>
            <color indexed="81"/>
            <rFont val="Tahoma"/>
            <family val="2"/>
          </rPr>
          <t>user:</t>
        </r>
        <r>
          <rPr>
            <sz val="9"/>
            <color indexed="81"/>
            <rFont val="Tahoma"/>
            <family val="2"/>
          </rPr>
          <t xml:space="preserve">
- HS 2,67 từ 01/10/2019
- HS 3,00 từ 01/10/2022</t>
        </r>
      </text>
    </comment>
    <comment ref="N120" authorId="2" shapeId="0">
      <text>
        <r>
          <rPr>
            <b/>
            <sz val="9"/>
            <color indexed="81"/>
            <rFont val="Tahoma"/>
            <family val="2"/>
          </rPr>
          <t>user:</t>
        </r>
        <r>
          <rPr>
            <sz val="9"/>
            <color indexed="81"/>
            <rFont val="Tahoma"/>
            <family val="2"/>
          </rPr>
          <t xml:space="preserve">
- HS 2,67 từ 01/10/2019
- HS 3,00 từ 01/10/2022</t>
        </r>
      </text>
    </comment>
    <comment ref="F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text>
        <r>
          <rPr>
            <b/>
            <sz val="9"/>
            <color indexed="81"/>
            <rFont val="Tahoma"/>
            <family val="2"/>
          </rPr>
          <t>user:</t>
        </r>
        <r>
          <rPr>
            <sz val="9"/>
            <color indexed="81"/>
            <rFont val="Tahoma"/>
            <family val="2"/>
          </rPr>
          <t xml:space="preserve">
- Trưởng TT Thư viện từ 01/9/2020</t>
        </r>
      </text>
    </comment>
    <comment ref="J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text>
        <r>
          <rPr>
            <b/>
            <sz val="9"/>
            <color indexed="81"/>
            <rFont val="Tahoma"/>
            <family val="2"/>
          </rPr>
          <t>user:</t>
        </r>
        <r>
          <rPr>
            <sz val="9"/>
            <color indexed="81"/>
            <rFont val="Tahoma"/>
            <family val="2"/>
          </rPr>
          <t xml:space="preserve">
- Trưởng TT Thư viện từ 01/9/2020</t>
        </r>
      </text>
    </comment>
    <comment ref="N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text>
        <r>
          <rPr>
            <b/>
            <sz val="9"/>
            <color indexed="81"/>
            <rFont val="Tahoma"/>
            <family val="2"/>
          </rPr>
          <t>user:</t>
        </r>
        <r>
          <rPr>
            <sz val="9"/>
            <color indexed="81"/>
            <rFont val="Tahoma"/>
            <family val="2"/>
          </rPr>
          <t xml:space="preserve">
- Trưởng TT Thư viện từ 01/9/2020</t>
        </r>
      </text>
    </comment>
    <comment ref="F122" authorId="1" shapeId="0">
      <text>
        <r>
          <rPr>
            <b/>
            <sz val="9"/>
            <color indexed="81"/>
            <rFont val="Tahoma"/>
            <family val="2"/>
          </rPr>
          <t>Admin:</t>
        </r>
        <r>
          <rPr>
            <sz val="9"/>
            <color indexed="81"/>
            <rFont val="Tahoma"/>
            <family val="2"/>
          </rPr>
          <t xml:space="preserve">
- HS 4,65 từ 01/6/2016 (NL Trước hạn năm 2017)</t>
        </r>
      </text>
    </comment>
    <comment ref="G122" authorId="7" shapeId="0">
      <text>
        <r>
          <rPr>
            <b/>
            <sz val="9"/>
            <color indexed="81"/>
            <rFont val="Tahoma"/>
            <family val="2"/>
          </rPr>
          <t>Quynh-panda:</t>
        </r>
        <r>
          <rPr>
            <sz val="9"/>
            <color indexed="81"/>
            <rFont val="Tahoma"/>
            <family val="2"/>
          </rPr>
          <t xml:space="preserve">
- VK 5% từ 01/06/2022
- VK 6% từ 01/06/2023
- VK 7% từ 01/06/2024</t>
        </r>
      </text>
    </comment>
    <comment ref="J122" authorId="1" shapeId="0">
      <text>
        <r>
          <rPr>
            <b/>
            <sz val="9"/>
            <color indexed="81"/>
            <rFont val="Tahoma"/>
            <family val="2"/>
          </rPr>
          <t>Admin:</t>
        </r>
        <r>
          <rPr>
            <sz val="9"/>
            <color indexed="81"/>
            <rFont val="Tahoma"/>
            <family val="2"/>
          </rPr>
          <t xml:space="preserve">
- HS 4,65 từ 01/6/2016 (NL Trước hạn năm 2017)</t>
        </r>
      </text>
    </comment>
    <comment ref="K122" authorId="7" shapeId="0">
      <text>
        <r>
          <rPr>
            <b/>
            <sz val="9"/>
            <color indexed="81"/>
            <rFont val="Tahoma"/>
            <family val="2"/>
          </rPr>
          <t>Quynh-panda:</t>
        </r>
        <r>
          <rPr>
            <sz val="9"/>
            <color indexed="81"/>
            <rFont val="Tahoma"/>
            <family val="2"/>
          </rPr>
          <t xml:space="preserve">
- VK 5% từ 01/06/2022
- VK 6% từ 01/06/2023
- VK 7% từ 01/06/2024</t>
        </r>
      </text>
    </comment>
    <comment ref="N122" authorId="1" shapeId="0">
      <text>
        <r>
          <rPr>
            <b/>
            <sz val="9"/>
            <color indexed="81"/>
            <rFont val="Tahoma"/>
            <family val="2"/>
          </rPr>
          <t>Admin:</t>
        </r>
        <r>
          <rPr>
            <sz val="9"/>
            <color indexed="81"/>
            <rFont val="Tahoma"/>
            <family val="2"/>
          </rPr>
          <t xml:space="preserve">
- HS 4,65 từ 01/6/2016 (NL Trước hạn năm 2017)</t>
        </r>
      </text>
    </comment>
    <comment ref="O122" authorId="7" shapeId="0">
      <text>
        <r>
          <rPr>
            <b/>
            <sz val="9"/>
            <color indexed="81"/>
            <rFont val="Tahoma"/>
            <family val="2"/>
          </rPr>
          <t>Quynh-panda:</t>
        </r>
        <r>
          <rPr>
            <sz val="9"/>
            <color indexed="81"/>
            <rFont val="Tahoma"/>
            <family val="2"/>
          </rPr>
          <t xml:space="preserve">
- VK 5% từ 01/06/2022
- VK 6% từ 01/06/2023
- VK 7% từ 01/06/2024</t>
        </r>
      </text>
    </comment>
    <comment ref="F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text>
        <r>
          <rPr>
            <b/>
            <sz val="9"/>
            <color indexed="81"/>
            <rFont val="Tahoma"/>
            <family val="2"/>
          </rPr>
          <t>User:</t>
        </r>
        <r>
          <rPr>
            <sz val="9"/>
            <color indexed="81"/>
            <rFont val="Tahoma"/>
            <family val="2"/>
          </rPr>
          <t xml:space="preserve">
' HS 3,33 từ 01/9/15
- HS 3,66 từ 01/9/2018
- HS 3,99 từ 01/9/2021</t>
        </r>
      </text>
    </comment>
    <comment ref="J124" authorId="0" shapeId="0">
      <text>
        <r>
          <rPr>
            <b/>
            <sz val="9"/>
            <color indexed="81"/>
            <rFont val="Tahoma"/>
            <family val="2"/>
          </rPr>
          <t>User:</t>
        </r>
        <r>
          <rPr>
            <sz val="9"/>
            <color indexed="81"/>
            <rFont val="Tahoma"/>
            <family val="2"/>
          </rPr>
          <t xml:space="preserve">
' HS 3,33 từ 01/9/15
- HS 3,66 từ 01/9/2018
- HS 3,99 từ 01/9/2021</t>
        </r>
      </text>
    </comment>
    <comment ref="N124"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text>
        <r>
          <rPr>
            <b/>
            <sz val="9"/>
            <color indexed="81"/>
            <rFont val="Tahoma"/>
            <family val="2"/>
          </rPr>
          <t>Admin:</t>
        </r>
        <r>
          <rPr>
            <sz val="9"/>
            <color indexed="81"/>
            <rFont val="Tahoma"/>
            <family val="2"/>
          </rPr>
          <t xml:space="preserve">
- HS 3,00 từ 01/12/2016
- HS 3,33 từ 01/12/2019
- HS 3,66 từ 01/12/2022</t>
        </r>
      </text>
    </comment>
    <comment ref="J125" authorId="1" shapeId="0">
      <text>
        <r>
          <rPr>
            <b/>
            <sz val="9"/>
            <color indexed="81"/>
            <rFont val="Tahoma"/>
            <family val="2"/>
          </rPr>
          <t>Admin:</t>
        </r>
        <r>
          <rPr>
            <sz val="9"/>
            <color indexed="81"/>
            <rFont val="Tahoma"/>
            <family val="2"/>
          </rPr>
          <t xml:space="preserve">
- HS 3,00 từ 01/12/2016
- HS 3,33 từ 01/12/2019
- HS 3,66 từ 01/12/2022</t>
        </r>
      </text>
    </comment>
    <comment ref="N125" authorId="1" shapeId="0">
      <text>
        <r>
          <rPr>
            <b/>
            <sz val="9"/>
            <color indexed="81"/>
            <rFont val="Tahoma"/>
            <family val="2"/>
          </rPr>
          <t>Admin:</t>
        </r>
        <r>
          <rPr>
            <sz val="9"/>
            <color indexed="81"/>
            <rFont val="Tahoma"/>
            <family val="2"/>
          </rPr>
          <t xml:space="preserve">
- HS 3,00 từ 01/12/2016
- HS 3,33 từ 01/12/2019
- HS 3,66 từ 01/12/2022</t>
        </r>
      </text>
    </comment>
    <comment ref="F126" authorId="1" shapeId="0">
      <text>
        <r>
          <rPr>
            <b/>
            <sz val="9"/>
            <color indexed="81"/>
            <rFont val="Tahoma"/>
            <family val="2"/>
          </rPr>
          <t>Admin:</t>
        </r>
        <r>
          <rPr>
            <sz val="9"/>
            <color indexed="81"/>
            <rFont val="Tahoma"/>
            <family val="2"/>
          </rPr>
          <t xml:space="preserve">
- HS 3,99 từ 01/12/2015
- HS 4,32 từ 01/12/2018
- HS 4,65 từ 01/12/2021</t>
        </r>
      </text>
    </comment>
    <comment ref="J126" authorId="1" shapeId="0">
      <text>
        <r>
          <rPr>
            <b/>
            <sz val="9"/>
            <color indexed="81"/>
            <rFont val="Tahoma"/>
            <family val="2"/>
          </rPr>
          <t>Admin:</t>
        </r>
        <r>
          <rPr>
            <sz val="9"/>
            <color indexed="81"/>
            <rFont val="Tahoma"/>
            <family val="2"/>
          </rPr>
          <t xml:space="preserve">
- HS 3,99 từ 01/12/2015
- HS 4,32 từ 01/12/2018
- HS 4,65 từ 01/12/2021</t>
        </r>
      </text>
    </comment>
    <comment ref="N126" authorId="1" shapeId="0">
      <text>
        <r>
          <rPr>
            <b/>
            <sz val="9"/>
            <color indexed="81"/>
            <rFont val="Tahoma"/>
            <family val="2"/>
          </rPr>
          <t>Admin:</t>
        </r>
        <r>
          <rPr>
            <sz val="9"/>
            <color indexed="81"/>
            <rFont val="Tahoma"/>
            <family val="2"/>
          </rPr>
          <t xml:space="preserve">
- HS 3,99 từ 01/12/2015
- HS 4,32 từ 01/12/2018
- HS 4,65 từ 01/12/2021</t>
        </r>
      </text>
    </comment>
    <comment ref="F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text>
        <r>
          <rPr>
            <b/>
            <sz val="9"/>
            <color indexed="81"/>
            <rFont val="Tahoma"/>
            <family val="2"/>
          </rPr>
          <t>User:</t>
        </r>
        <r>
          <rPr>
            <sz val="9"/>
            <color indexed="81"/>
            <rFont val="Tahoma"/>
            <family val="2"/>
          </rPr>
          <t xml:space="preserve">
- HS 4,65 từ 01/9/2015
- HS 4,98 từ 01/9/17 (NL trước hạn)</t>
        </r>
      </text>
    </comment>
    <comment ref="G128" authorId="2" shapeId="0">
      <text>
        <r>
          <rPr>
            <b/>
            <sz val="9"/>
            <color indexed="81"/>
            <rFont val="Tahoma"/>
            <family val="2"/>
          </rPr>
          <t>user:</t>
        </r>
        <r>
          <rPr>
            <sz val="9"/>
            <color indexed="81"/>
            <rFont val="Tahoma"/>
            <family val="2"/>
          </rPr>
          <t xml:space="preserve">
- 5% từ 01/9/2020
- 6% từ 01/9/2021
- 7% từ 01/9/2022
- 8% từ 01/9/2023</t>
        </r>
      </text>
    </comment>
    <comment ref="J128" authorId="0" shapeId="0">
      <text>
        <r>
          <rPr>
            <b/>
            <sz val="9"/>
            <color indexed="81"/>
            <rFont val="Tahoma"/>
            <family val="2"/>
          </rPr>
          <t>User:</t>
        </r>
        <r>
          <rPr>
            <sz val="9"/>
            <color indexed="81"/>
            <rFont val="Tahoma"/>
            <family val="2"/>
          </rPr>
          <t xml:space="preserve">
- HS 4,65 từ 01/9/2015
- HS 4,98 từ 01/9/17 (NL trước hạn)</t>
        </r>
      </text>
    </comment>
    <comment ref="K128" authorId="2" shapeId="0">
      <text>
        <r>
          <rPr>
            <b/>
            <sz val="9"/>
            <color indexed="81"/>
            <rFont val="Tahoma"/>
            <family val="2"/>
          </rPr>
          <t>user:</t>
        </r>
        <r>
          <rPr>
            <sz val="9"/>
            <color indexed="81"/>
            <rFont val="Tahoma"/>
            <family val="2"/>
          </rPr>
          <t xml:space="preserve">
- 5% từ 01/9/2020
- 6% từ 01/9/2021
- 7% từ 01/9/2022
- 8% từ 01/9/2023</t>
        </r>
      </text>
    </comment>
    <comment ref="N128" authorId="0" shapeId="0">
      <text>
        <r>
          <rPr>
            <b/>
            <sz val="9"/>
            <color indexed="81"/>
            <rFont val="Tahoma"/>
            <family val="2"/>
          </rPr>
          <t>User:</t>
        </r>
        <r>
          <rPr>
            <sz val="9"/>
            <color indexed="81"/>
            <rFont val="Tahoma"/>
            <family val="2"/>
          </rPr>
          <t xml:space="preserve">
- HS 4,65 từ 01/9/2015
- HS 4,98 từ 01/9/17 (NL trước hạn)</t>
        </r>
      </text>
    </comment>
    <comment ref="O128"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text>
        <r>
          <rPr>
            <b/>
            <sz val="9"/>
            <color indexed="81"/>
            <rFont val="Tahoma"/>
            <family val="2"/>
          </rPr>
          <t>Admin:</t>
        </r>
        <r>
          <rPr>
            <sz val="9"/>
            <color indexed="81"/>
            <rFont val="Tahoma"/>
            <family val="2"/>
          </rPr>
          <t xml:space="preserve">
- HS 3,00 từ 01/11/2016
- HS 3,33 từ 01/11/2019
- HS 3,66 từ 01/11/2022</t>
        </r>
      </text>
    </comment>
    <comment ref="J130" authorId="1" shapeId="0">
      <text>
        <r>
          <rPr>
            <b/>
            <sz val="9"/>
            <color indexed="81"/>
            <rFont val="Tahoma"/>
            <family val="2"/>
          </rPr>
          <t>Admin:</t>
        </r>
        <r>
          <rPr>
            <sz val="9"/>
            <color indexed="81"/>
            <rFont val="Tahoma"/>
            <family val="2"/>
          </rPr>
          <t xml:space="preserve">
- HS 3,00 từ 01/11/2016
- HS 3,33 từ 01/11/2019
- HS 3,66 từ 01/11/2022</t>
        </r>
      </text>
    </comment>
    <comment ref="N130" authorId="1" shapeId="0">
      <text>
        <r>
          <rPr>
            <b/>
            <sz val="9"/>
            <color indexed="81"/>
            <rFont val="Tahoma"/>
            <family val="2"/>
          </rPr>
          <t>Admin:</t>
        </r>
        <r>
          <rPr>
            <sz val="9"/>
            <color indexed="81"/>
            <rFont val="Tahoma"/>
            <family val="2"/>
          </rPr>
          <t xml:space="preserve">
- HS 3,00 từ 01/11/2016
- HS 3,33 từ 01/11/2019
- HS 3,66 từ 01/11/2022</t>
        </r>
      </text>
    </comment>
    <comment ref="F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text>
        <r>
          <rPr>
            <b/>
            <sz val="9"/>
            <color indexed="81"/>
            <rFont val="Tahoma"/>
            <family val="2"/>
          </rPr>
          <t>Admin:</t>
        </r>
        <r>
          <rPr>
            <sz val="9"/>
            <color indexed="81"/>
            <rFont val="Tahoma"/>
            <family val="2"/>
          </rPr>
          <t xml:space="preserve">
- BN Phó TK từ 01/8/2018</t>
        </r>
      </text>
    </comment>
    <comment ref="J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text>
        <r>
          <rPr>
            <b/>
            <sz val="9"/>
            <color indexed="81"/>
            <rFont val="Tahoma"/>
            <family val="2"/>
          </rPr>
          <t>Admin:</t>
        </r>
        <r>
          <rPr>
            <sz val="9"/>
            <color indexed="81"/>
            <rFont val="Tahoma"/>
            <family val="2"/>
          </rPr>
          <t xml:space="preserve">
- BN Phó TK từ 01/8/2018</t>
        </r>
      </text>
    </comment>
    <comment ref="N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text>
        <r>
          <rPr>
            <b/>
            <sz val="9"/>
            <color indexed="81"/>
            <rFont val="Tahoma"/>
            <family val="2"/>
          </rPr>
          <t>Admin:</t>
        </r>
        <r>
          <rPr>
            <sz val="9"/>
            <color indexed="81"/>
            <rFont val="Tahoma"/>
            <family val="2"/>
          </rPr>
          <t xml:space="preserve">
- BN Phó TK từ 01/8/2018</t>
        </r>
      </text>
    </comment>
    <comment ref="F132" authorId="0" shapeId="0">
      <text>
        <r>
          <rPr>
            <b/>
            <sz val="9"/>
            <color indexed="81"/>
            <rFont val="Tahoma"/>
            <family val="2"/>
          </rPr>
          <t>User:</t>
        </r>
        <r>
          <rPr>
            <sz val="9"/>
            <color indexed="81"/>
            <rFont val="Tahoma"/>
            <family val="2"/>
          </rPr>
          <t xml:space="preserve">
- HS 4,32 từ 01/9/2014
- HS 4,65 từ 01/9/2017
- HS 4,98 từ 01/9/2020</t>
        </r>
      </text>
    </comment>
    <comment ref="G132" authorId="3" shapeId="0">
      <text>
        <r>
          <rPr>
            <b/>
            <sz val="9"/>
            <color indexed="81"/>
            <rFont val="Tahoma"/>
            <family val="2"/>
          </rPr>
          <t>Windows User:</t>
        </r>
        <r>
          <rPr>
            <sz val="9"/>
            <color indexed="81"/>
            <rFont val="Tahoma"/>
            <family val="2"/>
          </rPr>
          <t xml:space="preserve">
- VK 5% từ 01/9/2023</t>
        </r>
      </text>
    </comment>
    <comment ref="J132" authorId="0" shapeId="0">
      <text>
        <r>
          <rPr>
            <b/>
            <sz val="9"/>
            <color indexed="81"/>
            <rFont val="Tahoma"/>
            <family val="2"/>
          </rPr>
          <t>User:</t>
        </r>
        <r>
          <rPr>
            <sz val="9"/>
            <color indexed="81"/>
            <rFont val="Tahoma"/>
            <family val="2"/>
          </rPr>
          <t xml:space="preserve">
- HS 4,32 từ 01/9/2014
- HS 4,65 từ 01/9/2017
- HS 4,98 từ 01/9/2020</t>
        </r>
      </text>
    </comment>
    <comment ref="K132" authorId="3" shapeId="0">
      <text>
        <r>
          <rPr>
            <b/>
            <sz val="9"/>
            <color indexed="81"/>
            <rFont val="Tahoma"/>
            <family val="2"/>
          </rPr>
          <t>Windows User:</t>
        </r>
        <r>
          <rPr>
            <sz val="9"/>
            <color indexed="81"/>
            <rFont val="Tahoma"/>
            <family val="2"/>
          </rPr>
          <t xml:space="preserve">
- VK 5% từ 01/9/2023</t>
        </r>
      </text>
    </comment>
    <comment ref="N132" authorId="0" shapeId="0">
      <text>
        <r>
          <rPr>
            <b/>
            <sz val="9"/>
            <color indexed="81"/>
            <rFont val="Tahoma"/>
            <family val="2"/>
          </rPr>
          <t>User:</t>
        </r>
        <r>
          <rPr>
            <sz val="9"/>
            <color indexed="81"/>
            <rFont val="Tahoma"/>
            <family val="2"/>
          </rPr>
          <t xml:space="preserve">
- HS 4,32 từ 01/9/2014
- HS 4,65 từ 01/9/2017
- HS 4,98 từ 01/9/2020</t>
        </r>
      </text>
    </comment>
    <comment ref="O132" authorId="3" shapeId="0">
      <text>
        <r>
          <rPr>
            <b/>
            <sz val="9"/>
            <color indexed="81"/>
            <rFont val="Tahoma"/>
            <family val="2"/>
          </rPr>
          <t>Windows User:</t>
        </r>
        <r>
          <rPr>
            <sz val="9"/>
            <color indexed="81"/>
            <rFont val="Tahoma"/>
            <family val="2"/>
          </rPr>
          <t xml:space="preserve">
- VK 5% từ 01/9/2023
- VK 6% từ 01/9/2024</t>
        </r>
      </text>
    </comment>
    <comment ref="F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text>
        <r>
          <rPr>
            <b/>
            <sz val="9"/>
            <color indexed="81"/>
            <rFont val="Tahoma"/>
            <family val="2"/>
          </rPr>
          <t>Admin:</t>
        </r>
        <r>
          <rPr>
            <sz val="9"/>
            <color indexed="81"/>
            <rFont val="Tahoma"/>
            <family val="2"/>
          </rPr>
          <t xml:space="preserve">
- HS 3,00 từ 01/9/2016
- HS 3,33 từ 01/3/2020
- HS 3,66 từ 01/03/2023</t>
        </r>
      </text>
    </comment>
    <comment ref="J134" authorId="1" shapeId="0">
      <text>
        <r>
          <rPr>
            <b/>
            <sz val="9"/>
            <color indexed="81"/>
            <rFont val="Tahoma"/>
            <family val="2"/>
          </rPr>
          <t>Admin:</t>
        </r>
        <r>
          <rPr>
            <sz val="9"/>
            <color indexed="81"/>
            <rFont val="Tahoma"/>
            <family val="2"/>
          </rPr>
          <t xml:space="preserve">
- HS 3,00 từ 01/9/2016
- HS 3,33 từ 01/3/2020
- HS 3,66 từ 01/03/2023</t>
        </r>
      </text>
    </comment>
    <comment ref="N134" authorId="1" shapeId="0">
      <text>
        <r>
          <rPr>
            <b/>
            <sz val="9"/>
            <color indexed="81"/>
            <rFont val="Tahoma"/>
            <family val="2"/>
          </rPr>
          <t>Admin:</t>
        </r>
        <r>
          <rPr>
            <sz val="9"/>
            <color indexed="81"/>
            <rFont val="Tahoma"/>
            <family val="2"/>
          </rPr>
          <t xml:space="preserve">
- HS 3,00 từ 01/9/2016
- HS 3,33 từ 01/3/2020
- HS 3,66 từ 01/03/2023</t>
        </r>
      </text>
    </comment>
    <comment ref="F135" authorId="1" shapeId="0">
      <text>
        <r>
          <rPr>
            <b/>
            <sz val="9"/>
            <color indexed="81"/>
            <rFont val="Tahoma"/>
            <family val="2"/>
          </rPr>
          <t>Admin:</t>
        </r>
        <r>
          <rPr>
            <sz val="9"/>
            <color indexed="81"/>
            <rFont val="Tahoma"/>
            <family val="2"/>
          </rPr>
          <t xml:space="preserve">
- HS 2,67 từ 01/9/2017
- HS 3,00 từ 01/9/2020</t>
        </r>
      </text>
    </comment>
    <comment ref="J135" authorId="1" shapeId="0">
      <text>
        <r>
          <rPr>
            <b/>
            <sz val="9"/>
            <color indexed="81"/>
            <rFont val="Tahoma"/>
            <family val="2"/>
          </rPr>
          <t>Admin:</t>
        </r>
        <r>
          <rPr>
            <sz val="9"/>
            <color indexed="81"/>
            <rFont val="Tahoma"/>
            <family val="2"/>
          </rPr>
          <t xml:space="preserve">
- HS 2,67 từ 01/9/2017
- HS 3,00 từ 01/9/2020</t>
        </r>
      </text>
    </comment>
    <comment ref="N135" authorId="1" shapeId="0">
      <text>
        <r>
          <rPr>
            <b/>
            <sz val="9"/>
            <color indexed="81"/>
            <rFont val="Tahoma"/>
            <family val="2"/>
          </rPr>
          <t>Admin:</t>
        </r>
        <r>
          <rPr>
            <sz val="9"/>
            <color indexed="81"/>
            <rFont val="Tahoma"/>
            <family val="2"/>
          </rPr>
          <t xml:space="preserve">
- HS 2,67 từ 01/9/2017
- HS 3,00 từ 01/9/2020</t>
        </r>
      </text>
    </comment>
    <comment ref="F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text>
        <r>
          <rPr>
            <b/>
            <sz val="9"/>
            <color indexed="81"/>
            <rFont val="Tahoma"/>
            <family val="2"/>
          </rPr>
          <t>User:</t>
        </r>
        <r>
          <rPr>
            <sz val="9"/>
            <color indexed="81"/>
            <rFont val="Tahoma"/>
            <family val="2"/>
          </rPr>
          <t xml:space="preserve">
- HS 3,33 từ 01/9/2015
- HS 3,66 từ 01/9/2018
- HS 3,99 từ 01/9/2021</t>
        </r>
      </text>
    </comment>
    <comment ref="I137" authorId="1" shapeId="0">
      <text>
        <r>
          <rPr>
            <b/>
            <sz val="9"/>
            <color indexed="81"/>
            <rFont val="Tahoma"/>
            <family val="2"/>
          </rPr>
          <t>Admin:</t>
        </r>
        <r>
          <rPr>
            <sz val="9"/>
            <color indexed="81"/>
            <rFont val="Tahoma"/>
            <family val="2"/>
          </rPr>
          <t xml:space="preserve">
+ BN Tổ trưởng CM từ 03/5/2017</t>
        </r>
      </text>
    </comment>
    <comment ref="J137" authorId="0" shapeId="0">
      <text>
        <r>
          <rPr>
            <b/>
            <sz val="9"/>
            <color indexed="81"/>
            <rFont val="Tahoma"/>
            <family val="2"/>
          </rPr>
          <t>User:</t>
        </r>
        <r>
          <rPr>
            <sz val="9"/>
            <color indexed="81"/>
            <rFont val="Tahoma"/>
            <family val="2"/>
          </rPr>
          <t xml:space="preserve">
- HS 3,33 từ 01/9/2015
- HS 3,66 từ 01/9/2018
- HS 3,99 từ 01/9/2021</t>
        </r>
      </text>
    </comment>
    <comment ref="M137" authorId="1" shapeId="0">
      <text>
        <r>
          <rPr>
            <b/>
            <sz val="9"/>
            <color indexed="81"/>
            <rFont val="Tahoma"/>
            <family val="2"/>
          </rPr>
          <t>Admin:</t>
        </r>
        <r>
          <rPr>
            <sz val="9"/>
            <color indexed="81"/>
            <rFont val="Tahoma"/>
            <family val="2"/>
          </rPr>
          <t xml:space="preserve">
+ BN Tổ trưởng CM từ 03/5/2017</t>
        </r>
      </text>
    </comment>
    <comment ref="N13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text>
        <r>
          <rPr>
            <b/>
            <sz val="9"/>
            <color indexed="81"/>
            <rFont val="Tahoma"/>
            <family val="2"/>
          </rPr>
          <t>Admin:</t>
        </r>
        <r>
          <rPr>
            <sz val="9"/>
            <color indexed="81"/>
            <rFont val="Tahoma"/>
            <family val="2"/>
          </rPr>
          <t xml:space="preserve">
+ BN Tổ trưởng CM từ 03/5/2017</t>
        </r>
      </text>
    </comment>
    <comment ref="F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text>
        <r>
          <rPr>
            <sz val="9"/>
            <color indexed="81"/>
            <rFont val="Tahoma"/>
            <family val="2"/>
          </rPr>
          <t>- HS 3,33 từ 01/3/2018
- HS 3,66 từ 01/3/2020 (NL trước hạn)
- HS 3,99 từ 01/3/2023</t>
        </r>
      </text>
    </comment>
    <comment ref="J139" authorId="8" shapeId="0">
      <text>
        <r>
          <rPr>
            <sz val="9"/>
            <color indexed="81"/>
            <rFont val="Tahoma"/>
            <family val="2"/>
          </rPr>
          <t>- HS 3,33 từ 01/3/2018
- HS 3,66 từ 01/3/2020 (NL trước hạn)
- HS 3,99 từ 01/3/2023</t>
        </r>
      </text>
    </comment>
    <comment ref="N139" authorId="8" shapeId="0">
      <text>
        <r>
          <rPr>
            <sz val="9"/>
            <color indexed="81"/>
            <rFont val="Tahoma"/>
            <family val="2"/>
          </rPr>
          <t>- HS 3,33 từ 01/3/2018
- HS 3,66 từ 01/3/2020 (NL trước hạn)
- HS 3,99 từ 01/3/2023</t>
        </r>
      </text>
    </comment>
    <comment ref="F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text>
        <r>
          <rPr>
            <b/>
            <sz val="9"/>
            <color indexed="81"/>
            <rFont val="Tahoma"/>
            <family val="2"/>
          </rPr>
          <t>Admin:</t>
        </r>
        <r>
          <rPr>
            <sz val="9"/>
            <color indexed="81"/>
            <rFont val="Tahoma"/>
            <family val="2"/>
          </rPr>
          <t xml:space="preserve">
- HS 3,66 từ 01/9/2016
- HS 3,99 từ 01/9/2019
- HS 4,32 từ 01/9/2022</t>
        </r>
      </text>
    </comment>
    <comment ref="J141" authorId="1" shapeId="0">
      <text>
        <r>
          <rPr>
            <b/>
            <sz val="9"/>
            <color indexed="81"/>
            <rFont val="Tahoma"/>
            <family val="2"/>
          </rPr>
          <t>Admin:</t>
        </r>
        <r>
          <rPr>
            <sz val="9"/>
            <color indexed="81"/>
            <rFont val="Tahoma"/>
            <family val="2"/>
          </rPr>
          <t xml:space="preserve">
- HS 3,66 từ 01/9/2016
- HS 3,99 từ 01/9/2019
- HS 4,32 từ 01/9/2022</t>
        </r>
      </text>
    </comment>
    <comment ref="N141" authorId="1" shapeId="0">
      <text>
        <r>
          <rPr>
            <b/>
            <sz val="9"/>
            <color indexed="81"/>
            <rFont val="Tahoma"/>
            <family val="2"/>
          </rPr>
          <t>Admin:</t>
        </r>
        <r>
          <rPr>
            <sz val="9"/>
            <color indexed="81"/>
            <rFont val="Tahoma"/>
            <family val="2"/>
          </rPr>
          <t xml:space="preserve">
- HS 3,66 từ 01/9/2016
- HS 3,99 từ 01/9/2019
- HS 4,32 từ 01/9/2022</t>
        </r>
      </text>
    </comment>
    <comment ref="F142" authorId="8" shapeId="0">
      <text>
        <r>
          <rPr>
            <sz val="9"/>
            <color indexed="81"/>
            <rFont val="Tahoma"/>
            <family val="2"/>
          </rPr>
          <t xml:space="preserve">- HS 3,99 từ 01/12/2017
- HS 4,32 từ 01/12/2020
- HS 4,65 từ 01/12/2023
</t>
        </r>
      </text>
    </comment>
    <comment ref="J142" authorId="8" shapeId="0">
      <text>
        <r>
          <rPr>
            <sz val="9"/>
            <color indexed="81"/>
            <rFont val="Tahoma"/>
            <family val="2"/>
          </rPr>
          <t xml:space="preserve">- HS 3,99 từ 01/12/2017
- HS 4,32 từ 01/12/2020
- HS 4,65 từ 01/12/2023
</t>
        </r>
      </text>
    </comment>
    <comment ref="N142" authorId="8" shapeId="0">
      <text>
        <r>
          <rPr>
            <sz val="9"/>
            <color indexed="81"/>
            <rFont val="Tahoma"/>
            <family val="2"/>
          </rPr>
          <t xml:space="preserve">- HS 3,99 từ 01/12/2017
- HS 4,32 từ 01/12/2020
- HS 4,65 từ 01/12/2023
</t>
        </r>
      </text>
    </comment>
    <comment ref="F143" authorId="1" shapeId="0">
      <text>
        <r>
          <rPr>
            <b/>
            <sz val="9"/>
            <color indexed="81"/>
            <rFont val="Tahoma"/>
            <family val="2"/>
          </rPr>
          <t>Admin:</t>
        </r>
        <r>
          <rPr>
            <sz val="9"/>
            <color indexed="81"/>
            <rFont val="Tahoma"/>
            <family val="2"/>
          </rPr>
          <t xml:space="preserve">
- HS 3,99 từ 01/9/2017
- HS 4,32 từ 01/9/2019
- HS 4,65 từ 01/9/2022</t>
        </r>
      </text>
    </comment>
    <comment ref="I143" authorId="2" shapeId="0">
      <text>
        <r>
          <rPr>
            <b/>
            <sz val="9"/>
            <color indexed="81"/>
            <rFont val="Tahoma"/>
            <family val="2"/>
          </rPr>
          <t>user:</t>
        </r>
        <r>
          <rPr>
            <sz val="9"/>
            <color indexed="81"/>
            <rFont val="Tahoma"/>
            <family val="2"/>
          </rPr>
          <t xml:space="preserve">
- Trưởng BM Cơ điện tử và tự động hóa từ 01/1/2020</t>
        </r>
      </text>
    </comment>
    <comment ref="J143" authorId="1" shapeId="0">
      <text>
        <r>
          <rPr>
            <b/>
            <sz val="9"/>
            <color indexed="81"/>
            <rFont val="Tahoma"/>
            <family val="2"/>
          </rPr>
          <t>Admin:</t>
        </r>
        <r>
          <rPr>
            <sz val="9"/>
            <color indexed="81"/>
            <rFont val="Tahoma"/>
            <family val="2"/>
          </rPr>
          <t xml:space="preserve">
- HS 3,99 từ 01/9/2017
- HS 4,32 từ 01/9/2019
- HS 4,65 từ 01/9/2022</t>
        </r>
      </text>
    </comment>
    <comment ref="M143" authorId="2" shapeId="0">
      <text>
        <r>
          <rPr>
            <b/>
            <sz val="9"/>
            <color indexed="81"/>
            <rFont val="Tahoma"/>
            <family val="2"/>
          </rPr>
          <t>user:</t>
        </r>
        <r>
          <rPr>
            <sz val="9"/>
            <color indexed="81"/>
            <rFont val="Tahoma"/>
            <family val="2"/>
          </rPr>
          <t xml:space="preserve">
- Trưởng BM Cơ điện tử và tự động hóa từ 01/1/2020</t>
        </r>
      </text>
    </comment>
    <comment ref="N143" authorId="1" shapeId="0">
      <text>
        <r>
          <rPr>
            <b/>
            <sz val="9"/>
            <color indexed="81"/>
            <rFont val="Tahoma"/>
            <family val="2"/>
          </rPr>
          <t>Admin:</t>
        </r>
        <r>
          <rPr>
            <sz val="9"/>
            <color indexed="81"/>
            <rFont val="Tahoma"/>
            <family val="2"/>
          </rPr>
          <t xml:space="preserve">
- HS 3,99 từ 01/9/2017
- HS 4,32 từ 01/9/2019
- HS 4,65 từ 01/9/2022</t>
        </r>
      </text>
    </comment>
    <comment ref="Q143" authorId="2" shapeId="0">
      <text>
        <r>
          <rPr>
            <b/>
            <sz val="9"/>
            <color indexed="81"/>
            <rFont val="Tahoma"/>
            <family val="2"/>
          </rPr>
          <t>user:</t>
        </r>
        <r>
          <rPr>
            <sz val="9"/>
            <color indexed="81"/>
            <rFont val="Tahoma"/>
            <family val="2"/>
          </rPr>
          <t xml:space="preserve">
- Trưởng BM Cơ điện tử và tự động hóa từ 01/1/2020</t>
        </r>
      </text>
    </comment>
    <comment ref="F144" authorId="1" shapeId="0">
      <text>
        <r>
          <rPr>
            <b/>
            <sz val="9"/>
            <color indexed="81"/>
            <rFont val="Tahoma"/>
            <family val="2"/>
          </rPr>
          <t>Admin:</t>
        </r>
        <r>
          <rPr>
            <sz val="9"/>
            <color indexed="81"/>
            <rFont val="Tahoma"/>
            <family val="2"/>
          </rPr>
          <t xml:space="preserve">
- HS 3,99 từ 01/9/2017
- HS 4,32 từ 01/9/2020
- HS 4,65 từ 01/9/2023</t>
        </r>
      </text>
    </comment>
    <comment ref="J144" authorId="1" shapeId="0">
      <text>
        <r>
          <rPr>
            <b/>
            <sz val="9"/>
            <color indexed="81"/>
            <rFont val="Tahoma"/>
            <family val="2"/>
          </rPr>
          <t>Admin:</t>
        </r>
        <r>
          <rPr>
            <sz val="9"/>
            <color indexed="81"/>
            <rFont val="Tahoma"/>
            <family val="2"/>
          </rPr>
          <t xml:space="preserve">
- HS 3,99 từ 01/9/2017
- HS 4,32 từ 01/9/2020
- HS 4,65 từ 01/9/2023</t>
        </r>
      </text>
    </comment>
    <comment ref="N144" authorId="1" shapeId="0">
      <text>
        <r>
          <rPr>
            <b/>
            <sz val="9"/>
            <color indexed="81"/>
            <rFont val="Tahoma"/>
            <family val="2"/>
          </rPr>
          <t>Admin:</t>
        </r>
        <r>
          <rPr>
            <sz val="9"/>
            <color indexed="81"/>
            <rFont val="Tahoma"/>
            <family val="2"/>
          </rPr>
          <t xml:space="preserve">
- HS 3,99 từ 01/9/2017
- HS 4,32 từ 01/9/2020
- HS 4,65 từ 01/9/2023</t>
        </r>
      </text>
    </comment>
    <comment ref="F145" authorId="1" shapeId="0">
      <text>
        <r>
          <rPr>
            <b/>
            <sz val="9"/>
            <color indexed="81"/>
            <rFont val="Tahoma"/>
            <family val="2"/>
          </rPr>
          <t>Admin:</t>
        </r>
        <r>
          <rPr>
            <sz val="9"/>
            <color indexed="81"/>
            <rFont val="Tahoma"/>
            <family val="2"/>
          </rPr>
          <t xml:space="preserve">
- HS 3,33 từ 01/9/2017
- HS 3,66 từ 01/9/2020
- HS 3,99 từ 01/9/2023</t>
        </r>
      </text>
    </comment>
    <comment ref="J145" authorId="1" shapeId="0">
      <text>
        <r>
          <rPr>
            <b/>
            <sz val="9"/>
            <color indexed="81"/>
            <rFont val="Tahoma"/>
            <family val="2"/>
          </rPr>
          <t>Admin:</t>
        </r>
        <r>
          <rPr>
            <sz val="9"/>
            <color indexed="81"/>
            <rFont val="Tahoma"/>
            <family val="2"/>
          </rPr>
          <t xml:space="preserve">
- HS 3,33 từ 01/9/2017
- HS 3,66 từ 01/9/2020
- HS 3,99 từ 01/9/2023</t>
        </r>
      </text>
    </comment>
    <comment ref="N145" authorId="1" shapeId="0">
      <text>
        <r>
          <rPr>
            <b/>
            <sz val="9"/>
            <color indexed="81"/>
            <rFont val="Tahoma"/>
            <family val="2"/>
          </rPr>
          <t>Admin:</t>
        </r>
        <r>
          <rPr>
            <sz val="9"/>
            <color indexed="81"/>
            <rFont val="Tahoma"/>
            <family val="2"/>
          </rPr>
          <t xml:space="preserve">
- HS 3,33 từ 01/9/2017
- HS 3,66 từ 01/9/2020
- HS 3,99 từ 01/9/2023</t>
        </r>
      </text>
    </comment>
    <comment ref="F146" authorId="1" shapeId="0">
      <text>
        <r>
          <rPr>
            <b/>
            <sz val="9"/>
            <color indexed="81"/>
            <rFont val="Tahoma"/>
            <family val="2"/>
          </rPr>
          <t>Admin:</t>
        </r>
        <r>
          <rPr>
            <sz val="9"/>
            <color indexed="81"/>
            <rFont val="Tahoma"/>
            <family val="2"/>
          </rPr>
          <t xml:space="preserve">
- HS 4,32 từ 01/9/2016
- HS 4,65 từ 01/9/2019
- HS 4,98 từ 01/9/2022</t>
        </r>
      </text>
    </comment>
    <comment ref="J146" authorId="1" shapeId="0">
      <text>
        <r>
          <rPr>
            <b/>
            <sz val="9"/>
            <color indexed="81"/>
            <rFont val="Tahoma"/>
            <family val="2"/>
          </rPr>
          <t>Admin:</t>
        </r>
        <r>
          <rPr>
            <sz val="9"/>
            <color indexed="81"/>
            <rFont val="Tahoma"/>
            <family val="2"/>
          </rPr>
          <t xml:space="preserve">
- HS 4,32 từ 01/9/2016
- HS 4,65 từ 01/9/2019
- HS 4,98 từ 01/9/2022</t>
        </r>
      </text>
    </comment>
    <comment ref="N146" authorId="1" shapeId="0">
      <text>
        <r>
          <rPr>
            <b/>
            <sz val="9"/>
            <color indexed="81"/>
            <rFont val="Tahoma"/>
            <family val="2"/>
          </rPr>
          <t>Admin:</t>
        </r>
        <r>
          <rPr>
            <sz val="9"/>
            <color indexed="81"/>
            <rFont val="Tahoma"/>
            <family val="2"/>
          </rPr>
          <t xml:space="preserve">
- HS 4,32 từ 01/9/2016
- HS 4,65 từ 01/9/2019
- HS 4,98 từ 01/9/2022</t>
        </r>
      </text>
    </comment>
    <comment ref="F147" authorId="1" shapeId="0">
      <text>
        <r>
          <rPr>
            <b/>
            <sz val="9"/>
            <color indexed="81"/>
            <rFont val="Tahoma"/>
            <family val="2"/>
          </rPr>
          <t>Admin:</t>
        </r>
        <r>
          <rPr>
            <sz val="9"/>
            <color indexed="81"/>
            <rFont val="Tahoma"/>
            <family val="2"/>
          </rPr>
          <t xml:space="preserve">
- HS 3,33 từ 01/9/2017
- HS 3,66 từ 01/9/2020
- HS 3,99 từ 01/9/2023</t>
        </r>
      </text>
    </comment>
    <comment ref="I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text>
        <r>
          <rPr>
            <b/>
            <sz val="9"/>
            <color indexed="81"/>
            <rFont val="Tahoma"/>
            <family val="2"/>
          </rPr>
          <t>Admin:</t>
        </r>
        <r>
          <rPr>
            <sz val="9"/>
            <color indexed="81"/>
            <rFont val="Tahoma"/>
            <family val="2"/>
          </rPr>
          <t xml:space="preserve">
- HS 3,33 từ 01/9/2017
- HS 3,66 từ 01/9/2020
- HS 3,99 từ 01/9/2023</t>
        </r>
      </text>
    </comment>
    <comment ref="M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text>
        <r>
          <rPr>
            <b/>
            <sz val="9"/>
            <color indexed="81"/>
            <rFont val="Tahoma"/>
            <family val="2"/>
          </rPr>
          <t>Admin:</t>
        </r>
        <r>
          <rPr>
            <sz val="9"/>
            <color indexed="81"/>
            <rFont val="Tahoma"/>
            <family val="2"/>
          </rPr>
          <t xml:space="preserve">
- HS 3,33 từ 01/9/2017
- HS 3,66 từ 01/9/2020
- HS 3,99 từ 01/9/2023</t>
        </r>
      </text>
    </comment>
    <comment ref="Q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text>
        <r>
          <rPr>
            <sz val="9"/>
            <color indexed="81"/>
            <rFont val="Tahoma"/>
            <family val="2"/>
          </rPr>
          <t>- HS 3,00 từ 01/01/2018
- HS 3,33 từ 01/01/2023</t>
        </r>
      </text>
    </comment>
    <comment ref="I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text>
        <r>
          <rPr>
            <sz val="9"/>
            <color indexed="81"/>
            <rFont val="Tahoma"/>
            <family val="2"/>
          </rPr>
          <t>- HS 3,00 từ 01/01/2018
- HS 3,33 từ 01/01/2023</t>
        </r>
      </text>
    </comment>
    <comment ref="M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text>
        <r>
          <rPr>
            <sz val="9"/>
            <color indexed="81"/>
            <rFont val="Tahoma"/>
            <family val="2"/>
          </rPr>
          <t>- HS 3,00 từ 01/01/2018
- HS 3,33 từ 01/01/2023</t>
        </r>
      </text>
    </comment>
    <comment ref="Q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text>
        <r>
          <rPr>
            <b/>
            <sz val="9"/>
            <color indexed="81"/>
            <rFont val="Tahoma"/>
            <family val="2"/>
          </rPr>
          <t>Admin:</t>
        </r>
        <r>
          <rPr>
            <sz val="9"/>
            <color indexed="81"/>
            <rFont val="Tahoma"/>
            <family val="2"/>
          </rPr>
          <t xml:space="preserve">
- HS 2,34 từ 01/09/2016
- HS 2,67 từ 01/9/2019
- HS 3,00 từ 0/09/2022</t>
        </r>
      </text>
    </comment>
    <comment ref="J149" authorId="1" shapeId="0">
      <text>
        <r>
          <rPr>
            <b/>
            <sz val="9"/>
            <color indexed="81"/>
            <rFont val="Tahoma"/>
            <family val="2"/>
          </rPr>
          <t>Admin:</t>
        </r>
        <r>
          <rPr>
            <sz val="9"/>
            <color indexed="81"/>
            <rFont val="Tahoma"/>
            <family val="2"/>
          </rPr>
          <t xml:space="preserve">
- HS 2,34 từ 01/09/2016
- HS 2,67 từ 01/9/2019
- HS 3,00 từ 0/09/2022</t>
        </r>
      </text>
    </comment>
    <comment ref="N149" authorId="1" shapeId="0">
      <text>
        <r>
          <rPr>
            <b/>
            <sz val="9"/>
            <color indexed="81"/>
            <rFont val="Tahoma"/>
            <family val="2"/>
          </rPr>
          <t>Admin:</t>
        </r>
        <r>
          <rPr>
            <sz val="9"/>
            <color indexed="81"/>
            <rFont val="Tahoma"/>
            <family val="2"/>
          </rPr>
          <t xml:space="preserve">
- HS 2,34 từ 01/09/2016
- HS 2,67 từ 01/9/2019
- HS 3,00 từ 0/09/2022</t>
        </r>
      </text>
    </comment>
    <comment ref="F150" authorId="2" shapeId="0">
      <text>
        <r>
          <rPr>
            <b/>
            <sz val="9"/>
            <color indexed="81"/>
            <rFont val="Tahoma"/>
            <family val="2"/>
          </rPr>
          <t>user:</t>
        </r>
        <r>
          <rPr>
            <sz val="9"/>
            <color indexed="81"/>
            <rFont val="Tahoma"/>
            <family val="2"/>
          </rPr>
          <t xml:space="preserve">
- Tuyển dụng từ 01/10/2020
- HS 2,34 từ 01/10/2021</t>
        </r>
      </text>
    </comment>
    <comment ref="J150" authorId="2" shapeId="0">
      <text>
        <r>
          <rPr>
            <b/>
            <sz val="9"/>
            <color indexed="81"/>
            <rFont val="Tahoma"/>
            <family val="2"/>
          </rPr>
          <t>user:</t>
        </r>
        <r>
          <rPr>
            <sz val="9"/>
            <color indexed="81"/>
            <rFont val="Tahoma"/>
            <family val="2"/>
          </rPr>
          <t xml:space="preserve">
- Tuyển dụng từ 01/10/2020
- HS 2,34 từ 01/10/2021</t>
        </r>
      </text>
    </comment>
    <comment ref="N150" authorId="2" shapeId="0">
      <text>
        <r>
          <rPr>
            <b/>
            <sz val="9"/>
            <color indexed="81"/>
            <rFont val="Tahoma"/>
            <family val="2"/>
          </rPr>
          <t>user:</t>
        </r>
        <r>
          <rPr>
            <sz val="9"/>
            <color indexed="81"/>
            <rFont val="Tahoma"/>
            <family val="2"/>
          </rPr>
          <t xml:space="preserve">
- Tuyển dụng từ 01/10/2020
- HS 2,34 từ 01/10/2021</t>
        </r>
      </text>
    </comment>
    <comment ref="F151" authorId="1" shapeId="0">
      <text>
        <r>
          <rPr>
            <b/>
            <sz val="9"/>
            <color indexed="81"/>
            <rFont val="Tahoma"/>
            <family val="2"/>
          </rPr>
          <t>Admin:</t>
        </r>
        <r>
          <rPr>
            <sz val="9"/>
            <color indexed="81"/>
            <rFont val="Tahoma"/>
            <family val="2"/>
          </rPr>
          <t xml:space="preserve">
- HS 2,34 từ 01/09/2016
- HS 2,67 từ 01/9/2019
- HS 3,00 từ 01/9/2022</t>
        </r>
      </text>
    </comment>
    <comment ref="J151" authorId="1" shapeId="0">
      <text>
        <r>
          <rPr>
            <b/>
            <sz val="9"/>
            <color indexed="81"/>
            <rFont val="Tahoma"/>
            <family val="2"/>
          </rPr>
          <t>Admin:</t>
        </r>
        <r>
          <rPr>
            <sz val="9"/>
            <color indexed="81"/>
            <rFont val="Tahoma"/>
            <family val="2"/>
          </rPr>
          <t xml:space="preserve">
- HS 2,34 từ 01/09/2016
- HS 2,67 từ 01/9/2019
- HS 3,00 từ 01/9/2022</t>
        </r>
      </text>
    </comment>
    <comment ref="N151" authorId="1" shapeId="0">
      <text>
        <r>
          <rPr>
            <b/>
            <sz val="9"/>
            <color indexed="81"/>
            <rFont val="Tahoma"/>
            <family val="2"/>
          </rPr>
          <t>Admin:</t>
        </r>
        <r>
          <rPr>
            <sz val="9"/>
            <color indexed="81"/>
            <rFont val="Tahoma"/>
            <family val="2"/>
          </rPr>
          <t xml:space="preserve">
- HS 2,34 từ 01/09/2016
- HS 2,67 từ 01/9/2019
- HS 3,00 từ 01/9/2022</t>
        </r>
      </text>
    </comment>
    <comment ref="F152" authorId="2" shapeId="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text>
        <r>
          <rPr>
            <b/>
            <sz val="9"/>
            <color indexed="81"/>
            <rFont val="Tahoma"/>
            <family val="2"/>
          </rPr>
          <t>User:</t>
        </r>
        <r>
          <rPr>
            <sz val="9"/>
            <color indexed="81"/>
            <rFont val="Tahoma"/>
            <family val="2"/>
          </rPr>
          <t xml:space="preserve">
HS 0,35 hưởng từ 01/7/2015
</t>
        </r>
      </text>
    </comment>
    <comment ref="J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text>
        <r>
          <rPr>
            <b/>
            <sz val="9"/>
            <color indexed="81"/>
            <rFont val="Tahoma"/>
            <family val="2"/>
          </rPr>
          <t>User:</t>
        </r>
        <r>
          <rPr>
            <sz val="9"/>
            <color indexed="81"/>
            <rFont val="Tahoma"/>
            <family val="2"/>
          </rPr>
          <t xml:space="preserve">
HS 0,35 hưởng từ 01/7/2015
</t>
        </r>
      </text>
    </comment>
    <comment ref="N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text>
        <r>
          <rPr>
            <b/>
            <sz val="9"/>
            <color indexed="81"/>
            <rFont val="Tahoma"/>
            <family val="2"/>
          </rPr>
          <t>User:</t>
        </r>
        <r>
          <rPr>
            <sz val="9"/>
            <color indexed="81"/>
            <rFont val="Tahoma"/>
            <family val="2"/>
          </rPr>
          <t xml:space="preserve">
HS 0,35 hưởng từ 01/7/2015
</t>
        </r>
      </text>
    </comment>
    <comment ref="F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text>
        <r>
          <rPr>
            <b/>
            <sz val="9"/>
            <color indexed="81"/>
            <rFont val="Tahoma"/>
            <family val="2"/>
          </rPr>
          <t>user:</t>
        </r>
        <r>
          <rPr>
            <sz val="9"/>
            <color indexed="81"/>
            <rFont val="Tahoma"/>
            <family val="2"/>
          </rPr>
          <t xml:space="preserve">
- QĐ BN Trưởng BM GDCT từ 01/4/2021</t>
        </r>
      </text>
    </comment>
    <comment ref="J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text>
        <r>
          <rPr>
            <b/>
            <sz val="9"/>
            <color indexed="81"/>
            <rFont val="Tahoma"/>
            <family val="2"/>
          </rPr>
          <t>user:</t>
        </r>
        <r>
          <rPr>
            <sz val="9"/>
            <color indexed="81"/>
            <rFont val="Tahoma"/>
            <family val="2"/>
          </rPr>
          <t xml:space="preserve">
- QĐ BN Trưởng BM GDCT từ 01/4/2021</t>
        </r>
      </text>
    </comment>
    <comment ref="N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text>
        <r>
          <rPr>
            <b/>
            <sz val="9"/>
            <color indexed="81"/>
            <rFont val="Tahoma"/>
            <family val="2"/>
          </rPr>
          <t>user:</t>
        </r>
        <r>
          <rPr>
            <sz val="9"/>
            <color indexed="81"/>
            <rFont val="Tahoma"/>
            <family val="2"/>
          </rPr>
          <t xml:space="preserve">
- QĐ BN Trưởng BM GDCT từ 01/4/2021</t>
        </r>
      </text>
    </comment>
    <comment ref="F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text>
        <r>
          <rPr>
            <b/>
            <sz val="9"/>
            <color indexed="81"/>
            <rFont val="Tahoma"/>
            <family val="2"/>
          </rPr>
          <t>Admin:</t>
        </r>
        <r>
          <rPr>
            <sz val="9"/>
            <color indexed="81"/>
            <rFont val="Tahoma"/>
            <family val="2"/>
          </rPr>
          <t xml:space="preserve">
- HS 3,99 từ 01/9/2017
- HS 4,32 từ 01/9/2020
- HS 4,65 từ 01/9/2023</t>
        </r>
      </text>
    </comment>
    <comment ref="J161" authorId="1" shapeId="0">
      <text>
        <r>
          <rPr>
            <b/>
            <sz val="9"/>
            <color indexed="81"/>
            <rFont val="Tahoma"/>
            <family val="2"/>
          </rPr>
          <t>Admin:</t>
        </r>
        <r>
          <rPr>
            <sz val="9"/>
            <color indexed="81"/>
            <rFont val="Tahoma"/>
            <family val="2"/>
          </rPr>
          <t xml:space="preserve">
- HS 3,99 từ 01/9/2017
- HS 4,32 từ 01/9/2020
- HS 4,65 từ 01/9/2023</t>
        </r>
      </text>
    </comment>
    <comment ref="N161" authorId="1" shapeId="0">
      <text>
        <r>
          <rPr>
            <b/>
            <sz val="9"/>
            <color indexed="81"/>
            <rFont val="Tahoma"/>
            <family val="2"/>
          </rPr>
          <t>Admin:</t>
        </r>
        <r>
          <rPr>
            <sz val="9"/>
            <color indexed="81"/>
            <rFont val="Tahoma"/>
            <family val="2"/>
          </rPr>
          <t xml:space="preserve">
- HS 3,99 từ 01/9/2017
- HS 4,32 từ 01/9/2020
- HS 4,65 từ 01/9/2023</t>
        </r>
      </text>
    </comment>
    <comment ref="F162" authorId="0" shapeId="0">
      <text>
        <r>
          <rPr>
            <b/>
            <sz val="9"/>
            <color indexed="81"/>
            <rFont val="Tahoma"/>
            <family val="2"/>
          </rPr>
          <t>User:</t>
        </r>
        <r>
          <rPr>
            <sz val="9"/>
            <color indexed="81"/>
            <rFont val="Tahoma"/>
            <family val="2"/>
          </rPr>
          <t xml:space="preserve">
- HS 3,00 từ 01/09/2015
- HS 3,33 từ 01/9/2018
- HS 3,66 từ 01/9/2021</t>
        </r>
      </text>
    </comment>
    <comment ref="J162" authorId="0" shapeId="0">
      <text>
        <r>
          <rPr>
            <b/>
            <sz val="9"/>
            <color indexed="81"/>
            <rFont val="Tahoma"/>
            <family val="2"/>
          </rPr>
          <t>User:</t>
        </r>
        <r>
          <rPr>
            <sz val="9"/>
            <color indexed="81"/>
            <rFont val="Tahoma"/>
            <family val="2"/>
          </rPr>
          <t xml:space="preserve">
- HS 3,00 từ 01/09/2015
- HS 3,33 từ 01/9/2018
- HS 3,66 từ 01/9/2021</t>
        </r>
      </text>
    </comment>
    <comment ref="N162"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3,66 từ 01/9/2015
- HS 3,99 từ 01/9/2018
- HS 4,32 từ 01/9/2021
</t>
        </r>
      </text>
    </comment>
    <comment ref="J163" authorId="0" shapeId="0">
      <text>
        <r>
          <rPr>
            <b/>
            <sz val="9"/>
            <color indexed="81"/>
            <rFont val="Tahoma"/>
            <family val="2"/>
          </rPr>
          <t>User:</t>
        </r>
        <r>
          <rPr>
            <sz val="9"/>
            <color indexed="81"/>
            <rFont val="Tahoma"/>
            <family val="2"/>
          </rPr>
          <t xml:space="preserve">
- HS 3,66 từ 01/9/2015
- HS 3,99 từ 01/9/2018
- HS 4,32 từ 01/9/2021
</t>
        </r>
      </text>
    </comment>
    <comment ref="N16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text>
        <r>
          <rPr>
            <b/>
            <sz val="9"/>
            <color indexed="81"/>
            <rFont val="Tahoma"/>
            <family val="2"/>
          </rPr>
          <t>User:</t>
        </r>
        <r>
          <rPr>
            <sz val="9"/>
            <color indexed="81"/>
            <rFont val="Tahoma"/>
            <family val="2"/>
          </rPr>
          <t xml:space="preserve">
- HS 3,00 từ 01/9/2015
- HS 3,33 từ 01/9/2018
- HS 3,66 từ 01/9/2021</t>
        </r>
      </text>
    </comment>
    <comment ref="J165" authorId="0" shapeId="0">
      <text>
        <r>
          <rPr>
            <b/>
            <sz val="9"/>
            <color indexed="81"/>
            <rFont val="Tahoma"/>
            <family val="2"/>
          </rPr>
          <t>User:</t>
        </r>
        <r>
          <rPr>
            <sz val="9"/>
            <color indexed="81"/>
            <rFont val="Tahoma"/>
            <family val="2"/>
          </rPr>
          <t xml:space="preserve">
- HS 3,00 từ 01/9/2015
- HS 3,33 từ 01/9/2018
- HS 3,66 từ 01/9/2021</t>
        </r>
      </text>
    </comment>
    <comment ref="N16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text>
        <r>
          <rPr>
            <b/>
            <sz val="9"/>
            <color indexed="81"/>
            <rFont val="Tahoma"/>
            <family val="2"/>
          </rPr>
          <t>User:</t>
        </r>
        <r>
          <rPr>
            <sz val="9"/>
            <color indexed="81"/>
            <rFont val="Tahoma"/>
            <family val="2"/>
          </rPr>
          <t xml:space="preserve">
- HS 3,00 từ 1/9/2015
- HS 3,33 từ 01/9/2018
- HS 3,66 từ 01/9/2021</t>
        </r>
      </text>
    </comment>
    <comment ref="J166" authorId="0" shapeId="0">
      <text>
        <r>
          <rPr>
            <b/>
            <sz val="9"/>
            <color indexed="81"/>
            <rFont val="Tahoma"/>
            <family val="2"/>
          </rPr>
          <t>User:</t>
        </r>
        <r>
          <rPr>
            <sz val="9"/>
            <color indexed="81"/>
            <rFont val="Tahoma"/>
            <family val="2"/>
          </rPr>
          <t xml:space="preserve">
- HS 3,00 từ 1/9/2015
- HS 3,33 từ 01/9/2018
- HS 3,66 từ 01/9/2021</t>
        </r>
      </text>
    </comment>
    <comment ref="N166"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text>
        <r>
          <rPr>
            <b/>
            <sz val="9"/>
            <color indexed="81"/>
            <rFont val="Tahoma"/>
            <family val="2"/>
          </rPr>
          <t>Admin:</t>
        </r>
        <r>
          <rPr>
            <sz val="9"/>
            <color indexed="81"/>
            <rFont val="Tahoma"/>
            <family val="2"/>
          </rPr>
          <t xml:space="preserve">
- HS 3,00 từ 01/9/2015
- HS 3,33 từ 01/9/2018
- HS 3,66 từ 01/9/2021</t>
        </r>
      </text>
    </comment>
    <comment ref="J167" authorId="1" shapeId="0">
      <text>
        <r>
          <rPr>
            <b/>
            <sz val="9"/>
            <color indexed="81"/>
            <rFont val="Tahoma"/>
            <family val="2"/>
          </rPr>
          <t>Admin:</t>
        </r>
        <r>
          <rPr>
            <sz val="9"/>
            <color indexed="81"/>
            <rFont val="Tahoma"/>
            <family val="2"/>
          </rPr>
          <t xml:space="preserve">
- HS 3,00 từ 01/9/2015
- HS 3,33 từ 01/9/2018
- HS 3,66 từ 01/9/2021</t>
        </r>
      </text>
    </comment>
    <comment ref="N16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text>
        <r>
          <rPr>
            <b/>
            <sz val="9"/>
            <color indexed="81"/>
            <rFont val="Tahoma"/>
            <family val="2"/>
          </rPr>
          <t>Admin:</t>
        </r>
        <r>
          <rPr>
            <sz val="9"/>
            <color indexed="81"/>
            <rFont val="Tahoma"/>
            <family val="2"/>
          </rPr>
          <t xml:space="preserve">
- HS 3,00 từ 01/03/2017
- HS 3,33 từ 01/03/2020
- HS 3,66 từ 01/03/2023</t>
        </r>
      </text>
    </comment>
    <comment ref="J170" authorId="1" shapeId="0">
      <text>
        <r>
          <rPr>
            <b/>
            <sz val="9"/>
            <color indexed="81"/>
            <rFont val="Tahoma"/>
            <family val="2"/>
          </rPr>
          <t>Admin:</t>
        </r>
        <r>
          <rPr>
            <sz val="9"/>
            <color indexed="81"/>
            <rFont val="Tahoma"/>
            <family val="2"/>
          </rPr>
          <t xml:space="preserve">
- HS 3,00 từ 01/03/2017
- HS 3,33 từ 01/03/2020
- HS 3,66 từ 01/03/2023</t>
        </r>
      </text>
    </comment>
    <comment ref="N170" authorId="1" shapeId="0">
      <text>
        <r>
          <rPr>
            <b/>
            <sz val="9"/>
            <color indexed="81"/>
            <rFont val="Tahoma"/>
            <family val="2"/>
          </rPr>
          <t>Admin:</t>
        </r>
        <r>
          <rPr>
            <sz val="9"/>
            <color indexed="81"/>
            <rFont val="Tahoma"/>
            <family val="2"/>
          </rPr>
          <t xml:space="preserve">
- HS 3,00 từ 01/03/2017
- HS 3,33 từ 01/03/2020
- HS 3,66 từ 01/03/2023</t>
        </r>
      </text>
    </comment>
    <comment ref="F171" authorId="1" shapeId="0">
      <text>
        <r>
          <rPr>
            <b/>
            <sz val="9"/>
            <color indexed="81"/>
            <rFont val="Tahoma"/>
            <family val="2"/>
          </rPr>
          <t>Admin:</t>
        </r>
        <r>
          <rPr>
            <sz val="9"/>
            <color indexed="81"/>
            <rFont val="Tahoma"/>
            <family val="2"/>
          </rPr>
          <t xml:space="preserve">
- HS 2,67 từ 01/9/2017
- HS 3,00 từ 01/9/2020
- HS 3,33 từ 01/9/2023</t>
        </r>
      </text>
    </comment>
    <comment ref="J171" authorId="1" shapeId="0">
      <text>
        <r>
          <rPr>
            <b/>
            <sz val="9"/>
            <color indexed="81"/>
            <rFont val="Tahoma"/>
            <family val="2"/>
          </rPr>
          <t>Admin:</t>
        </r>
        <r>
          <rPr>
            <sz val="9"/>
            <color indexed="81"/>
            <rFont val="Tahoma"/>
            <family val="2"/>
          </rPr>
          <t xml:space="preserve">
- HS 2,67 từ 01/9/2017
- HS 3,00 từ 01/9/2020
- HS 3,33 từ 01/9/2023</t>
        </r>
      </text>
    </comment>
    <comment ref="N171" authorId="1" shapeId="0">
      <text>
        <r>
          <rPr>
            <b/>
            <sz val="9"/>
            <color indexed="81"/>
            <rFont val="Tahoma"/>
            <family val="2"/>
          </rPr>
          <t>Admin:</t>
        </r>
        <r>
          <rPr>
            <sz val="9"/>
            <color indexed="81"/>
            <rFont val="Tahoma"/>
            <family val="2"/>
          </rPr>
          <t xml:space="preserve">
- HS 2,67 từ 01/9/2017
- HS 3,00 từ 01/9/2020
- HS 3,33 từ 01/9/2023</t>
        </r>
      </text>
    </comment>
    <comment ref="F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text>
        <r>
          <rPr>
            <b/>
            <sz val="9"/>
            <color indexed="81"/>
            <rFont val="Tahoma"/>
            <family val="2"/>
          </rPr>
          <t>Admin:</t>
        </r>
        <r>
          <rPr>
            <sz val="9"/>
            <color indexed="81"/>
            <rFont val="Tahoma"/>
            <family val="2"/>
          </rPr>
          <t xml:space="preserve">
- 3,33 từ 01/9/2017
- 3,66 từ 01/9/2020
- 3,99 từ 01/9/2023</t>
        </r>
      </text>
    </comment>
    <comment ref="I173" authorId="0" shapeId="0">
      <text>
        <r>
          <rPr>
            <b/>
            <sz val="9"/>
            <color indexed="81"/>
            <rFont val="Tahoma"/>
            <family val="2"/>
          </rPr>
          <t>User:</t>
        </r>
        <r>
          <rPr>
            <sz val="9"/>
            <color indexed="81"/>
            <rFont val="Tahoma"/>
            <family val="2"/>
          </rPr>
          <t xml:space="preserve">
Miễn nhiệm Trưởng bộ môn từ 01/9/2015</t>
        </r>
      </text>
    </comment>
    <comment ref="J173" authorId="1" shapeId="0">
      <text>
        <r>
          <rPr>
            <b/>
            <sz val="9"/>
            <color indexed="81"/>
            <rFont val="Tahoma"/>
            <family val="2"/>
          </rPr>
          <t>Admin:</t>
        </r>
        <r>
          <rPr>
            <sz val="9"/>
            <color indexed="81"/>
            <rFont val="Tahoma"/>
            <family val="2"/>
          </rPr>
          <t xml:space="preserve">
- 3,33 từ 01/9/2017
- 3,66 từ 01/9/2020
- 3,99 từ 01/9/2023</t>
        </r>
      </text>
    </comment>
    <comment ref="M173" authorId="0" shapeId="0">
      <text>
        <r>
          <rPr>
            <b/>
            <sz val="9"/>
            <color indexed="81"/>
            <rFont val="Tahoma"/>
            <family val="2"/>
          </rPr>
          <t>User:</t>
        </r>
        <r>
          <rPr>
            <sz val="9"/>
            <color indexed="81"/>
            <rFont val="Tahoma"/>
            <family val="2"/>
          </rPr>
          <t xml:space="preserve">
Miễn nhiệm Trưởng bộ môn từ 01/9/2015</t>
        </r>
      </text>
    </comment>
    <comment ref="N173" authorId="1" shapeId="0">
      <text>
        <r>
          <rPr>
            <b/>
            <sz val="9"/>
            <color indexed="81"/>
            <rFont val="Tahoma"/>
            <family val="2"/>
          </rPr>
          <t>Admin:</t>
        </r>
        <r>
          <rPr>
            <sz val="9"/>
            <color indexed="81"/>
            <rFont val="Tahoma"/>
            <family val="2"/>
          </rPr>
          <t xml:space="preserve">
- 3,33 từ 01/9/2017
- 3,66 từ 01/9/2020
- 3,99 từ 01/9/2023</t>
        </r>
      </text>
    </comment>
    <comment ref="Q173" authorId="0" shapeId="0">
      <text>
        <r>
          <rPr>
            <b/>
            <sz val="9"/>
            <color indexed="81"/>
            <rFont val="Tahoma"/>
            <family val="2"/>
          </rPr>
          <t>User:</t>
        </r>
        <r>
          <rPr>
            <sz val="9"/>
            <color indexed="81"/>
            <rFont val="Tahoma"/>
            <family val="2"/>
          </rPr>
          <t xml:space="preserve">
Miễn nhiệm Trưởng bộ môn từ 01/9/2015</t>
        </r>
      </text>
    </comment>
    <comment ref="F174" authorId="1" shapeId="0">
      <text>
        <r>
          <rPr>
            <b/>
            <sz val="9"/>
            <color indexed="81"/>
            <rFont val="Tahoma"/>
            <family val="2"/>
          </rPr>
          <t>Admin:</t>
        </r>
        <r>
          <rPr>
            <sz val="9"/>
            <color indexed="81"/>
            <rFont val="Tahoma"/>
            <family val="2"/>
          </rPr>
          <t xml:space="preserve">
- HS 3,33 từ 01/9/2016
- HS 3,66 từ 01/9/2019
- HS 3,99 từ 01/9/2022</t>
        </r>
      </text>
    </comment>
    <comment ref="I174" authorId="0" shapeId="0">
      <text>
        <r>
          <rPr>
            <b/>
            <sz val="9"/>
            <color indexed="81"/>
            <rFont val="Tahoma"/>
            <family val="2"/>
          </rPr>
          <t>User:</t>
        </r>
        <r>
          <rPr>
            <sz val="9"/>
            <color indexed="81"/>
            <rFont val="Tahoma"/>
            <family val="2"/>
          </rPr>
          <t xml:space="preserve">
Miễn nhiệm Trưởng BM từ 01/9/15
</t>
        </r>
      </text>
    </comment>
    <comment ref="J174" authorId="1" shapeId="0">
      <text>
        <r>
          <rPr>
            <b/>
            <sz val="9"/>
            <color indexed="81"/>
            <rFont val="Tahoma"/>
            <family val="2"/>
          </rPr>
          <t>Admin:</t>
        </r>
        <r>
          <rPr>
            <sz val="9"/>
            <color indexed="81"/>
            <rFont val="Tahoma"/>
            <family val="2"/>
          </rPr>
          <t xml:space="preserve">
- HS 3,33 từ 01/9/2016
- HS 3,66 từ 01/9/2019
- HS 3,99 từ 01/9/2022</t>
        </r>
      </text>
    </comment>
    <comment ref="M174" authorId="0" shapeId="0">
      <text>
        <r>
          <rPr>
            <b/>
            <sz val="9"/>
            <color indexed="81"/>
            <rFont val="Tahoma"/>
            <family val="2"/>
          </rPr>
          <t>User:</t>
        </r>
        <r>
          <rPr>
            <sz val="9"/>
            <color indexed="81"/>
            <rFont val="Tahoma"/>
            <family val="2"/>
          </rPr>
          <t xml:space="preserve">
Miễn nhiệm Trưởng BM từ 01/9/15
</t>
        </r>
      </text>
    </comment>
    <comment ref="N174" authorId="1" shapeId="0">
      <text>
        <r>
          <rPr>
            <b/>
            <sz val="9"/>
            <color indexed="81"/>
            <rFont val="Tahoma"/>
            <family val="2"/>
          </rPr>
          <t>Admin:</t>
        </r>
        <r>
          <rPr>
            <sz val="9"/>
            <color indexed="81"/>
            <rFont val="Tahoma"/>
            <family val="2"/>
          </rPr>
          <t xml:space="preserve">
- HS 3,33 từ 01/9/2016
- HS 3,66 từ 01/9/2019
- HS 3,99 từ 01/9/2022</t>
        </r>
      </text>
    </comment>
    <comment ref="Q174" authorId="0" shapeId="0">
      <text>
        <r>
          <rPr>
            <b/>
            <sz val="9"/>
            <color indexed="81"/>
            <rFont val="Tahoma"/>
            <family val="2"/>
          </rPr>
          <t>User:</t>
        </r>
        <r>
          <rPr>
            <sz val="9"/>
            <color indexed="81"/>
            <rFont val="Tahoma"/>
            <family val="2"/>
          </rPr>
          <t xml:space="preserve">
Miễn nhiệm Trưởng BM từ 01/9/15
</t>
        </r>
      </text>
    </comment>
    <comment ref="F175" authorId="0" shapeId="0">
      <text>
        <r>
          <rPr>
            <b/>
            <sz val="9"/>
            <color indexed="81"/>
            <rFont val="Tahoma"/>
            <family val="2"/>
          </rPr>
          <t>User:</t>
        </r>
        <r>
          <rPr>
            <sz val="9"/>
            <color indexed="81"/>
            <rFont val="Tahoma"/>
            <family val="2"/>
          </rPr>
          <t xml:space="preserve">
- HS 3,00 từ 01/9/2015
- HS 3,33 từ 01/9/2018
- HS 3,66 từ 01/9/2021</t>
        </r>
      </text>
    </comment>
    <comment ref="J175" authorId="0" shapeId="0">
      <text>
        <r>
          <rPr>
            <b/>
            <sz val="9"/>
            <color indexed="81"/>
            <rFont val="Tahoma"/>
            <family val="2"/>
          </rPr>
          <t>User:</t>
        </r>
        <r>
          <rPr>
            <sz val="9"/>
            <color indexed="81"/>
            <rFont val="Tahoma"/>
            <family val="2"/>
          </rPr>
          <t xml:space="preserve">
- HS 3,00 từ 01/9/2015
- HS 3,33 từ 01/9/2018
- HS 3,66 từ 01/9/2021</t>
        </r>
      </text>
    </comment>
    <comment ref="N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text>
        <r>
          <rPr>
            <sz val="9"/>
            <color indexed="81"/>
            <rFont val="Tahoma"/>
            <family val="2"/>
          </rPr>
          <t xml:space="preserve">- HS 3,33 từ 01/12/2017
- HS 3,66 từ 01/12/2020
- HS 3,99 từ 01/12/2023
</t>
        </r>
      </text>
    </comment>
    <comment ref="J177" authorId="8" shapeId="0">
      <text>
        <r>
          <rPr>
            <sz val="9"/>
            <color indexed="81"/>
            <rFont val="Tahoma"/>
            <family val="2"/>
          </rPr>
          <t xml:space="preserve">- HS 3,33 từ 01/12/2017
- HS 3,66 từ 01/12/2020
- HS 3,99 từ 01/12/2023
</t>
        </r>
      </text>
    </comment>
    <comment ref="N177" authorId="8" shapeId="0">
      <text>
        <r>
          <rPr>
            <sz val="9"/>
            <color indexed="81"/>
            <rFont val="Tahoma"/>
            <family val="2"/>
          </rPr>
          <t xml:space="preserve">- HS 3,33 từ 01/12/2017
- HS 3,66 từ 01/12/2020
- HS 3,99 từ 01/12/2023
</t>
        </r>
      </text>
    </comment>
    <comment ref="F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J179" authorId="0" shapeId="0">
      <text>
        <r>
          <rPr>
            <b/>
            <sz val="9"/>
            <color indexed="81"/>
            <rFont val="Tahoma"/>
            <family val="2"/>
          </rPr>
          <t>User:</t>
        </r>
        <r>
          <rPr>
            <sz val="9"/>
            <color indexed="81"/>
            <rFont val="Tahoma"/>
            <family val="2"/>
          </rPr>
          <t xml:space="preserve">
- HS 3,00 từ 01/9/2015
- HS 3,33 từ 01/9/2018
- HS 3,66 từ 01/9/2021</t>
        </r>
      </text>
    </comment>
    <comment ref="N17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text>
        <r>
          <rPr>
            <b/>
            <sz val="9"/>
            <color indexed="81"/>
            <rFont val="Tahoma"/>
            <family val="2"/>
          </rPr>
          <t>User:</t>
        </r>
        <r>
          <rPr>
            <sz val="9"/>
            <color indexed="81"/>
            <rFont val="Tahoma"/>
            <family val="2"/>
          </rPr>
          <t xml:space="preserve">
- HS 3,00 từ 01/9/2015
- HS 3,33 từ 01/9/2018
- HS 3,66 từ 01/9/2021</t>
        </r>
      </text>
    </comment>
    <comment ref="J180" authorId="0" shapeId="0">
      <text>
        <r>
          <rPr>
            <b/>
            <sz val="9"/>
            <color indexed="81"/>
            <rFont val="Tahoma"/>
            <family val="2"/>
          </rPr>
          <t>User:</t>
        </r>
        <r>
          <rPr>
            <sz val="9"/>
            <color indexed="81"/>
            <rFont val="Tahoma"/>
            <family val="2"/>
          </rPr>
          <t xml:space="preserve">
- HS 3,00 từ 01/9/2015
- HS 3,33 từ 01/9/2018
- HS 3,66 từ 01/9/2021</t>
        </r>
      </text>
    </comment>
    <comment ref="N180"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text>
        <r>
          <rPr>
            <b/>
            <sz val="9"/>
            <color indexed="81"/>
            <rFont val="Tahoma"/>
            <family val="2"/>
          </rPr>
          <t>User:</t>
        </r>
        <r>
          <rPr>
            <sz val="9"/>
            <color indexed="81"/>
            <rFont val="Tahoma"/>
            <family val="2"/>
          </rPr>
          <t xml:space="preserve">
- HS 3,00 từ 01/10/2015
- HS 3,33 từ 01/10/2018
- HS 3,66 từ 01/10/2021
</t>
        </r>
      </text>
    </comment>
    <comment ref="J181" authorId="0" shapeId="0">
      <text>
        <r>
          <rPr>
            <b/>
            <sz val="9"/>
            <color indexed="81"/>
            <rFont val="Tahoma"/>
            <family val="2"/>
          </rPr>
          <t>User:</t>
        </r>
        <r>
          <rPr>
            <sz val="9"/>
            <color indexed="81"/>
            <rFont val="Tahoma"/>
            <family val="2"/>
          </rPr>
          <t xml:space="preserve">
- HS 3,00 từ 01/10/2015
- HS 3,33 từ 01/10/2018
- HS 3,66 từ 01/10/2021
</t>
        </r>
      </text>
    </comment>
    <comment ref="N181" authorId="0" shapeId="0">
      <text>
        <r>
          <rPr>
            <b/>
            <sz val="9"/>
            <color indexed="81"/>
            <rFont val="Tahoma"/>
            <family val="2"/>
          </rPr>
          <t>User:</t>
        </r>
        <r>
          <rPr>
            <sz val="9"/>
            <color indexed="81"/>
            <rFont val="Tahoma"/>
            <family val="2"/>
          </rPr>
          <t xml:space="preserve">
- HS 3,00 từ 01/10/2015
- HS 3,33 từ 01/10/2018
- HS 3,66 từ 01/10/2021
</t>
        </r>
      </text>
    </comment>
    <comment ref="F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text>
        <r>
          <rPr>
            <b/>
            <sz val="9"/>
            <color indexed="81"/>
            <rFont val="Tahoma"/>
            <family val="2"/>
          </rPr>
          <t>Quynh:</t>
        </r>
        <r>
          <rPr>
            <sz val="9"/>
            <color indexed="81"/>
            <rFont val="Tahoma"/>
            <family val="2"/>
          </rPr>
          <t xml:space="preserve">
- HS 3,00 từ 01/5/2018
- HS 3,33 từ 01/5/2021
- HS 3,66 từ 01/5/2024</t>
        </r>
      </text>
    </comment>
    <comment ref="J183" authorId="4" shapeId="0">
      <text>
        <r>
          <rPr>
            <b/>
            <sz val="9"/>
            <color indexed="81"/>
            <rFont val="Tahoma"/>
            <family val="2"/>
          </rPr>
          <t>Quynh:</t>
        </r>
        <r>
          <rPr>
            <sz val="9"/>
            <color indexed="81"/>
            <rFont val="Tahoma"/>
            <family val="2"/>
          </rPr>
          <t xml:space="preserve">
- HS 3,00 từ 01/5/2018
- HS 3,33 từ 01/5/2021
- HS 3,66 từ 01/5/2024</t>
        </r>
      </text>
    </comment>
    <comment ref="N183" authorId="4" shapeId="0">
      <text>
        <r>
          <rPr>
            <b/>
            <sz val="9"/>
            <color indexed="81"/>
            <rFont val="Tahoma"/>
            <family val="2"/>
          </rPr>
          <t>Quynh:</t>
        </r>
        <r>
          <rPr>
            <sz val="9"/>
            <color indexed="81"/>
            <rFont val="Tahoma"/>
            <family val="2"/>
          </rPr>
          <t xml:space="preserve">
- HS 3,00 từ 01/5/2018
- HS 3,33 từ 01/5/2021
- HS 3,66 từ 01/5/2024</t>
        </r>
      </text>
    </comment>
    <comment ref="F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text>
        <r>
          <rPr>
            <b/>
            <sz val="9"/>
            <color indexed="81"/>
            <rFont val="Tahoma"/>
            <family val="2"/>
          </rPr>
          <t>huynh-panda:</t>
        </r>
        <r>
          <rPr>
            <sz val="9"/>
            <color indexed="81"/>
            <rFont val="Tahoma"/>
            <family val="2"/>
          </rPr>
          <t xml:space="preserve">
Phụ trách BM Khoa học máy tính từ 06/7/2022</t>
        </r>
      </text>
    </comment>
    <comment ref="J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text>
        <r>
          <rPr>
            <b/>
            <sz val="9"/>
            <color indexed="81"/>
            <rFont val="Tahoma"/>
            <family val="2"/>
          </rPr>
          <t>huynh-panda:</t>
        </r>
        <r>
          <rPr>
            <sz val="9"/>
            <color indexed="81"/>
            <rFont val="Tahoma"/>
            <family val="2"/>
          </rPr>
          <t xml:space="preserve">
Phụ trách BM Khoa học máy tính từ 06/7/2022</t>
        </r>
      </text>
    </comment>
    <comment ref="N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text>
        <r>
          <rPr>
            <b/>
            <sz val="9"/>
            <color indexed="81"/>
            <rFont val="Tahoma"/>
            <family val="2"/>
          </rPr>
          <t>huynh-panda:</t>
        </r>
        <r>
          <rPr>
            <sz val="9"/>
            <color indexed="81"/>
            <rFont val="Tahoma"/>
            <family val="2"/>
          </rPr>
          <t xml:space="preserve">
Phụ trách BM Khoa học máy tính từ 06/7/2022</t>
        </r>
      </text>
    </comment>
    <comment ref="F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text>
        <r>
          <rPr>
            <b/>
            <sz val="9"/>
            <color indexed="81"/>
            <rFont val="Tahoma"/>
            <family val="2"/>
          </rPr>
          <t>User:</t>
        </r>
        <r>
          <rPr>
            <sz val="9"/>
            <color indexed="81"/>
            <rFont val="Tahoma"/>
            <family val="2"/>
          </rPr>
          <t xml:space="preserve">
+ HS 0,45 được bảo lưu đến hết 31/12/2015</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text>
        <r>
          <rPr>
            <b/>
            <sz val="9"/>
            <color indexed="81"/>
            <rFont val="Tahoma"/>
            <family val="2"/>
          </rPr>
          <t>User:</t>
        </r>
        <r>
          <rPr>
            <sz val="9"/>
            <color indexed="81"/>
            <rFont val="Tahoma"/>
            <family val="2"/>
          </rPr>
          <t xml:space="preserve">
+ HS 0,45 được bảo lưu đến hết 31/12/2015</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text>
        <r>
          <rPr>
            <b/>
            <sz val="9"/>
            <color indexed="81"/>
            <rFont val="Tahoma"/>
            <family val="2"/>
          </rPr>
          <t>User:</t>
        </r>
        <r>
          <rPr>
            <sz val="9"/>
            <color indexed="81"/>
            <rFont val="Tahoma"/>
            <family val="2"/>
          </rPr>
          <t xml:space="preserve">
+ HS 0,45 được bảo lưu đến hết 31/12/2015</t>
        </r>
      </text>
    </comment>
    <comment ref="F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text>
        <r>
          <rPr>
            <b/>
            <sz val="9"/>
            <color indexed="81"/>
            <rFont val="Tahoma"/>
            <family val="2"/>
          </rPr>
          <t>huynh-panda:</t>
        </r>
        <r>
          <rPr>
            <sz val="9"/>
            <color indexed="81"/>
            <rFont val="Tahoma"/>
            <family val="2"/>
          </rPr>
          <t xml:space="preserve">
- Phụ trách BM Công nghệ phần mềm từ 05/7/2022</t>
        </r>
      </text>
    </comment>
    <comment ref="J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text>
        <r>
          <rPr>
            <b/>
            <sz val="9"/>
            <color indexed="81"/>
            <rFont val="Tahoma"/>
            <family val="2"/>
          </rPr>
          <t>huynh-panda:</t>
        </r>
        <r>
          <rPr>
            <sz val="9"/>
            <color indexed="81"/>
            <rFont val="Tahoma"/>
            <family val="2"/>
          </rPr>
          <t xml:space="preserve">
- Phụ trách BM Công nghệ phần mềm từ 05/7/2022</t>
        </r>
      </text>
    </comment>
    <comment ref="N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text>
        <r>
          <rPr>
            <b/>
            <sz val="9"/>
            <color indexed="81"/>
            <rFont val="Tahoma"/>
            <family val="2"/>
          </rPr>
          <t>huynh-panda:</t>
        </r>
        <r>
          <rPr>
            <sz val="9"/>
            <color indexed="81"/>
            <rFont val="Tahoma"/>
            <family val="2"/>
          </rPr>
          <t xml:space="preserve">
- Phụ trách BM Công nghệ phần mềm từ 05/7/2022</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text>
        <r>
          <rPr>
            <b/>
            <sz val="9"/>
            <color indexed="81"/>
            <rFont val="Tahoma"/>
            <family val="2"/>
          </rPr>
          <t>User:</t>
        </r>
        <r>
          <rPr>
            <sz val="9"/>
            <color indexed="81"/>
            <rFont val="Tahoma"/>
            <family val="2"/>
          </rPr>
          <t xml:space="preserve">
- QĐ Bổ nhiệm trưởng khoa từ 01/2/2016</t>
        </r>
      </text>
    </comment>
    <comment ref="J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text>
        <r>
          <rPr>
            <b/>
            <sz val="9"/>
            <color indexed="81"/>
            <rFont val="Tahoma"/>
            <family val="2"/>
          </rPr>
          <t>User:</t>
        </r>
        <r>
          <rPr>
            <sz val="9"/>
            <color indexed="81"/>
            <rFont val="Tahoma"/>
            <family val="2"/>
          </rPr>
          <t xml:space="preserve">
- QĐ Bổ nhiệm trưởng khoa từ 01/2/2016</t>
        </r>
      </text>
    </comment>
    <comment ref="N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text>
        <r>
          <rPr>
            <b/>
            <sz val="9"/>
            <color indexed="81"/>
            <rFont val="Tahoma"/>
            <family val="2"/>
          </rPr>
          <t>User:</t>
        </r>
        <r>
          <rPr>
            <sz val="9"/>
            <color indexed="81"/>
            <rFont val="Tahoma"/>
            <family val="2"/>
          </rPr>
          <t xml:space="preserve">
- QĐ Bổ nhiệm trưởng khoa từ 01/2/2016</t>
        </r>
      </text>
    </comment>
    <comment ref="F193" authorId="1" shapeId="0">
      <text>
        <r>
          <rPr>
            <b/>
            <sz val="9"/>
            <color indexed="81"/>
            <rFont val="Tahoma"/>
            <family val="2"/>
          </rPr>
          <t>Admin:</t>
        </r>
        <r>
          <rPr>
            <sz val="9"/>
            <color indexed="81"/>
            <rFont val="Tahoma"/>
            <family val="2"/>
          </rPr>
          <t xml:space="preserve">
- HS 4,65 từ 01/12/2015
- HS 4,98 từ 01/12/2018</t>
        </r>
      </text>
    </comment>
    <comment ref="G193" authorId="2" shapeId="0">
      <text>
        <r>
          <rPr>
            <b/>
            <sz val="9"/>
            <color indexed="81"/>
            <rFont val="Tahoma"/>
            <family val="2"/>
          </rPr>
          <t>user:</t>
        </r>
        <r>
          <rPr>
            <sz val="9"/>
            <color indexed="81"/>
            <rFont val="Tahoma"/>
            <family val="2"/>
          </rPr>
          <t xml:space="preserve">
- VK 5% từ 01/12/2021
- VK 6% từ 01/12/2022
- VK 7% từ 01/12/2023</t>
        </r>
      </text>
    </comment>
    <comment ref="J193" authorId="1" shapeId="0">
      <text>
        <r>
          <rPr>
            <b/>
            <sz val="9"/>
            <color indexed="81"/>
            <rFont val="Tahoma"/>
            <family val="2"/>
          </rPr>
          <t>Admin:</t>
        </r>
        <r>
          <rPr>
            <sz val="9"/>
            <color indexed="81"/>
            <rFont val="Tahoma"/>
            <family val="2"/>
          </rPr>
          <t xml:space="preserve">
- HS 4,65 từ 01/12/2015
- HS 4,98 từ 01/12/2018</t>
        </r>
      </text>
    </comment>
    <comment ref="K193" authorId="2" shapeId="0">
      <text>
        <r>
          <rPr>
            <b/>
            <sz val="9"/>
            <color indexed="81"/>
            <rFont val="Tahoma"/>
            <family val="2"/>
          </rPr>
          <t>user:</t>
        </r>
        <r>
          <rPr>
            <sz val="9"/>
            <color indexed="81"/>
            <rFont val="Tahoma"/>
            <family val="2"/>
          </rPr>
          <t xml:space="preserve">
- VK 5% từ 01/12/2021
- VK 6% từ 01/12/2022
- VK 7% từ 01/12/2023</t>
        </r>
      </text>
    </comment>
    <comment ref="N193" authorId="1" shapeId="0">
      <text>
        <r>
          <rPr>
            <b/>
            <sz val="9"/>
            <color indexed="81"/>
            <rFont val="Tahoma"/>
            <family val="2"/>
          </rPr>
          <t>Admin:</t>
        </r>
        <r>
          <rPr>
            <sz val="9"/>
            <color indexed="81"/>
            <rFont val="Tahoma"/>
            <family val="2"/>
          </rPr>
          <t xml:space="preserve">
- HS 4,65 từ 01/12/2015
- HS 4,98 từ 01/12/2018</t>
        </r>
      </text>
    </comment>
    <comment ref="O193" authorId="2" shapeId="0">
      <text>
        <r>
          <rPr>
            <b/>
            <sz val="9"/>
            <color indexed="81"/>
            <rFont val="Tahoma"/>
            <family val="2"/>
          </rPr>
          <t>user:</t>
        </r>
        <r>
          <rPr>
            <sz val="9"/>
            <color indexed="81"/>
            <rFont val="Tahoma"/>
            <family val="2"/>
          </rPr>
          <t xml:space="preserve">
- VK 5% từ 01/12/2021
- VK 6% từ 01/12/2022
- VK 7% từ 01/12/2023</t>
        </r>
      </text>
    </comment>
    <comment ref="F194" authorId="1" shapeId="0">
      <text>
        <r>
          <rPr>
            <b/>
            <sz val="9"/>
            <color indexed="81"/>
            <rFont val="Tahoma"/>
            <family val="2"/>
          </rPr>
          <t>Admin:</t>
        </r>
        <r>
          <rPr>
            <sz val="9"/>
            <color indexed="81"/>
            <rFont val="Tahoma"/>
            <family val="2"/>
          </rPr>
          <t xml:space="preserve">
- HS 4,65 từ 01/9/2015
- HS 4,98 từ 01/9/2018</t>
        </r>
      </text>
    </comment>
    <comment ref="G194" authorId="2" shapeId="0">
      <text>
        <r>
          <rPr>
            <b/>
            <sz val="9"/>
            <color indexed="81"/>
            <rFont val="Tahoma"/>
            <family val="2"/>
          </rPr>
          <t>user:</t>
        </r>
        <r>
          <rPr>
            <sz val="9"/>
            <color indexed="81"/>
            <rFont val="Tahoma"/>
            <family val="2"/>
          </rPr>
          <t xml:space="preserve">
- VK 5% từ 01/9/2021
- VK 6% từ 01/9/2022
- VK 7% từ 01/9/2023</t>
        </r>
      </text>
    </comment>
    <comment ref="J194" authorId="1" shapeId="0">
      <text>
        <r>
          <rPr>
            <b/>
            <sz val="9"/>
            <color indexed="81"/>
            <rFont val="Tahoma"/>
            <family val="2"/>
          </rPr>
          <t>Admin:</t>
        </r>
        <r>
          <rPr>
            <sz val="9"/>
            <color indexed="81"/>
            <rFont val="Tahoma"/>
            <family val="2"/>
          </rPr>
          <t xml:space="preserve">
- HS 4,65 từ 01/9/2015
- HS 4,98 từ 01/9/2018</t>
        </r>
      </text>
    </comment>
    <comment ref="K194" authorId="2" shapeId="0">
      <text>
        <r>
          <rPr>
            <b/>
            <sz val="9"/>
            <color indexed="81"/>
            <rFont val="Tahoma"/>
            <family val="2"/>
          </rPr>
          <t>user:</t>
        </r>
        <r>
          <rPr>
            <sz val="9"/>
            <color indexed="81"/>
            <rFont val="Tahoma"/>
            <family val="2"/>
          </rPr>
          <t xml:space="preserve">
- VK 5% từ 01/9/2021
- VK 6% từ 01/9/2022
- VK 7% từ 01/9/2023</t>
        </r>
      </text>
    </comment>
    <comment ref="N194" authorId="1" shapeId="0">
      <text>
        <r>
          <rPr>
            <b/>
            <sz val="9"/>
            <color indexed="81"/>
            <rFont val="Tahoma"/>
            <family val="2"/>
          </rPr>
          <t>Admin:</t>
        </r>
        <r>
          <rPr>
            <sz val="9"/>
            <color indexed="81"/>
            <rFont val="Tahoma"/>
            <family val="2"/>
          </rPr>
          <t xml:space="preserve">
- HS 4,65 từ 01/9/2015
- HS 4,98 từ 01/9/2018</t>
        </r>
      </text>
    </comment>
    <comment ref="O194"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text>
        <r>
          <rPr>
            <b/>
            <sz val="9"/>
            <color indexed="81"/>
            <rFont val="Tahoma"/>
            <family val="2"/>
          </rPr>
          <t>Admin:</t>
        </r>
        <r>
          <rPr>
            <sz val="9"/>
            <color indexed="81"/>
            <rFont val="Tahoma"/>
            <family val="2"/>
          </rPr>
          <t xml:space="preserve">
QĐ BN Trưởng BM từ 15/5/2016
</t>
        </r>
      </text>
    </comment>
    <comment ref="J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text>
        <r>
          <rPr>
            <b/>
            <sz val="9"/>
            <color indexed="81"/>
            <rFont val="Tahoma"/>
            <family val="2"/>
          </rPr>
          <t>Admin:</t>
        </r>
        <r>
          <rPr>
            <sz val="9"/>
            <color indexed="81"/>
            <rFont val="Tahoma"/>
            <family val="2"/>
          </rPr>
          <t xml:space="preserve">
QĐ BN Trưởng BM từ 15/5/2016
</t>
        </r>
      </text>
    </comment>
    <comment ref="N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text>
        <r>
          <rPr>
            <b/>
            <sz val="9"/>
            <color indexed="81"/>
            <rFont val="Tahoma"/>
            <family val="2"/>
          </rPr>
          <t>Admin:</t>
        </r>
        <r>
          <rPr>
            <sz val="9"/>
            <color indexed="81"/>
            <rFont val="Tahoma"/>
            <family val="2"/>
          </rPr>
          <t xml:space="preserve">
QĐ BN Trưởng BM từ 15/5/2016
</t>
        </r>
      </text>
    </comment>
    <comment ref="F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text>
        <r>
          <rPr>
            <b/>
            <sz val="9"/>
            <color indexed="81"/>
            <rFont val="Tahoma"/>
            <family val="2"/>
          </rPr>
          <t>huynh-panda:</t>
        </r>
        <r>
          <rPr>
            <sz val="9"/>
            <color indexed="81"/>
            <rFont val="Tahoma"/>
            <family val="2"/>
          </rPr>
          <t xml:space="preserve">
- VK 5% từ 01/9/2022
- VK 6% từ 01/9/2023</t>
        </r>
      </text>
    </comment>
    <comment ref="I198" authorId="1" shapeId="0">
      <text>
        <r>
          <rPr>
            <sz val="9"/>
            <color indexed="81"/>
            <rFont val="Tahoma"/>
            <family val="2"/>
          </rPr>
          <t>QĐ phụ trách từ 01/12/2017</t>
        </r>
      </text>
    </comment>
    <comment ref="J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text>
        <r>
          <rPr>
            <b/>
            <sz val="9"/>
            <color indexed="81"/>
            <rFont val="Tahoma"/>
            <family val="2"/>
          </rPr>
          <t>huynh-panda:</t>
        </r>
        <r>
          <rPr>
            <sz val="9"/>
            <color indexed="81"/>
            <rFont val="Tahoma"/>
            <family val="2"/>
          </rPr>
          <t xml:space="preserve">
- VK 5% từ 01/9/2022
- VK 6% từ 01/9/2023</t>
        </r>
      </text>
    </comment>
    <comment ref="M198" authorId="1" shapeId="0">
      <text>
        <r>
          <rPr>
            <sz val="9"/>
            <color indexed="81"/>
            <rFont val="Tahoma"/>
            <family val="2"/>
          </rPr>
          <t>QĐ phụ trách từ 01/12/2017</t>
        </r>
      </text>
    </comment>
    <comment ref="N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text>
        <r>
          <rPr>
            <b/>
            <sz val="9"/>
            <color indexed="81"/>
            <rFont val="Tahoma"/>
            <family val="2"/>
          </rPr>
          <t>huynh-panda:</t>
        </r>
        <r>
          <rPr>
            <sz val="9"/>
            <color indexed="81"/>
            <rFont val="Tahoma"/>
            <family val="2"/>
          </rPr>
          <t xml:space="preserve">
- VK 5% từ 01/9/2022
- VK 6% từ 01/9/2023
- VK 7% từ 01/9/2024</t>
        </r>
      </text>
    </comment>
    <comment ref="Q198" authorId="1" shapeId="0">
      <text>
        <r>
          <rPr>
            <sz val="9"/>
            <color indexed="81"/>
            <rFont val="Tahoma"/>
            <family val="2"/>
          </rPr>
          <t>QĐ phụ trách từ 01/12/2017</t>
        </r>
      </text>
    </comment>
    <comment ref="F199" authorId="1" shapeId="0">
      <text>
        <r>
          <rPr>
            <b/>
            <sz val="9"/>
            <color indexed="81"/>
            <rFont val="Tahoma"/>
            <family val="2"/>
          </rPr>
          <t>Admin:</t>
        </r>
        <r>
          <rPr>
            <sz val="9"/>
            <color indexed="81"/>
            <rFont val="Tahoma"/>
            <family val="2"/>
          </rPr>
          <t xml:space="preserve">
- HS 3,33 từ 01/9/2017
- HS 3,66 từ 01/9/2020
- HS 3,99 từ 01/9/2023</t>
        </r>
      </text>
    </comment>
    <comment ref="J199" authorId="1" shapeId="0">
      <text>
        <r>
          <rPr>
            <b/>
            <sz val="9"/>
            <color indexed="81"/>
            <rFont val="Tahoma"/>
            <family val="2"/>
          </rPr>
          <t>Admin:</t>
        </r>
        <r>
          <rPr>
            <sz val="9"/>
            <color indexed="81"/>
            <rFont val="Tahoma"/>
            <family val="2"/>
          </rPr>
          <t xml:space="preserve">
- HS 3,33 từ 01/9/2017
- HS 3,66 từ 01/9/2020
- HS 3,99 từ 01/9/2023</t>
        </r>
      </text>
    </comment>
    <comment ref="N199" authorId="1" shapeId="0">
      <text>
        <r>
          <rPr>
            <b/>
            <sz val="9"/>
            <color indexed="81"/>
            <rFont val="Tahoma"/>
            <family val="2"/>
          </rPr>
          <t>Admin:</t>
        </r>
        <r>
          <rPr>
            <sz val="9"/>
            <color indexed="81"/>
            <rFont val="Tahoma"/>
            <family val="2"/>
          </rPr>
          <t xml:space="preserve">
- HS 3,33 từ 01/9/2017
- HS 3,66 từ 01/9/2020
- HS 3,99 từ 01/9/2023</t>
        </r>
      </text>
    </comment>
    <comment ref="F200" authorId="1" shapeId="0">
      <text>
        <r>
          <rPr>
            <b/>
            <sz val="9"/>
            <color indexed="81"/>
            <rFont val="Tahoma"/>
            <family val="2"/>
          </rPr>
          <t>Admin:</t>
        </r>
        <r>
          <rPr>
            <sz val="9"/>
            <color indexed="81"/>
            <rFont val="Tahoma"/>
            <family val="2"/>
          </rPr>
          <t xml:space="preserve">
- HS 4,65 từ 01/9/2017
- HS 4,98 từ 01/9/2020</t>
        </r>
      </text>
    </comment>
    <comment ref="G200" authorId="3" shapeId="0">
      <text>
        <r>
          <rPr>
            <b/>
            <sz val="9"/>
            <color indexed="81"/>
            <rFont val="Tahoma"/>
            <family val="2"/>
          </rPr>
          <t>Windows User:</t>
        </r>
        <r>
          <rPr>
            <sz val="9"/>
            <color indexed="81"/>
            <rFont val="Tahoma"/>
            <family val="2"/>
          </rPr>
          <t xml:space="preserve">
- VK 5% từ 01/9/2023</t>
        </r>
      </text>
    </comment>
    <comment ref="J200" authorId="1" shapeId="0">
      <text>
        <r>
          <rPr>
            <b/>
            <sz val="9"/>
            <color indexed="81"/>
            <rFont val="Tahoma"/>
            <family val="2"/>
          </rPr>
          <t>Admin:</t>
        </r>
        <r>
          <rPr>
            <sz val="9"/>
            <color indexed="81"/>
            <rFont val="Tahoma"/>
            <family val="2"/>
          </rPr>
          <t xml:space="preserve">
- HS 4,65 từ 01/9/2017
- HS 4,98 từ 01/9/2020</t>
        </r>
      </text>
    </comment>
    <comment ref="K200" authorId="3" shapeId="0">
      <text>
        <r>
          <rPr>
            <b/>
            <sz val="9"/>
            <color indexed="81"/>
            <rFont val="Tahoma"/>
            <family val="2"/>
          </rPr>
          <t>Windows User:</t>
        </r>
        <r>
          <rPr>
            <sz val="9"/>
            <color indexed="81"/>
            <rFont val="Tahoma"/>
            <family val="2"/>
          </rPr>
          <t xml:space="preserve">
- VK 5% từ 01/9/2023</t>
        </r>
      </text>
    </comment>
    <comment ref="N200" authorId="1" shapeId="0">
      <text>
        <r>
          <rPr>
            <b/>
            <sz val="9"/>
            <color indexed="81"/>
            <rFont val="Tahoma"/>
            <family val="2"/>
          </rPr>
          <t>Admin:</t>
        </r>
        <r>
          <rPr>
            <sz val="9"/>
            <color indexed="81"/>
            <rFont val="Tahoma"/>
            <family val="2"/>
          </rPr>
          <t xml:space="preserve">
- HS 4,65 từ 01/9/2017
- HS 4,98 từ 01/9/2020</t>
        </r>
      </text>
    </comment>
    <comment ref="O200" authorId="3" shapeId="0">
      <text>
        <r>
          <rPr>
            <b/>
            <sz val="9"/>
            <color indexed="81"/>
            <rFont val="Tahoma"/>
            <family val="2"/>
          </rPr>
          <t>Windows User:</t>
        </r>
        <r>
          <rPr>
            <sz val="9"/>
            <color indexed="81"/>
            <rFont val="Tahoma"/>
            <family val="2"/>
          </rPr>
          <t xml:space="preserve">
- VK 5% từ 01/9/2023
- VK 6% từ 01/9/2024</t>
        </r>
      </text>
    </comment>
    <comment ref="F201" authorId="0" shapeId="0">
      <text>
        <r>
          <rPr>
            <b/>
            <sz val="9"/>
            <color indexed="81"/>
            <rFont val="Tahoma"/>
            <family val="2"/>
          </rPr>
          <t>User:</t>
        </r>
        <r>
          <rPr>
            <sz val="9"/>
            <color indexed="81"/>
            <rFont val="Tahoma"/>
            <family val="2"/>
          </rPr>
          <t xml:space="preserve">
- HS 3,00 từ 01/9/2015
- HS 3,33 từ 01/9/2018
- HS 3,66 từ 01/9/2021</t>
        </r>
      </text>
    </comment>
    <comment ref="I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text>
        <r>
          <rPr>
            <b/>
            <sz val="9"/>
            <color indexed="81"/>
            <rFont val="Tahoma"/>
            <family val="2"/>
          </rPr>
          <t>User:</t>
        </r>
        <r>
          <rPr>
            <sz val="9"/>
            <color indexed="81"/>
            <rFont val="Tahoma"/>
            <family val="2"/>
          </rPr>
          <t xml:space="preserve">
- HS 3,00 từ 01/9/2015
- HS 3,33 từ 01/9/2018
- HS 3,66 từ 01/9/2021</t>
        </r>
      </text>
    </comment>
    <comment ref="M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text>
        <r>
          <rPr>
            <b/>
            <sz val="9"/>
            <color indexed="81"/>
            <rFont val="Tahoma"/>
            <family val="2"/>
          </rPr>
          <t>User:</t>
        </r>
        <r>
          <rPr>
            <sz val="9"/>
            <color indexed="81"/>
            <rFont val="Tahoma"/>
            <family val="2"/>
          </rPr>
          <t xml:space="preserve">
- HS 3,00 từ 01/9/2015
- HS 3,33 từ 01/9/2018
- HS 3,66 từ 01/9/2021</t>
        </r>
      </text>
    </comment>
    <comment ref="J202" authorId="0" shapeId="0">
      <text>
        <r>
          <rPr>
            <b/>
            <sz val="9"/>
            <color indexed="81"/>
            <rFont val="Tahoma"/>
            <family val="2"/>
          </rPr>
          <t>User:</t>
        </r>
        <r>
          <rPr>
            <sz val="9"/>
            <color indexed="81"/>
            <rFont val="Tahoma"/>
            <family val="2"/>
          </rPr>
          <t xml:space="preserve">
- HS 3,00 từ 01/9/2015
- HS 3,33 từ 01/9/2018
- HS 3,66 từ 01/9/2021</t>
        </r>
      </text>
    </comment>
    <comment ref="N20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text>
        <r>
          <rPr>
            <b/>
            <sz val="9"/>
            <color indexed="81"/>
            <rFont val="Tahoma"/>
            <family val="2"/>
          </rPr>
          <t>Admin:</t>
        </r>
        <r>
          <rPr>
            <sz val="9"/>
            <color indexed="81"/>
            <rFont val="Tahoma"/>
            <family val="2"/>
          </rPr>
          <t xml:space="preserve">
- HS 3,00 từ 01/9/2016
- HS 3,33 từ 01/9/2019
- HS 3,66 từ 01/9/2022</t>
        </r>
      </text>
    </comment>
    <comment ref="J203" authorId="1" shapeId="0">
      <text>
        <r>
          <rPr>
            <b/>
            <sz val="9"/>
            <color indexed="81"/>
            <rFont val="Tahoma"/>
            <family val="2"/>
          </rPr>
          <t>Admin:</t>
        </r>
        <r>
          <rPr>
            <sz val="9"/>
            <color indexed="81"/>
            <rFont val="Tahoma"/>
            <family val="2"/>
          </rPr>
          <t xml:space="preserve">
- HS 3,00 từ 01/9/2016
- HS 3,33 từ 01/9/2019
- HS 3,66 từ 01/9/2022</t>
        </r>
      </text>
    </comment>
    <comment ref="N203" authorId="1" shapeId="0">
      <text>
        <r>
          <rPr>
            <b/>
            <sz val="9"/>
            <color indexed="81"/>
            <rFont val="Tahoma"/>
            <family val="2"/>
          </rPr>
          <t>Admin:</t>
        </r>
        <r>
          <rPr>
            <sz val="9"/>
            <color indexed="81"/>
            <rFont val="Tahoma"/>
            <family val="2"/>
          </rPr>
          <t xml:space="preserve">
- HS 3,00 từ 01/9/2016
- HS 3,33 từ 01/9/2019
- HS 3,66 từ 01/9/2022</t>
        </r>
      </text>
    </comment>
    <comment ref="F204" authorId="1" shapeId="0">
      <text>
        <r>
          <rPr>
            <b/>
            <sz val="9"/>
            <color indexed="81"/>
            <rFont val="Tahoma"/>
            <family val="2"/>
          </rPr>
          <t>Admin:</t>
        </r>
        <r>
          <rPr>
            <sz val="9"/>
            <color indexed="81"/>
            <rFont val="Tahoma"/>
            <family val="2"/>
          </rPr>
          <t xml:space="preserve">
- HS 3,00 từ 01/9/2016
- HS 3,33 từ 01/9/2019
- HS 3,66 từ 01/9/2022</t>
        </r>
      </text>
    </comment>
    <comment ref="J204" authorId="1" shapeId="0">
      <text>
        <r>
          <rPr>
            <b/>
            <sz val="9"/>
            <color indexed="81"/>
            <rFont val="Tahoma"/>
            <family val="2"/>
          </rPr>
          <t>Admin:</t>
        </r>
        <r>
          <rPr>
            <sz val="9"/>
            <color indexed="81"/>
            <rFont val="Tahoma"/>
            <family val="2"/>
          </rPr>
          <t xml:space="preserve">
- HS 3,00 từ 01/9/2016
- HS 3,33 từ 01/9/2019
- HS 3,66 từ 01/9/2022</t>
        </r>
      </text>
    </comment>
    <comment ref="N204" authorId="1" shapeId="0">
      <text>
        <r>
          <rPr>
            <b/>
            <sz val="9"/>
            <color indexed="81"/>
            <rFont val="Tahoma"/>
            <family val="2"/>
          </rPr>
          <t>Admin:</t>
        </r>
        <r>
          <rPr>
            <sz val="9"/>
            <color indexed="81"/>
            <rFont val="Tahoma"/>
            <family val="2"/>
          </rPr>
          <t xml:space="preserve">
- HS 3,00 từ 01/9/2016
- HS 3,33 từ 01/9/2019
- HS 3,66 từ 01/9/2022</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J205" authorId="1" shapeId="0">
      <text>
        <r>
          <rPr>
            <b/>
            <sz val="9"/>
            <color indexed="81"/>
            <rFont val="Tahoma"/>
            <family val="2"/>
          </rPr>
          <t>Admin:</t>
        </r>
        <r>
          <rPr>
            <sz val="9"/>
            <color indexed="81"/>
            <rFont val="Tahoma"/>
            <family val="2"/>
          </rPr>
          <t xml:space="preserve">
- HS 3,00 từ 01/9/2016
- HS 3,33 từ 01/9/2019
- HS 3,66 từ 01/9/2022</t>
        </r>
      </text>
    </comment>
    <comment ref="N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01/9/2017
- HS 3,33 từ 01/9/2020
- HS 3,66 từ 01/9/2023</t>
        </r>
      </text>
    </comment>
    <comment ref="I206" authorId="0" shapeId="0">
      <text>
        <r>
          <rPr>
            <b/>
            <sz val="9"/>
            <color indexed="81"/>
            <rFont val="Tahoma"/>
            <family val="2"/>
          </rPr>
          <t>User:</t>
        </r>
        <r>
          <rPr>
            <sz val="9"/>
            <color indexed="81"/>
            <rFont val="Tahoma"/>
            <family val="2"/>
          </rPr>
          <t xml:space="preserve">
BN Trưởng BM Cơ sở Cơ khí từ 01/09/2015</t>
        </r>
      </text>
    </comment>
    <comment ref="J206" authorId="1" shapeId="0">
      <text>
        <r>
          <rPr>
            <b/>
            <sz val="9"/>
            <color indexed="81"/>
            <rFont val="Tahoma"/>
            <family val="2"/>
          </rPr>
          <t>Admin:</t>
        </r>
        <r>
          <rPr>
            <sz val="9"/>
            <color indexed="81"/>
            <rFont val="Tahoma"/>
            <family val="2"/>
          </rPr>
          <t xml:space="preserve">
- HS 3,00 từ 01/9/2017
- HS 3,33 từ 01/9/2020
- HS 3,66 từ 01/9/2023</t>
        </r>
      </text>
    </comment>
    <comment ref="M206" authorId="0" shapeId="0">
      <text>
        <r>
          <rPr>
            <b/>
            <sz val="9"/>
            <color indexed="81"/>
            <rFont val="Tahoma"/>
            <family val="2"/>
          </rPr>
          <t>User:</t>
        </r>
        <r>
          <rPr>
            <sz val="9"/>
            <color indexed="81"/>
            <rFont val="Tahoma"/>
            <family val="2"/>
          </rPr>
          <t xml:space="preserve">
BN Trưởng BM Cơ sở Cơ khí từ 01/09/2015</t>
        </r>
      </text>
    </comment>
    <comment ref="N206" authorId="1" shapeId="0">
      <text>
        <r>
          <rPr>
            <b/>
            <sz val="9"/>
            <color indexed="81"/>
            <rFont val="Tahoma"/>
            <family val="2"/>
          </rPr>
          <t>Admin:</t>
        </r>
        <r>
          <rPr>
            <sz val="9"/>
            <color indexed="81"/>
            <rFont val="Tahoma"/>
            <family val="2"/>
          </rPr>
          <t xml:space="preserve">
- HS 3,00 từ 01/9/2017
- HS 3,33 từ 01/9/2020
- HS 3,66 từ 01/9/2023</t>
        </r>
      </text>
    </comment>
    <comment ref="Q206" authorId="0" shapeId="0">
      <text>
        <r>
          <rPr>
            <b/>
            <sz val="9"/>
            <color indexed="81"/>
            <rFont val="Tahoma"/>
            <family val="2"/>
          </rPr>
          <t>User:</t>
        </r>
        <r>
          <rPr>
            <sz val="9"/>
            <color indexed="81"/>
            <rFont val="Tahoma"/>
            <family val="2"/>
          </rPr>
          <t xml:space="preserve">
BN Trưởng BM Cơ sở Cơ khí từ 01/09/2015</t>
        </r>
      </text>
    </comment>
    <comment ref="F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text>
        <r>
          <rPr>
            <b/>
            <sz val="9"/>
            <color indexed="81"/>
            <rFont val="Tahoma"/>
            <family val="2"/>
          </rPr>
          <t>Admin:</t>
        </r>
        <r>
          <rPr>
            <sz val="9"/>
            <color indexed="81"/>
            <rFont val="Tahoma"/>
            <family val="2"/>
          </rPr>
          <t xml:space="preserve">
- HS 3,00 từ 01/10/2016
- HS 3,33 từ 01/10/2019
- HS 3,66 từ 01/10/2022</t>
        </r>
      </text>
    </comment>
    <comment ref="J208" authorId="1" shapeId="0">
      <text>
        <r>
          <rPr>
            <b/>
            <sz val="9"/>
            <color indexed="81"/>
            <rFont val="Tahoma"/>
            <family val="2"/>
          </rPr>
          <t>Admin:</t>
        </r>
        <r>
          <rPr>
            <sz val="9"/>
            <color indexed="81"/>
            <rFont val="Tahoma"/>
            <family val="2"/>
          </rPr>
          <t xml:space="preserve">
- HS 3,00 từ 01/10/2016
- HS 3,33 từ 01/10/2019
- HS 3,66 từ 01/10/2022</t>
        </r>
      </text>
    </comment>
    <comment ref="N208" authorId="1" shapeId="0">
      <text>
        <r>
          <rPr>
            <b/>
            <sz val="9"/>
            <color indexed="81"/>
            <rFont val="Tahoma"/>
            <family val="2"/>
          </rPr>
          <t>Admin:</t>
        </r>
        <r>
          <rPr>
            <sz val="9"/>
            <color indexed="81"/>
            <rFont val="Tahoma"/>
            <family val="2"/>
          </rPr>
          <t xml:space="preserve">
- HS 3,00 từ 01/10/2016
- HS 3,33 từ 01/10/2019
- HS 3,66 từ 01/10/2022</t>
        </r>
      </text>
    </comment>
    <comment ref="F209" authorId="1" shapeId="0">
      <text>
        <r>
          <rPr>
            <b/>
            <sz val="9"/>
            <color indexed="81"/>
            <rFont val="Tahoma"/>
            <family val="2"/>
          </rPr>
          <t>Admin:</t>
        </r>
        <r>
          <rPr>
            <sz val="9"/>
            <color indexed="81"/>
            <rFont val="Tahoma"/>
            <family val="2"/>
          </rPr>
          <t xml:space="preserve">
- HS 2,67 từ 01/10/2016
- HS 3,00 từ 01/10/2019
- HS 3,33 từ 01/10/2022</t>
        </r>
      </text>
    </comment>
    <comment ref="J209" authorId="1" shapeId="0">
      <text>
        <r>
          <rPr>
            <b/>
            <sz val="9"/>
            <color indexed="81"/>
            <rFont val="Tahoma"/>
            <family val="2"/>
          </rPr>
          <t>Admin:</t>
        </r>
        <r>
          <rPr>
            <sz val="9"/>
            <color indexed="81"/>
            <rFont val="Tahoma"/>
            <family val="2"/>
          </rPr>
          <t xml:space="preserve">
- HS 2,67 từ 01/10/2016
- HS 3,00 từ 01/10/2019
- HS 3,33 từ 01/10/2022</t>
        </r>
      </text>
    </comment>
    <comment ref="N209" authorId="1" shapeId="0">
      <text>
        <r>
          <rPr>
            <b/>
            <sz val="9"/>
            <color indexed="81"/>
            <rFont val="Tahoma"/>
            <family val="2"/>
          </rPr>
          <t>Admin:</t>
        </r>
        <r>
          <rPr>
            <sz val="9"/>
            <color indexed="81"/>
            <rFont val="Tahoma"/>
            <family val="2"/>
          </rPr>
          <t xml:space="preserve">
- HS 2,67 từ 01/10/2016
- HS 3,00 từ 01/10/2019
- HS 3,33 từ 01/10/2022</t>
        </r>
      </text>
    </comment>
    <comment ref="F210" authorId="0" shapeId="0">
      <text>
        <r>
          <rPr>
            <b/>
            <sz val="9"/>
            <color indexed="81"/>
            <rFont val="Tahoma"/>
            <family val="2"/>
          </rPr>
          <t>User:</t>
        </r>
        <r>
          <rPr>
            <sz val="9"/>
            <color indexed="81"/>
            <rFont val="Tahoma"/>
            <family val="2"/>
          </rPr>
          <t xml:space="preserve">
- HS 4,65 từ 01/9/2015
- HS 4,98 từ 01/9/2018</t>
        </r>
      </text>
    </comment>
    <comment ref="G210" authorId="2" shapeId="0">
      <text>
        <r>
          <rPr>
            <b/>
            <sz val="9"/>
            <color indexed="81"/>
            <rFont val="Tahoma"/>
            <family val="2"/>
          </rPr>
          <t>user:</t>
        </r>
        <r>
          <rPr>
            <sz val="9"/>
            <color indexed="81"/>
            <rFont val="Tahoma"/>
            <family val="2"/>
          </rPr>
          <t xml:space="preserve">
- VK 5% từ 01/9/2021
- VK 6% từ 01/9/2022
- VK 7% từ 01/9/2023</t>
        </r>
      </text>
    </comment>
    <comment ref="J210" authorId="0" shapeId="0">
      <text>
        <r>
          <rPr>
            <b/>
            <sz val="9"/>
            <color indexed="81"/>
            <rFont val="Tahoma"/>
            <family val="2"/>
          </rPr>
          <t>User:</t>
        </r>
        <r>
          <rPr>
            <sz val="9"/>
            <color indexed="81"/>
            <rFont val="Tahoma"/>
            <family val="2"/>
          </rPr>
          <t xml:space="preserve">
- HS 4,65 từ 01/9/2015
- HS 4,98 từ 01/9/2018</t>
        </r>
      </text>
    </comment>
    <comment ref="K210" authorId="2" shapeId="0">
      <text>
        <r>
          <rPr>
            <b/>
            <sz val="9"/>
            <color indexed="81"/>
            <rFont val="Tahoma"/>
            <family val="2"/>
          </rPr>
          <t>user:</t>
        </r>
        <r>
          <rPr>
            <sz val="9"/>
            <color indexed="81"/>
            <rFont val="Tahoma"/>
            <family val="2"/>
          </rPr>
          <t xml:space="preserve">
- VK 5% từ 01/9/2021
- VK 6% từ 01/9/2022
- VK 7% từ 01/9/2023</t>
        </r>
      </text>
    </comment>
    <comment ref="N210" authorId="0" shapeId="0">
      <text>
        <r>
          <rPr>
            <b/>
            <sz val="9"/>
            <color indexed="81"/>
            <rFont val="Tahoma"/>
            <family val="2"/>
          </rPr>
          <t>User:</t>
        </r>
        <r>
          <rPr>
            <sz val="9"/>
            <color indexed="81"/>
            <rFont val="Tahoma"/>
            <family val="2"/>
          </rPr>
          <t xml:space="preserve">
- HS 4,65 từ 01/9/2015
- HS 4,98 từ 01/9/2018</t>
        </r>
      </text>
    </comment>
    <comment ref="O21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text>
        <r>
          <rPr>
            <b/>
            <sz val="9"/>
            <color indexed="81"/>
            <rFont val="Tahoma"/>
            <family val="2"/>
          </rPr>
          <t>User:</t>
        </r>
        <r>
          <rPr>
            <sz val="9"/>
            <color indexed="81"/>
            <rFont val="Tahoma"/>
            <family val="2"/>
          </rPr>
          <t xml:space="preserve">
- HS 4,89 từ 1/5/2014</t>
        </r>
      </text>
    </comment>
    <comment ref="G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text>
        <r>
          <rPr>
            <b/>
            <sz val="9"/>
            <color indexed="81"/>
            <rFont val="Tahoma"/>
            <family val="2"/>
          </rPr>
          <t>User:</t>
        </r>
        <r>
          <rPr>
            <sz val="9"/>
            <color indexed="81"/>
            <rFont val="Tahoma"/>
            <family val="2"/>
          </rPr>
          <t xml:space="preserve">
- Hết bảo lưu hệ số PCCV từ 01/11/2015</t>
        </r>
      </text>
    </comment>
    <comment ref="J211" authorId="0" shapeId="0">
      <text>
        <r>
          <rPr>
            <b/>
            <sz val="9"/>
            <color indexed="81"/>
            <rFont val="Tahoma"/>
            <family val="2"/>
          </rPr>
          <t>User:</t>
        </r>
        <r>
          <rPr>
            <sz val="9"/>
            <color indexed="81"/>
            <rFont val="Tahoma"/>
            <family val="2"/>
          </rPr>
          <t xml:space="preserve">
- HS 4,89 từ 1/5/2014</t>
        </r>
      </text>
    </comment>
    <comment ref="K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text>
        <r>
          <rPr>
            <b/>
            <sz val="9"/>
            <color indexed="81"/>
            <rFont val="Tahoma"/>
            <family val="2"/>
          </rPr>
          <t>User:</t>
        </r>
        <r>
          <rPr>
            <sz val="9"/>
            <color indexed="81"/>
            <rFont val="Tahoma"/>
            <family val="2"/>
          </rPr>
          <t xml:space="preserve">
- Hết bảo lưu hệ số PCCV từ 01/11/2015</t>
        </r>
      </text>
    </comment>
    <comment ref="N211" authorId="0" shapeId="0">
      <text>
        <r>
          <rPr>
            <b/>
            <sz val="9"/>
            <color indexed="81"/>
            <rFont val="Tahoma"/>
            <family val="2"/>
          </rPr>
          <t>User:</t>
        </r>
        <r>
          <rPr>
            <sz val="9"/>
            <color indexed="81"/>
            <rFont val="Tahoma"/>
            <family val="2"/>
          </rPr>
          <t xml:space="preserve">
- HS 4,89 từ 1/5/2014</t>
        </r>
      </text>
    </comment>
    <comment ref="O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text>
        <r>
          <rPr>
            <b/>
            <sz val="9"/>
            <color indexed="81"/>
            <rFont val="Tahoma"/>
            <family val="2"/>
          </rPr>
          <t>User:</t>
        </r>
        <r>
          <rPr>
            <sz val="9"/>
            <color indexed="81"/>
            <rFont val="Tahoma"/>
            <family val="2"/>
          </rPr>
          <t xml:space="preserve">
- Hết bảo lưu hệ số PCCV từ 01/11/2015</t>
        </r>
      </text>
    </comment>
    <comment ref="F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text>
        <r>
          <rPr>
            <b/>
            <sz val="9"/>
            <color indexed="81"/>
            <rFont val="Tahoma"/>
            <family val="2"/>
          </rPr>
          <t>user:</t>
        </r>
        <r>
          <rPr>
            <sz val="9"/>
            <color indexed="81"/>
            <rFont val="Tahoma"/>
            <family val="2"/>
          </rPr>
          <t xml:space="preserve">
- BN CDNN từ 01/4/2019 (HS 2.67)
- HS 3,00 từ 01/4/2022</t>
        </r>
      </text>
    </comment>
    <comment ref="J213" authorId="2" shapeId="0">
      <text>
        <r>
          <rPr>
            <b/>
            <sz val="9"/>
            <color indexed="81"/>
            <rFont val="Tahoma"/>
            <family val="2"/>
          </rPr>
          <t>user:</t>
        </r>
        <r>
          <rPr>
            <sz val="9"/>
            <color indexed="81"/>
            <rFont val="Tahoma"/>
            <family val="2"/>
          </rPr>
          <t xml:space="preserve">
- BN CDNN từ 01/4/2019 (HS 2.67)
- HS 3,00 từ 01/4/2022</t>
        </r>
      </text>
    </comment>
    <comment ref="N213" authorId="2" shapeId="0">
      <text>
        <r>
          <rPr>
            <b/>
            <sz val="9"/>
            <color indexed="81"/>
            <rFont val="Tahoma"/>
            <family val="2"/>
          </rPr>
          <t>user:</t>
        </r>
        <r>
          <rPr>
            <sz val="9"/>
            <color indexed="81"/>
            <rFont val="Tahoma"/>
            <family val="2"/>
          </rPr>
          <t xml:space="preserve">
- BN CDNN từ 01/4/2019 (HS 2.67)
- HS 3,00 từ 01/4/2022</t>
        </r>
      </text>
    </comment>
    <comment ref="F214" authorId="2" shapeId="0">
      <text>
        <r>
          <rPr>
            <b/>
            <sz val="9"/>
            <color indexed="81"/>
            <rFont val="Tahoma"/>
            <family val="2"/>
          </rPr>
          <t>user:</t>
        </r>
        <r>
          <rPr>
            <sz val="9"/>
            <color indexed="81"/>
            <rFont val="Tahoma"/>
            <family val="2"/>
          </rPr>
          <t xml:space="preserve">
- HS 2,67 từ 01/10/2019
- HS 3,00 từ 01/10/2022</t>
        </r>
      </text>
    </comment>
    <comment ref="J214" authorId="2" shapeId="0">
      <text>
        <r>
          <rPr>
            <b/>
            <sz val="9"/>
            <color indexed="81"/>
            <rFont val="Tahoma"/>
            <family val="2"/>
          </rPr>
          <t>user:</t>
        </r>
        <r>
          <rPr>
            <sz val="9"/>
            <color indexed="81"/>
            <rFont val="Tahoma"/>
            <family val="2"/>
          </rPr>
          <t xml:space="preserve">
- HS 2,67 từ 01/10/2019
- HS 3,00 từ 01/10/2022</t>
        </r>
      </text>
    </comment>
    <comment ref="N214" authorId="2" shapeId="0">
      <text>
        <r>
          <rPr>
            <b/>
            <sz val="9"/>
            <color indexed="81"/>
            <rFont val="Tahoma"/>
            <family val="2"/>
          </rPr>
          <t>user:</t>
        </r>
        <r>
          <rPr>
            <sz val="9"/>
            <color indexed="81"/>
            <rFont val="Tahoma"/>
            <family val="2"/>
          </rPr>
          <t xml:space="preserve">
- HS 2,67 từ 01/10/2019
- HS 3,00 từ 01/10/2022</t>
        </r>
      </text>
    </comment>
    <comment ref="G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text>
        <r>
          <rPr>
            <b/>
            <sz val="9"/>
            <color indexed="81"/>
            <rFont val="Tahoma"/>
            <family val="2"/>
          </rPr>
          <t>Windows User:</t>
        </r>
        <r>
          <rPr>
            <sz val="9"/>
            <color indexed="81"/>
            <rFont val="Tahoma"/>
            <family val="2"/>
          </rPr>
          <t xml:space="preserve">
- Tuyển dụng từ T10/2022
- HS 2,67 từ 01/10/2022</t>
        </r>
      </text>
    </comment>
    <comment ref="J219" authorId="3" shapeId="0">
      <text>
        <r>
          <rPr>
            <b/>
            <sz val="9"/>
            <color indexed="81"/>
            <rFont val="Tahoma"/>
            <family val="2"/>
          </rPr>
          <t>Windows User:</t>
        </r>
        <r>
          <rPr>
            <sz val="9"/>
            <color indexed="81"/>
            <rFont val="Tahoma"/>
            <family val="2"/>
          </rPr>
          <t xml:space="preserve">
- Tuyển dụng từ T10/2022
- HS 2,67 từ 01/10/2022</t>
        </r>
      </text>
    </comment>
    <comment ref="N219" authorId="3" shapeId="0">
      <text>
        <r>
          <rPr>
            <b/>
            <sz val="9"/>
            <color indexed="81"/>
            <rFont val="Tahoma"/>
            <family val="2"/>
          </rPr>
          <t>Windows User:</t>
        </r>
        <r>
          <rPr>
            <sz val="9"/>
            <color indexed="81"/>
            <rFont val="Tahoma"/>
            <family val="2"/>
          </rPr>
          <t xml:space="preserve">
- Tuyển dụng từ T10/2022
- HS 2,67 từ 01/10/2022</t>
        </r>
      </text>
    </comment>
    <comment ref="F220" authorId="1" shapeId="0">
      <text>
        <r>
          <rPr>
            <b/>
            <sz val="9"/>
            <color indexed="81"/>
            <rFont val="Tahoma"/>
            <family val="2"/>
          </rPr>
          <t>Admin:</t>
        </r>
        <r>
          <rPr>
            <sz val="9"/>
            <color indexed="81"/>
            <rFont val="Tahoma"/>
            <family val="2"/>
          </rPr>
          <t xml:space="preserve">
- HS 4.65 từ 01/01/2016
- HS 4,98 từ 01/01/2019</t>
        </r>
      </text>
    </comment>
    <comment ref="G220" authorId="2" shapeId="0">
      <text>
        <r>
          <rPr>
            <b/>
            <sz val="9"/>
            <color indexed="81"/>
            <rFont val="Tahoma"/>
            <family val="2"/>
          </rPr>
          <t>user:</t>
        </r>
        <r>
          <rPr>
            <sz val="9"/>
            <color indexed="81"/>
            <rFont val="Tahoma"/>
            <family val="2"/>
          </rPr>
          <t xml:space="preserve">
- VK 5% từ 01/01/2022
- VK 6% từ 01/01/2023
- VK 7% từ 01/01/2023</t>
        </r>
      </text>
    </comment>
    <comment ref="I220" authorId="4" shapeId="0">
      <text>
        <r>
          <rPr>
            <b/>
            <sz val="9"/>
            <color indexed="81"/>
            <rFont val="Tahoma"/>
            <family val="2"/>
          </rPr>
          <t>Quynh:</t>
        </r>
        <r>
          <rPr>
            <sz val="9"/>
            <color indexed="81"/>
            <rFont val="Tahoma"/>
            <family val="2"/>
          </rPr>
          <t xml:space="preserve">
- BN Phó Trưởng phòng từ 01/01/2019</t>
        </r>
      </text>
    </comment>
    <comment ref="J220" authorId="1" shapeId="0">
      <text>
        <r>
          <rPr>
            <b/>
            <sz val="9"/>
            <color indexed="81"/>
            <rFont val="Tahoma"/>
            <family val="2"/>
          </rPr>
          <t>Admin:</t>
        </r>
        <r>
          <rPr>
            <sz val="9"/>
            <color indexed="81"/>
            <rFont val="Tahoma"/>
            <family val="2"/>
          </rPr>
          <t xml:space="preserve">
- HS 4.65 từ 01/01/2016
- HS 4,98 từ 01/01/2019</t>
        </r>
      </text>
    </comment>
    <comment ref="K220" authorId="2" shapeId="0">
      <text>
        <r>
          <rPr>
            <b/>
            <sz val="9"/>
            <color indexed="81"/>
            <rFont val="Tahoma"/>
            <family val="2"/>
          </rPr>
          <t>user:</t>
        </r>
        <r>
          <rPr>
            <sz val="9"/>
            <color indexed="81"/>
            <rFont val="Tahoma"/>
            <family val="2"/>
          </rPr>
          <t xml:space="preserve">
- VK 5% từ 01/01/2022
- VK 6% từ 01/01/2023
- VK 7% từ 01/01/2023</t>
        </r>
      </text>
    </comment>
    <comment ref="M220" authorId="4" shapeId="0">
      <text>
        <r>
          <rPr>
            <b/>
            <sz val="9"/>
            <color indexed="81"/>
            <rFont val="Tahoma"/>
            <family val="2"/>
          </rPr>
          <t>Quynh:</t>
        </r>
        <r>
          <rPr>
            <sz val="9"/>
            <color indexed="81"/>
            <rFont val="Tahoma"/>
            <family val="2"/>
          </rPr>
          <t xml:space="preserve">
- BN Phó Trưởng phòng từ 01/01/2019</t>
        </r>
      </text>
    </comment>
    <comment ref="N220" authorId="1" shapeId="0">
      <text>
        <r>
          <rPr>
            <b/>
            <sz val="9"/>
            <color indexed="81"/>
            <rFont val="Tahoma"/>
            <family val="2"/>
          </rPr>
          <t>Admin:</t>
        </r>
        <r>
          <rPr>
            <sz val="9"/>
            <color indexed="81"/>
            <rFont val="Tahoma"/>
            <family val="2"/>
          </rPr>
          <t xml:space="preserve">
- HS 4.65 từ 01/01/2016
- HS 4,98 từ 01/01/2019</t>
        </r>
      </text>
    </comment>
    <comment ref="O220" authorId="2" shapeId="0">
      <text>
        <r>
          <rPr>
            <b/>
            <sz val="9"/>
            <color indexed="81"/>
            <rFont val="Tahoma"/>
            <family val="2"/>
          </rPr>
          <t>user:</t>
        </r>
        <r>
          <rPr>
            <sz val="9"/>
            <color indexed="81"/>
            <rFont val="Tahoma"/>
            <family val="2"/>
          </rPr>
          <t xml:space="preserve">
- VK 5% từ 01/01/2022
- VK 6% từ 01/01/2023
- VK 7% từ 01/01/2023</t>
        </r>
      </text>
    </comment>
    <comment ref="Q220" authorId="4" shapeId="0">
      <text>
        <r>
          <rPr>
            <b/>
            <sz val="9"/>
            <color indexed="81"/>
            <rFont val="Tahoma"/>
            <family val="2"/>
          </rPr>
          <t>Quynh:</t>
        </r>
        <r>
          <rPr>
            <sz val="9"/>
            <color indexed="81"/>
            <rFont val="Tahoma"/>
            <family val="2"/>
          </rPr>
          <t xml:space="preserve">
- BN Phó Trưởng phòng từ 01/01/2019</t>
        </r>
      </text>
    </comment>
    <comment ref="F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text>
        <r>
          <rPr>
            <b/>
            <sz val="8"/>
            <color indexed="81"/>
            <rFont val="Tahoma"/>
            <family val="2"/>
          </rPr>
          <t>HS 0,35 từ 05/7/2015</t>
        </r>
        <r>
          <rPr>
            <sz val="8"/>
            <color indexed="81"/>
            <rFont val="Tahoma"/>
            <family val="2"/>
          </rPr>
          <t xml:space="preserve">
</t>
        </r>
      </text>
    </comment>
    <comment ref="K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text>
        <r>
          <rPr>
            <b/>
            <sz val="8"/>
            <color indexed="81"/>
            <rFont val="Tahoma"/>
            <family val="2"/>
          </rPr>
          <t>HS 0,35 từ 05/7/2015</t>
        </r>
        <r>
          <rPr>
            <sz val="8"/>
            <color indexed="81"/>
            <rFont val="Tahoma"/>
            <family val="2"/>
          </rPr>
          <t xml:space="preserve">
</t>
        </r>
      </text>
    </comment>
    <comment ref="O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text>
        <r>
          <rPr>
            <b/>
            <sz val="8"/>
            <color indexed="81"/>
            <rFont val="Tahoma"/>
            <family val="2"/>
          </rPr>
          <t>HS 0,35 từ 05/7/2015</t>
        </r>
        <r>
          <rPr>
            <sz val="8"/>
            <color indexed="81"/>
            <rFont val="Tahoma"/>
            <family val="2"/>
          </rPr>
          <t xml:space="preserve">
</t>
        </r>
      </text>
    </comment>
    <comment ref="F223" authorId="1" shapeId="0">
      <text>
        <r>
          <rPr>
            <b/>
            <sz val="9"/>
            <color indexed="81"/>
            <rFont val="Tahoma"/>
            <family val="2"/>
          </rPr>
          <t>Admin:</t>
        </r>
        <r>
          <rPr>
            <sz val="9"/>
            <color indexed="81"/>
            <rFont val="Tahoma"/>
            <family val="2"/>
          </rPr>
          <t xml:space="preserve">
- 4,65 từ 01/9/2016
- 4,98 từ 01/9/2019</t>
        </r>
      </text>
    </comment>
    <comment ref="G223" authorId="7" shapeId="0">
      <text>
        <r>
          <rPr>
            <b/>
            <sz val="9"/>
            <color indexed="81"/>
            <rFont val="Tahoma"/>
            <family val="2"/>
          </rPr>
          <t>huynh-panda:</t>
        </r>
        <r>
          <rPr>
            <sz val="9"/>
            <color indexed="81"/>
            <rFont val="Tahoma"/>
            <family val="2"/>
          </rPr>
          <t xml:space="preserve">
- VK 5% từ 01/9/2022
- VK 6% từ 01/9/2023</t>
        </r>
      </text>
    </comment>
    <comment ref="J223" authorId="1" shapeId="0">
      <text>
        <r>
          <rPr>
            <b/>
            <sz val="9"/>
            <color indexed="81"/>
            <rFont val="Tahoma"/>
            <family val="2"/>
          </rPr>
          <t>Admin:</t>
        </r>
        <r>
          <rPr>
            <sz val="9"/>
            <color indexed="81"/>
            <rFont val="Tahoma"/>
            <family val="2"/>
          </rPr>
          <t xml:space="preserve">
- 4,65 từ 01/9/2016
- 4,98 từ 01/9/2019</t>
        </r>
      </text>
    </comment>
    <comment ref="K223" authorId="7" shapeId="0">
      <text>
        <r>
          <rPr>
            <b/>
            <sz val="9"/>
            <color indexed="81"/>
            <rFont val="Tahoma"/>
            <family val="2"/>
          </rPr>
          <t>huynh-panda:</t>
        </r>
        <r>
          <rPr>
            <sz val="9"/>
            <color indexed="81"/>
            <rFont val="Tahoma"/>
            <family val="2"/>
          </rPr>
          <t xml:space="preserve">
- VK 5% từ 01/9/2022
- VK 6% từ 01/9/2023</t>
        </r>
      </text>
    </comment>
    <comment ref="N223" authorId="1" shapeId="0">
      <text>
        <r>
          <rPr>
            <b/>
            <sz val="9"/>
            <color indexed="81"/>
            <rFont val="Tahoma"/>
            <family val="2"/>
          </rPr>
          <t>Admin:</t>
        </r>
        <r>
          <rPr>
            <sz val="9"/>
            <color indexed="81"/>
            <rFont val="Tahoma"/>
            <family val="2"/>
          </rPr>
          <t xml:space="preserve">
- 4,65 từ 01/9/2016
- 4,98 từ 01/9/2019</t>
        </r>
      </text>
    </comment>
    <comment ref="O223" authorId="7" shapeId="0">
      <text>
        <r>
          <rPr>
            <b/>
            <sz val="9"/>
            <color indexed="81"/>
            <rFont val="Tahoma"/>
            <family val="2"/>
          </rPr>
          <t>huynh-panda:</t>
        </r>
        <r>
          <rPr>
            <sz val="9"/>
            <color indexed="81"/>
            <rFont val="Tahoma"/>
            <family val="2"/>
          </rPr>
          <t xml:space="preserve">
- VK 5% từ 01/9/2022
- VK 6% từ 01/9/2023
- VK 7% từ 01/9/2024</t>
        </r>
      </text>
    </comment>
    <comment ref="F224" authorId="1" shapeId="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text>
        <r>
          <rPr>
            <b/>
            <sz val="9"/>
            <color indexed="81"/>
            <rFont val="Tahoma"/>
            <family val="2"/>
          </rPr>
          <t>Windows User:</t>
        </r>
        <r>
          <rPr>
            <sz val="9"/>
            <color indexed="81"/>
            <rFont val="Tahoma"/>
            <family val="2"/>
          </rPr>
          <t xml:space="preserve">
- VK 5% từ 01/10/2022
- VK 6% từ 01/10/2023</t>
        </r>
      </text>
    </comment>
    <comment ref="J224" authorId="1" shapeId="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text>
        <r>
          <rPr>
            <b/>
            <sz val="9"/>
            <color indexed="81"/>
            <rFont val="Tahoma"/>
            <family val="2"/>
          </rPr>
          <t>Windows User:</t>
        </r>
        <r>
          <rPr>
            <sz val="9"/>
            <color indexed="81"/>
            <rFont val="Tahoma"/>
            <family val="2"/>
          </rPr>
          <t xml:space="preserve">
- VK 5% từ 01/10/2022
- VK 6% từ 01/10/2023</t>
        </r>
      </text>
    </comment>
    <comment ref="N224" authorId="1" shapeId="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text>
        <r>
          <rPr>
            <b/>
            <sz val="9"/>
            <color indexed="81"/>
            <rFont val="Tahoma"/>
            <family val="2"/>
          </rPr>
          <t>Windows User:</t>
        </r>
        <r>
          <rPr>
            <sz val="9"/>
            <color indexed="81"/>
            <rFont val="Tahoma"/>
            <family val="2"/>
          </rPr>
          <t xml:space="preserve">
- VK 5% từ 01/10/2022
- VK 6% từ 01/10/2023</t>
        </r>
      </text>
    </comment>
    <comment ref="F225" authorId="1" shapeId="0">
      <text>
        <r>
          <rPr>
            <b/>
            <sz val="9"/>
            <color indexed="81"/>
            <rFont val="Tahoma"/>
            <family val="2"/>
          </rPr>
          <t>Admin:</t>
        </r>
        <r>
          <rPr>
            <sz val="9"/>
            <color indexed="81"/>
            <rFont val="Tahoma"/>
            <family val="2"/>
          </rPr>
          <t xml:space="preserve">
- HS 3,99 từ 01/9/2015
- HS 4,32 từ 01/9/2018
- HS 4,65 từ 01/9/2021
</t>
        </r>
      </text>
    </comment>
    <comment ref="I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text>
        <r>
          <rPr>
            <b/>
            <sz val="9"/>
            <color indexed="81"/>
            <rFont val="Tahoma"/>
            <family val="2"/>
          </rPr>
          <t>Admin:</t>
        </r>
        <r>
          <rPr>
            <sz val="9"/>
            <color indexed="81"/>
            <rFont val="Tahoma"/>
            <family val="2"/>
          </rPr>
          <t xml:space="preserve">
- HS 3,99 từ 01/9/2015
- HS 4,32 từ 01/9/2018
- HS 4,65 từ 01/9/2021
</t>
        </r>
      </text>
    </comment>
    <comment ref="M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0" shapeId="0">
      <text>
        <r>
          <rPr>
            <b/>
            <sz val="9"/>
            <color indexed="81"/>
            <rFont val="Tahoma"/>
            <family val="2"/>
          </rPr>
          <t>User:</t>
        </r>
        <r>
          <rPr>
            <sz val="9"/>
            <color indexed="81"/>
            <rFont val="Tahoma"/>
            <family val="2"/>
          </rPr>
          <t xml:space="preserve">
- HS 3,66 từ 01/9/2015
- HS 3,99 từ 01/9/2018
- HS 4,32 từ 01/9/2021</t>
        </r>
      </text>
    </comment>
    <comment ref="J227" authorId="0" shapeId="0">
      <text>
        <r>
          <rPr>
            <b/>
            <sz val="9"/>
            <color indexed="81"/>
            <rFont val="Tahoma"/>
            <family val="2"/>
          </rPr>
          <t>User:</t>
        </r>
        <r>
          <rPr>
            <sz val="9"/>
            <color indexed="81"/>
            <rFont val="Tahoma"/>
            <family val="2"/>
          </rPr>
          <t xml:space="preserve">
- HS 3,66 từ 01/9/2015
- HS 3,99 từ 01/9/2018
- HS 4,32 từ 01/9/2021</t>
        </r>
      </text>
    </comment>
    <comment ref="N227"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text>
        <r>
          <rPr>
            <b/>
            <sz val="9"/>
            <color indexed="81"/>
            <rFont val="Tahoma"/>
            <family val="2"/>
          </rPr>
          <t>user:</t>
        </r>
        <r>
          <rPr>
            <sz val="9"/>
            <color indexed="81"/>
            <rFont val="Tahoma"/>
            <family val="2"/>
          </rPr>
          <t xml:space="preserve">
Trưởng BM Cơ điện tử và tự động hóa từ 01/01/2019</t>
        </r>
      </text>
    </comment>
    <comment ref="J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text>
        <r>
          <rPr>
            <b/>
            <sz val="9"/>
            <color indexed="81"/>
            <rFont val="Tahoma"/>
            <family val="2"/>
          </rPr>
          <t>user:</t>
        </r>
        <r>
          <rPr>
            <sz val="9"/>
            <color indexed="81"/>
            <rFont val="Tahoma"/>
            <family val="2"/>
          </rPr>
          <t xml:space="preserve">
Trưởng BM Cơ điện tử và tự động hóa từ 01/01/2019</t>
        </r>
      </text>
    </comment>
    <comment ref="N228"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text>
        <r>
          <rPr>
            <b/>
            <sz val="9"/>
            <color indexed="81"/>
            <rFont val="Tahoma"/>
            <family val="2"/>
          </rPr>
          <t>user:</t>
        </r>
        <r>
          <rPr>
            <sz val="9"/>
            <color indexed="81"/>
            <rFont val="Tahoma"/>
            <family val="2"/>
          </rPr>
          <t xml:space="preserve">
Trưởng BM Cơ điện tử và tự động hóa từ 01/01/2019</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J229" authorId="1" shapeId="0">
      <text>
        <r>
          <rPr>
            <b/>
            <sz val="9"/>
            <color indexed="81"/>
            <rFont val="Tahoma"/>
            <family val="2"/>
          </rPr>
          <t>Admin:</t>
        </r>
        <r>
          <rPr>
            <sz val="9"/>
            <color indexed="81"/>
            <rFont val="Tahoma"/>
            <family val="2"/>
          </rPr>
          <t xml:space="preserve">
- HS 3,66 từ 01/9/2016
- HS 3,99 từ 01/9/2019
- HS 4,32 từ 01/9/2022</t>
        </r>
      </text>
    </comment>
    <comment ref="N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1" shapeId="0">
      <text>
        <r>
          <rPr>
            <b/>
            <sz val="9"/>
            <color indexed="81"/>
            <rFont val="Tahoma"/>
            <family val="2"/>
          </rPr>
          <t>Admin:</t>
        </r>
        <r>
          <rPr>
            <sz val="9"/>
            <color indexed="81"/>
            <rFont val="Tahoma"/>
            <family val="2"/>
          </rPr>
          <t xml:space="preserve">
- HS 3,99 từ 01/9/2016
- HS 4,32 từ 01/9/2019
- HS 4,65 từ 01/9/2022</t>
        </r>
      </text>
    </comment>
    <comment ref="I230" authorId="0" shapeId="0">
      <text>
        <r>
          <rPr>
            <b/>
            <sz val="9"/>
            <color indexed="81"/>
            <rFont val="Tahoma"/>
            <family val="2"/>
          </rPr>
          <t>User:</t>
        </r>
        <r>
          <rPr>
            <sz val="9"/>
            <color indexed="81"/>
            <rFont val="Tahoma"/>
            <family val="2"/>
          </rPr>
          <t xml:space="preserve">
Miễn nhiệm Trưởng BM. Bảo lưu HS hết T02/2015</t>
        </r>
      </text>
    </comment>
    <comment ref="J230" authorId="1" shapeId="0">
      <text>
        <r>
          <rPr>
            <b/>
            <sz val="9"/>
            <color indexed="81"/>
            <rFont val="Tahoma"/>
            <family val="2"/>
          </rPr>
          <t>Admin:</t>
        </r>
        <r>
          <rPr>
            <sz val="9"/>
            <color indexed="81"/>
            <rFont val="Tahoma"/>
            <family val="2"/>
          </rPr>
          <t xml:space="preserve">
- HS 3,99 từ 01/9/2016
- HS 4,32 từ 01/9/2019
- HS 4,65 từ 01/9/2022</t>
        </r>
      </text>
    </comment>
    <comment ref="M230" authorId="0" shapeId="0">
      <text>
        <r>
          <rPr>
            <b/>
            <sz val="9"/>
            <color indexed="81"/>
            <rFont val="Tahoma"/>
            <family val="2"/>
          </rPr>
          <t>User:</t>
        </r>
        <r>
          <rPr>
            <sz val="9"/>
            <color indexed="81"/>
            <rFont val="Tahoma"/>
            <family val="2"/>
          </rPr>
          <t xml:space="preserve">
Miễn nhiệm Trưởng BM. Bảo lưu HS hết T02/2015</t>
        </r>
      </text>
    </comment>
    <comment ref="N230" authorId="1" shapeId="0">
      <text>
        <r>
          <rPr>
            <b/>
            <sz val="9"/>
            <color indexed="81"/>
            <rFont val="Tahoma"/>
            <family val="2"/>
          </rPr>
          <t>Admin:</t>
        </r>
        <r>
          <rPr>
            <sz val="9"/>
            <color indexed="81"/>
            <rFont val="Tahoma"/>
            <family val="2"/>
          </rPr>
          <t xml:space="preserve">
- HS 3,99 từ 01/9/2016
- HS 4,32 từ 01/9/2019
- HS 4,65 từ 01/9/2022</t>
        </r>
      </text>
    </comment>
    <comment ref="Q230" authorId="0" shapeId="0">
      <text>
        <r>
          <rPr>
            <b/>
            <sz val="9"/>
            <color indexed="81"/>
            <rFont val="Tahoma"/>
            <family val="2"/>
          </rPr>
          <t>User:</t>
        </r>
        <r>
          <rPr>
            <sz val="9"/>
            <color indexed="81"/>
            <rFont val="Tahoma"/>
            <family val="2"/>
          </rPr>
          <t xml:space="preserve">
Miễn nhiệm Trưởng BM. Bảo lưu HS hết T02/2015</t>
        </r>
      </text>
    </comment>
    <comment ref="F231" authorId="1" shapeId="0">
      <text>
        <r>
          <rPr>
            <b/>
            <sz val="9"/>
            <color indexed="81"/>
            <rFont val="Tahoma"/>
            <family val="2"/>
          </rPr>
          <t>Admin:</t>
        </r>
        <r>
          <rPr>
            <sz val="9"/>
            <color indexed="81"/>
            <rFont val="Tahoma"/>
            <family val="2"/>
          </rPr>
          <t xml:space="preserve">
- HS 3,00 từ 01/9/2016
- HS 3,33 từ 01/9/2019
- HS 3,66 từ 01/9/2022</t>
        </r>
      </text>
    </comment>
    <comment ref="J231" authorId="1" shapeId="0">
      <text>
        <r>
          <rPr>
            <b/>
            <sz val="9"/>
            <color indexed="81"/>
            <rFont val="Tahoma"/>
            <family val="2"/>
          </rPr>
          <t>Admin:</t>
        </r>
        <r>
          <rPr>
            <sz val="9"/>
            <color indexed="81"/>
            <rFont val="Tahoma"/>
            <family val="2"/>
          </rPr>
          <t xml:space="preserve">
- HS 3,00 từ 01/9/2016
- HS 3,33 từ 01/9/2019
- HS 3,66 từ 01/9/2022</t>
        </r>
      </text>
    </comment>
    <comment ref="N231" authorId="1" shapeId="0">
      <text>
        <r>
          <rPr>
            <b/>
            <sz val="9"/>
            <color indexed="81"/>
            <rFont val="Tahoma"/>
            <family val="2"/>
          </rPr>
          <t>Admin:</t>
        </r>
        <r>
          <rPr>
            <sz val="9"/>
            <color indexed="81"/>
            <rFont val="Tahoma"/>
            <family val="2"/>
          </rPr>
          <t xml:space="preserve">
- HS 3,00 từ 01/9/2016
- HS 3,33 từ 01/9/2019
- HS 3,66 từ 01/9/2022</t>
        </r>
      </text>
    </comment>
    <comment ref="F232" authorId="0" shapeId="0">
      <text>
        <r>
          <rPr>
            <b/>
            <sz val="9"/>
            <color indexed="81"/>
            <rFont val="Tahoma"/>
            <family val="2"/>
          </rPr>
          <t>User:</t>
        </r>
        <r>
          <rPr>
            <sz val="9"/>
            <color indexed="81"/>
            <rFont val="Tahoma"/>
            <family val="2"/>
          </rPr>
          <t xml:space="preserve">
- HS 3,33 từ 01/9/2015
- HS 3,66 từ 01/9/2018
- HS 3,99 từ 01/9/2021</t>
        </r>
      </text>
    </comment>
    <comment ref="J232" authorId="0" shapeId="0">
      <text>
        <r>
          <rPr>
            <b/>
            <sz val="9"/>
            <color indexed="81"/>
            <rFont val="Tahoma"/>
            <family val="2"/>
          </rPr>
          <t>User:</t>
        </r>
        <r>
          <rPr>
            <sz val="9"/>
            <color indexed="81"/>
            <rFont val="Tahoma"/>
            <family val="2"/>
          </rPr>
          <t xml:space="preserve">
- HS 3,33 từ 01/9/2015
- HS 3,66 từ 01/9/2018
- HS 3,99 từ 01/9/2021</t>
        </r>
      </text>
    </comment>
    <comment ref="N232"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text>
        <r>
          <rPr>
            <b/>
            <sz val="9"/>
            <color indexed="81"/>
            <rFont val="Tahoma"/>
            <family val="2"/>
          </rPr>
          <t>Admin:</t>
        </r>
        <r>
          <rPr>
            <sz val="9"/>
            <color indexed="81"/>
            <rFont val="Tahoma"/>
            <family val="2"/>
          </rPr>
          <t xml:space="preserve">
- HS 3,00 từ 01/9/2017
- HS 3,33 từ 01/9/2020
- HS 3,66 từ 01/9/2023</t>
        </r>
      </text>
    </comment>
    <comment ref="J233" authorId="1" shapeId="0">
      <text>
        <r>
          <rPr>
            <b/>
            <sz val="9"/>
            <color indexed="81"/>
            <rFont val="Tahoma"/>
            <family val="2"/>
          </rPr>
          <t>Admin:</t>
        </r>
        <r>
          <rPr>
            <sz val="9"/>
            <color indexed="81"/>
            <rFont val="Tahoma"/>
            <family val="2"/>
          </rPr>
          <t xml:space="preserve">
- HS 3,00 từ 01/9/2017
- HS 3,33 từ 01/9/2020
- HS 3,66 từ 01/9/2023</t>
        </r>
      </text>
    </comment>
    <comment ref="N233" authorId="1" shapeId="0">
      <text>
        <r>
          <rPr>
            <b/>
            <sz val="9"/>
            <color indexed="81"/>
            <rFont val="Tahoma"/>
            <family val="2"/>
          </rPr>
          <t>Admin:</t>
        </r>
        <r>
          <rPr>
            <sz val="9"/>
            <color indexed="81"/>
            <rFont val="Tahoma"/>
            <family val="2"/>
          </rPr>
          <t xml:space="preserve">
- HS 3,00 từ 01/9/2017
- HS 3,33 từ 01/9/2020
- HS 3,66 từ 01/9/2023</t>
        </r>
      </text>
    </comment>
    <comment ref="F234" authorId="1" shapeId="0">
      <text>
        <r>
          <rPr>
            <b/>
            <sz val="9"/>
            <color indexed="81"/>
            <rFont val="Tahoma"/>
            <family val="2"/>
          </rPr>
          <t>Admin:</t>
        </r>
        <r>
          <rPr>
            <sz val="9"/>
            <color indexed="81"/>
            <rFont val="Tahoma"/>
            <family val="2"/>
          </rPr>
          <t xml:space="preserve">
- HS 3,00 từ 01/9/2017
- HS 3,33 từ 01/9/2019
- HS 3,66 từ 01/9/2022</t>
        </r>
      </text>
    </comment>
    <comment ref="J234" authorId="1" shapeId="0">
      <text>
        <r>
          <rPr>
            <b/>
            <sz val="9"/>
            <color indexed="81"/>
            <rFont val="Tahoma"/>
            <family val="2"/>
          </rPr>
          <t>Admin:</t>
        </r>
        <r>
          <rPr>
            <sz val="9"/>
            <color indexed="81"/>
            <rFont val="Tahoma"/>
            <family val="2"/>
          </rPr>
          <t xml:space="preserve">
- HS 3,00 từ 01/9/2017
- HS 3,33 từ 01/9/2019
- HS 3,66 từ 01/9/2022</t>
        </r>
      </text>
    </comment>
    <comment ref="N234" authorId="1" shapeId="0">
      <text>
        <r>
          <rPr>
            <b/>
            <sz val="9"/>
            <color indexed="81"/>
            <rFont val="Tahoma"/>
            <family val="2"/>
          </rPr>
          <t>Admin:</t>
        </r>
        <r>
          <rPr>
            <sz val="9"/>
            <color indexed="81"/>
            <rFont val="Tahoma"/>
            <family val="2"/>
          </rPr>
          <t xml:space="preserve">
- HS 3,00 từ 01/9/2017
- HS 3,33 từ 01/9/2019
- HS 3,66 từ 01/9/2022</t>
        </r>
      </text>
    </comment>
    <comment ref="F235" authorId="0" shapeId="0">
      <text>
        <r>
          <rPr>
            <b/>
            <sz val="9"/>
            <color indexed="81"/>
            <rFont val="Tahoma"/>
            <family val="2"/>
          </rPr>
          <t>User:</t>
        </r>
        <r>
          <rPr>
            <sz val="9"/>
            <color indexed="81"/>
            <rFont val="Tahoma"/>
            <family val="2"/>
          </rPr>
          <t xml:space="preserve">
- HS 4,65 từ 01/5/2014
- HS 4,98 từ 01/5/2017</t>
        </r>
      </text>
    </comment>
    <comment ref="G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text>
        <r>
          <rPr>
            <b/>
            <sz val="9"/>
            <color indexed="81"/>
            <rFont val="Tahoma"/>
            <family val="2"/>
          </rPr>
          <t>user:</t>
        </r>
        <r>
          <rPr>
            <sz val="9"/>
            <color indexed="81"/>
            <rFont val="Tahoma"/>
            <family val="2"/>
          </rPr>
          <t xml:space="preserve">
+ QĐ Bổ nhiệm Phó TK Điện - Điện tử từ 10/6/2019
</t>
        </r>
      </text>
    </comment>
    <comment ref="J235" authorId="0" shapeId="0">
      <text>
        <r>
          <rPr>
            <b/>
            <sz val="9"/>
            <color indexed="81"/>
            <rFont val="Tahoma"/>
            <family val="2"/>
          </rPr>
          <t>User:</t>
        </r>
        <r>
          <rPr>
            <sz val="9"/>
            <color indexed="81"/>
            <rFont val="Tahoma"/>
            <family val="2"/>
          </rPr>
          <t xml:space="preserve">
- HS 4,65 từ 01/5/2014
- HS 4,98 từ 01/5/2017</t>
        </r>
      </text>
    </comment>
    <comment ref="K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text>
        <r>
          <rPr>
            <b/>
            <sz val="9"/>
            <color indexed="81"/>
            <rFont val="Tahoma"/>
            <family val="2"/>
          </rPr>
          <t>user:</t>
        </r>
        <r>
          <rPr>
            <sz val="9"/>
            <color indexed="81"/>
            <rFont val="Tahoma"/>
            <family val="2"/>
          </rPr>
          <t xml:space="preserve">
+ QĐ Bổ nhiệm Phó TK Điện - Điện tử từ 10/6/2019
</t>
        </r>
      </text>
    </comment>
    <comment ref="N235" authorId="0" shapeId="0">
      <text>
        <r>
          <rPr>
            <b/>
            <sz val="9"/>
            <color indexed="81"/>
            <rFont val="Tahoma"/>
            <family val="2"/>
          </rPr>
          <t>User:</t>
        </r>
        <r>
          <rPr>
            <sz val="9"/>
            <color indexed="81"/>
            <rFont val="Tahoma"/>
            <family val="2"/>
          </rPr>
          <t xml:space="preserve">
- HS 4,65 từ 01/5/2014
- HS 4,98 từ 01/5/2017</t>
        </r>
      </text>
    </comment>
    <comment ref="O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text>
        <r>
          <rPr>
            <b/>
            <sz val="9"/>
            <color indexed="81"/>
            <rFont val="Tahoma"/>
            <family val="2"/>
          </rPr>
          <t>user:</t>
        </r>
        <r>
          <rPr>
            <sz val="9"/>
            <color indexed="81"/>
            <rFont val="Tahoma"/>
            <family val="2"/>
          </rPr>
          <t xml:space="preserve">
+ QĐ Bổ nhiệm Phó TK Điện - Điện tử từ 10/6/2019
</t>
        </r>
      </text>
    </comment>
    <comment ref="G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text>
        <r>
          <rPr>
            <b/>
            <sz val="9"/>
            <color indexed="81"/>
            <rFont val="Tahoma"/>
            <family val="2"/>
          </rPr>
          <t>User:</t>
        </r>
        <r>
          <rPr>
            <sz val="9"/>
            <color indexed="81"/>
            <rFont val="Tahoma"/>
            <family val="2"/>
          </rPr>
          <t xml:space="preserve">
- HS 4,65 từ 01/5/2014
- HS 4,98 từ 01/5/2017</t>
        </r>
      </text>
    </comment>
    <comment ref="K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text>
        <r>
          <rPr>
            <b/>
            <sz val="9"/>
            <color indexed="81"/>
            <rFont val="Tahoma"/>
            <family val="2"/>
          </rPr>
          <t>User:</t>
        </r>
        <r>
          <rPr>
            <sz val="9"/>
            <color indexed="81"/>
            <rFont val="Tahoma"/>
            <family val="2"/>
          </rPr>
          <t xml:space="preserve">
- HS 4,65 từ 01/5/2014
- HS 4,98 từ 01/5/2017</t>
        </r>
      </text>
    </comment>
    <comment ref="O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text>
        <r>
          <rPr>
            <b/>
            <sz val="9"/>
            <color indexed="81"/>
            <rFont val="Tahoma"/>
            <family val="2"/>
          </rPr>
          <t>User:</t>
        </r>
        <r>
          <rPr>
            <sz val="9"/>
            <color indexed="81"/>
            <rFont val="Tahoma"/>
            <family val="2"/>
          </rPr>
          <t xml:space="preserve">
- HS 3,66 từ 01/9/2015
- HS 3,99 từ 01/9/2018
- HS 4,32 từ 01/9/2021</t>
        </r>
      </text>
    </comment>
    <comment ref="J238" authorId="0" shapeId="0">
      <text>
        <r>
          <rPr>
            <b/>
            <sz val="9"/>
            <color indexed="81"/>
            <rFont val="Tahoma"/>
            <family val="2"/>
          </rPr>
          <t>User:</t>
        </r>
        <r>
          <rPr>
            <sz val="9"/>
            <color indexed="81"/>
            <rFont val="Tahoma"/>
            <family val="2"/>
          </rPr>
          <t xml:space="preserve">
- HS 3,66 từ 01/9/2015
- HS 3,99 từ 01/9/2018
- HS 4,32 từ 01/9/2021</t>
        </r>
      </text>
    </comment>
    <comment ref="N238"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text>
        <r>
          <rPr>
            <b/>
            <sz val="9"/>
            <color indexed="81"/>
            <rFont val="Tahoma"/>
            <family val="2"/>
          </rPr>
          <t>User:</t>
        </r>
        <r>
          <rPr>
            <sz val="9"/>
            <color indexed="81"/>
            <rFont val="Tahoma"/>
            <family val="2"/>
          </rPr>
          <t xml:space="preserve">
- HS 3,66 từ 01/9/2015
- HS 3,99 từ 01/9/2018
- HS 4,32 từ 01/9/2021</t>
        </r>
      </text>
    </comment>
    <comment ref="I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text>
        <r>
          <rPr>
            <b/>
            <sz val="9"/>
            <color indexed="81"/>
            <rFont val="Tahoma"/>
            <family val="2"/>
          </rPr>
          <t>User:</t>
        </r>
        <r>
          <rPr>
            <sz val="9"/>
            <color indexed="81"/>
            <rFont val="Tahoma"/>
            <family val="2"/>
          </rPr>
          <t xml:space="preserve">
- HS 3,66 từ 01/9/2015
- HS 3,99 từ 01/9/2018
- HS 4,32 từ 01/9/2021</t>
        </r>
      </text>
    </comment>
    <comment ref="M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text>
        <r>
          <rPr>
            <b/>
            <sz val="9"/>
            <color indexed="81"/>
            <rFont val="Tahoma"/>
            <family val="2"/>
          </rPr>
          <t>Admin:</t>
        </r>
        <r>
          <rPr>
            <sz val="9"/>
            <color indexed="81"/>
            <rFont val="Tahoma"/>
            <family val="2"/>
          </rPr>
          <t xml:space="preserve">
- HS 3,33 từ 01/12/2015
- HS 3,66 từ 01/12/2016
- HS 3,99 từ 01/12/2021</t>
        </r>
      </text>
    </comment>
    <comment ref="J244" authorId="1" shapeId="0">
      <text>
        <r>
          <rPr>
            <b/>
            <sz val="9"/>
            <color indexed="81"/>
            <rFont val="Tahoma"/>
            <family val="2"/>
          </rPr>
          <t>Admin:</t>
        </r>
        <r>
          <rPr>
            <sz val="9"/>
            <color indexed="81"/>
            <rFont val="Tahoma"/>
            <family val="2"/>
          </rPr>
          <t xml:space="preserve">
- HS 3,33 từ 01/12/2015
- HS 3,66 từ 01/12/2016
- HS 3,99 từ 01/12/2021</t>
        </r>
      </text>
    </comment>
    <comment ref="N244" authorId="1" shapeId="0">
      <text>
        <r>
          <rPr>
            <b/>
            <sz val="9"/>
            <color indexed="81"/>
            <rFont val="Tahoma"/>
            <family val="2"/>
          </rPr>
          <t>Admin:</t>
        </r>
        <r>
          <rPr>
            <sz val="9"/>
            <color indexed="81"/>
            <rFont val="Tahoma"/>
            <family val="2"/>
          </rPr>
          <t xml:space="preserve">
- HS 3,33 từ 01/12/2015
- HS 3,66 từ 01/12/2016
- HS 3,99 từ 01/12/2021</t>
        </r>
      </text>
    </comment>
    <comment ref="F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text>
        <r>
          <rPr>
            <b/>
            <sz val="9"/>
            <color indexed="81"/>
            <rFont val="Tahoma"/>
            <family val="2"/>
          </rPr>
          <t>user:</t>
        </r>
        <r>
          <rPr>
            <sz val="9"/>
            <color indexed="81"/>
            <rFont val="Tahoma"/>
            <family val="2"/>
          </rPr>
          <t xml:space="preserve">
- BN CDNN 2.34 từ 1/4/2019
- HS 2,67 từ 01/4/2022</t>
        </r>
      </text>
    </comment>
    <comment ref="I246" authorId="3" shapeId="0">
      <text>
        <r>
          <rPr>
            <b/>
            <sz val="9"/>
            <color indexed="81"/>
            <rFont val="Tahoma"/>
            <family val="2"/>
          </rPr>
          <t>Windows User:</t>
        </r>
        <r>
          <rPr>
            <sz val="9"/>
            <color indexed="81"/>
            <rFont val="Tahoma"/>
            <family val="2"/>
          </rPr>
          <t xml:space="preserve">
- Trưởng BM Điện Công nghiệp từ 01/10/2022</t>
        </r>
      </text>
    </comment>
    <comment ref="J246" authorId="2" shapeId="0">
      <text>
        <r>
          <rPr>
            <b/>
            <sz val="9"/>
            <color indexed="81"/>
            <rFont val="Tahoma"/>
            <family val="2"/>
          </rPr>
          <t>user:</t>
        </r>
        <r>
          <rPr>
            <sz val="9"/>
            <color indexed="81"/>
            <rFont val="Tahoma"/>
            <family val="2"/>
          </rPr>
          <t xml:space="preserve">
- BN CDNN 2.34 từ 1/4/2019
- HS 2,67 từ 01/4/2022</t>
        </r>
      </text>
    </comment>
    <comment ref="M246" authorId="3" shapeId="0">
      <text>
        <r>
          <rPr>
            <b/>
            <sz val="9"/>
            <color indexed="81"/>
            <rFont val="Tahoma"/>
            <family val="2"/>
          </rPr>
          <t>Windows User:</t>
        </r>
        <r>
          <rPr>
            <sz val="9"/>
            <color indexed="81"/>
            <rFont val="Tahoma"/>
            <family val="2"/>
          </rPr>
          <t xml:space="preserve">
- Trưởng BM Điện Công nghiệp từ 01/10/2022</t>
        </r>
      </text>
    </comment>
    <comment ref="N246" authorId="2" shapeId="0">
      <text>
        <r>
          <rPr>
            <b/>
            <sz val="9"/>
            <color indexed="81"/>
            <rFont val="Tahoma"/>
            <family val="2"/>
          </rPr>
          <t>user:</t>
        </r>
        <r>
          <rPr>
            <sz val="9"/>
            <color indexed="81"/>
            <rFont val="Tahoma"/>
            <family val="2"/>
          </rPr>
          <t xml:space="preserve">
- BN CDNN 2.34 từ 1/4/2019
- HS 2,67 từ 01/4/2022</t>
        </r>
      </text>
    </comment>
    <comment ref="Q246" authorId="3" shapeId="0">
      <text>
        <r>
          <rPr>
            <b/>
            <sz val="9"/>
            <color indexed="81"/>
            <rFont val="Tahoma"/>
            <family val="2"/>
          </rPr>
          <t>Windows User:</t>
        </r>
        <r>
          <rPr>
            <sz val="9"/>
            <color indexed="81"/>
            <rFont val="Tahoma"/>
            <family val="2"/>
          </rPr>
          <t xml:space="preserve">
- Trưởng BM Điện Công nghiệp từ 01/10/2022</t>
        </r>
      </text>
    </comment>
    <comment ref="F247" authorId="2" shapeId="0">
      <text>
        <r>
          <rPr>
            <b/>
            <sz val="9"/>
            <color indexed="81"/>
            <rFont val="Tahoma"/>
            <family val="2"/>
          </rPr>
          <t>user:</t>
        </r>
        <r>
          <rPr>
            <sz val="9"/>
            <color indexed="81"/>
            <rFont val="Tahoma"/>
            <family val="2"/>
          </rPr>
          <t xml:space="preserve">
- HS 2,34 từ 01/01/2020
- HS 2,67 từ 01/01/2022 (NL trước hạn)</t>
        </r>
      </text>
    </comment>
    <comment ref="I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text>
        <r>
          <rPr>
            <b/>
            <sz val="9"/>
            <color indexed="81"/>
            <rFont val="Tahoma"/>
            <family val="2"/>
          </rPr>
          <t>user:</t>
        </r>
        <r>
          <rPr>
            <sz val="9"/>
            <color indexed="81"/>
            <rFont val="Tahoma"/>
            <family val="2"/>
          </rPr>
          <t xml:space="preserve">
- HS 2,34 từ 01/01/2020
- HS 2,67 từ 01/01/2022 (NL trước hạn)</t>
        </r>
      </text>
    </comment>
    <comment ref="M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text>
        <r>
          <rPr>
            <b/>
            <sz val="9"/>
            <color indexed="81"/>
            <rFont val="Tahoma"/>
            <family val="2"/>
          </rPr>
          <t>user:</t>
        </r>
        <r>
          <rPr>
            <sz val="9"/>
            <color indexed="81"/>
            <rFont val="Tahoma"/>
            <family val="2"/>
          </rPr>
          <t xml:space="preserve">
- HS 2,34 từ 01/01/2020
- HS 2,67 từ 01/01/2022 (NL trước hạn)</t>
        </r>
      </text>
    </comment>
    <comment ref="Q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text>
        <r>
          <rPr>
            <b/>
            <sz val="9"/>
            <color indexed="81"/>
            <rFont val="Tahoma"/>
            <family val="2"/>
          </rPr>
          <t>Windows User:</t>
        </r>
        <r>
          <rPr>
            <sz val="9"/>
            <color indexed="81"/>
            <rFont val="Tahoma"/>
            <family val="2"/>
          </rPr>
          <t xml:space="preserve">
- HS 2,67 từ 01/10/2023 (BN CDNN)</t>
        </r>
      </text>
    </comment>
    <comment ref="J249" authorId="3" shapeId="0">
      <text>
        <r>
          <rPr>
            <b/>
            <sz val="9"/>
            <color indexed="81"/>
            <rFont val="Tahoma"/>
            <family val="2"/>
          </rPr>
          <t>Windows User:</t>
        </r>
        <r>
          <rPr>
            <sz val="9"/>
            <color indexed="81"/>
            <rFont val="Tahoma"/>
            <family val="2"/>
          </rPr>
          <t xml:space="preserve">
- HS 2,67 từ 01/10/2023 (BN CDNN)</t>
        </r>
      </text>
    </comment>
    <comment ref="N249" authorId="3" shapeId="0">
      <text>
        <r>
          <rPr>
            <b/>
            <sz val="9"/>
            <color indexed="81"/>
            <rFont val="Tahoma"/>
            <family val="2"/>
          </rPr>
          <t>Windows User:</t>
        </r>
        <r>
          <rPr>
            <sz val="9"/>
            <color indexed="81"/>
            <rFont val="Tahoma"/>
            <family val="2"/>
          </rPr>
          <t xml:space="preserve">
- HS 2,67 từ 01/10/2023 (BN CDNN)</t>
        </r>
      </text>
    </comment>
    <comment ref="F250" authorId="3" shapeId="0">
      <text>
        <r>
          <rPr>
            <b/>
            <sz val="9"/>
            <color indexed="81"/>
            <rFont val="Tahoma"/>
            <family val="2"/>
          </rPr>
          <t>Windows User:</t>
        </r>
        <r>
          <rPr>
            <sz val="9"/>
            <color indexed="81"/>
            <rFont val="Tahoma"/>
            <family val="2"/>
          </rPr>
          <t xml:space="preserve">
- HS 2,34 từ 01/10/2023 (BN CDNN)</t>
        </r>
      </text>
    </comment>
    <comment ref="J250" authorId="3" shapeId="0">
      <text>
        <r>
          <rPr>
            <b/>
            <sz val="9"/>
            <color indexed="81"/>
            <rFont val="Tahoma"/>
            <family val="2"/>
          </rPr>
          <t>Windows User:</t>
        </r>
        <r>
          <rPr>
            <sz val="9"/>
            <color indexed="81"/>
            <rFont val="Tahoma"/>
            <family val="2"/>
          </rPr>
          <t xml:space="preserve">
- HS 2,34 từ 01/10/2023 (BN CDNN)</t>
        </r>
      </text>
    </comment>
    <comment ref="N250" authorId="3" shapeId="0">
      <text>
        <r>
          <rPr>
            <b/>
            <sz val="9"/>
            <color indexed="81"/>
            <rFont val="Tahoma"/>
            <family val="2"/>
          </rPr>
          <t>Windows User:</t>
        </r>
        <r>
          <rPr>
            <sz val="9"/>
            <color indexed="81"/>
            <rFont val="Tahoma"/>
            <family val="2"/>
          </rPr>
          <t xml:space="preserve">
- HS 2,34 từ 01/10/2023 (BN CDNN)</t>
        </r>
      </text>
    </comment>
    <comment ref="F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text>
        <r>
          <rPr>
            <b/>
            <sz val="9"/>
            <color indexed="81"/>
            <rFont val="Tahoma"/>
            <family val="2"/>
          </rPr>
          <t>User:</t>
        </r>
        <r>
          <rPr>
            <sz val="9"/>
            <color indexed="81"/>
            <rFont val="Tahoma"/>
            <family val="2"/>
          </rPr>
          <t xml:space="preserve">
- Trưởng khoa Động lực từ 01/8/2015</t>
        </r>
      </text>
    </comment>
    <comment ref="J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text>
        <r>
          <rPr>
            <b/>
            <sz val="9"/>
            <color indexed="81"/>
            <rFont val="Tahoma"/>
            <family val="2"/>
          </rPr>
          <t>User:</t>
        </r>
        <r>
          <rPr>
            <sz val="9"/>
            <color indexed="81"/>
            <rFont val="Tahoma"/>
            <family val="2"/>
          </rPr>
          <t xml:space="preserve">
- Trưởng khoa Động lực từ 01/8/2015</t>
        </r>
      </text>
    </comment>
    <comment ref="N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text>
        <r>
          <rPr>
            <b/>
            <sz val="9"/>
            <color indexed="81"/>
            <rFont val="Tahoma"/>
            <family val="2"/>
          </rPr>
          <t>User:</t>
        </r>
        <r>
          <rPr>
            <sz val="9"/>
            <color indexed="81"/>
            <rFont val="Tahoma"/>
            <family val="2"/>
          </rPr>
          <t xml:space="preserve">
- Trưởng khoa Động lực từ 01/8/2015</t>
        </r>
      </text>
    </comment>
    <comment ref="F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text>
        <r>
          <rPr>
            <b/>
            <sz val="9"/>
            <color indexed="81"/>
            <rFont val="Tahoma"/>
            <family val="2"/>
          </rPr>
          <t>Admin:</t>
        </r>
        <r>
          <rPr>
            <sz val="9"/>
            <color indexed="81"/>
            <rFont val="Tahoma"/>
            <family val="2"/>
          </rPr>
          <t xml:space="preserve">
- Bảo lưu đến hết T5/2018</t>
        </r>
      </text>
    </comment>
    <comment ref="J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text>
        <r>
          <rPr>
            <b/>
            <sz val="9"/>
            <color indexed="81"/>
            <rFont val="Tahoma"/>
            <family val="2"/>
          </rPr>
          <t>Admin:</t>
        </r>
        <r>
          <rPr>
            <sz val="9"/>
            <color indexed="81"/>
            <rFont val="Tahoma"/>
            <family val="2"/>
          </rPr>
          <t xml:space="preserve">
- Bảo lưu đến hết T5/2018</t>
        </r>
      </text>
    </comment>
    <comment ref="N254"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text>
        <r>
          <rPr>
            <b/>
            <sz val="9"/>
            <color indexed="81"/>
            <rFont val="Tahoma"/>
            <family val="2"/>
          </rPr>
          <t>Admin:</t>
        </r>
        <r>
          <rPr>
            <sz val="9"/>
            <color indexed="81"/>
            <rFont val="Tahoma"/>
            <family val="2"/>
          </rPr>
          <t xml:space="preserve">
- Bảo lưu đến hết T5/2018</t>
        </r>
      </text>
    </comment>
    <comment ref="F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text>
        <r>
          <rPr>
            <b/>
            <sz val="9"/>
            <color indexed="81"/>
            <rFont val="Tahoma"/>
            <family val="2"/>
          </rPr>
          <t>User:</t>
        </r>
        <r>
          <rPr>
            <sz val="9"/>
            <color indexed="81"/>
            <rFont val="Tahoma"/>
            <family val="2"/>
          </rPr>
          <t xml:space="preserve">
- HS 3,00 từ 01/9/2015
- HS 3,33 từ 01/9/2018
- HS 3,66 từ 01/9/2021</t>
        </r>
      </text>
    </comment>
    <comment ref="J256" authorId="0" shapeId="0">
      <text>
        <r>
          <rPr>
            <b/>
            <sz val="9"/>
            <color indexed="81"/>
            <rFont val="Tahoma"/>
            <family val="2"/>
          </rPr>
          <t>User:</t>
        </r>
        <r>
          <rPr>
            <sz val="9"/>
            <color indexed="81"/>
            <rFont val="Tahoma"/>
            <family val="2"/>
          </rPr>
          <t xml:space="preserve">
- HS 3,00 từ 01/9/2015
- HS 3,33 từ 01/9/2018
- HS 3,66 từ 01/9/2021</t>
        </r>
      </text>
    </comment>
    <comment ref="N25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text>
        <r>
          <rPr>
            <b/>
            <sz val="9"/>
            <color indexed="81"/>
            <rFont val="Tahoma"/>
            <family val="2"/>
          </rPr>
          <t>Admin:</t>
        </r>
        <r>
          <rPr>
            <sz val="9"/>
            <color indexed="81"/>
            <rFont val="Tahoma"/>
            <family val="2"/>
          </rPr>
          <t xml:space="preserve">
- HS 3,00 từ 01/9/2015
- HS 3,33 từ 01/9/2018
- HS 3,66 từ 01/9/2021</t>
        </r>
      </text>
    </comment>
    <comment ref="J257" authorId="1" shapeId="0">
      <text>
        <r>
          <rPr>
            <b/>
            <sz val="9"/>
            <color indexed="81"/>
            <rFont val="Tahoma"/>
            <family val="2"/>
          </rPr>
          <t>Admin:</t>
        </r>
        <r>
          <rPr>
            <sz val="9"/>
            <color indexed="81"/>
            <rFont val="Tahoma"/>
            <family val="2"/>
          </rPr>
          <t xml:space="preserve">
- HS 3,00 từ 01/9/2015
- HS 3,33 từ 01/9/2018
- HS 3,66 từ 01/9/2021</t>
        </r>
      </text>
    </comment>
    <comment ref="N25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J259" authorId="1" shapeId="0">
      <text>
        <r>
          <rPr>
            <b/>
            <sz val="9"/>
            <color indexed="81"/>
            <rFont val="Tahoma"/>
            <family val="2"/>
          </rPr>
          <t>Admin:</t>
        </r>
        <r>
          <rPr>
            <sz val="9"/>
            <color indexed="81"/>
            <rFont val="Tahoma"/>
            <family val="2"/>
          </rPr>
          <t xml:space="preserve">
- HS 3,00 từ 01/9/2015
- HS 3,33 từ 01/9/2018
- HS 3,66 từ 01/9/2021</t>
        </r>
      </text>
    </comment>
    <comment ref="N259"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text>
        <r>
          <rPr>
            <b/>
            <sz val="9"/>
            <color indexed="81"/>
            <rFont val="Tahoma"/>
            <family val="2"/>
          </rPr>
          <t>Admin:</t>
        </r>
        <r>
          <rPr>
            <sz val="9"/>
            <color indexed="81"/>
            <rFont val="Tahoma"/>
            <family val="2"/>
          </rPr>
          <t xml:space="preserve">
- HS 3,00 từ 01/9/2017
- HS 3,33 từ 01/9/2019
- HS 3,66 từ 01/9/2022
</t>
        </r>
      </text>
    </comment>
    <comment ref="J260" authorId="1" shapeId="0">
      <text>
        <r>
          <rPr>
            <b/>
            <sz val="9"/>
            <color indexed="81"/>
            <rFont val="Tahoma"/>
            <family val="2"/>
          </rPr>
          <t>Admin:</t>
        </r>
        <r>
          <rPr>
            <sz val="9"/>
            <color indexed="81"/>
            <rFont val="Tahoma"/>
            <family val="2"/>
          </rPr>
          <t xml:space="preserve">
- HS 3,00 từ 01/9/2017
- HS 3,33 từ 01/9/2019
- HS 3,66 từ 01/9/2022
</t>
        </r>
      </text>
    </comment>
    <comment ref="N260" authorId="1" shapeId="0">
      <text>
        <r>
          <rPr>
            <b/>
            <sz val="9"/>
            <color indexed="81"/>
            <rFont val="Tahoma"/>
            <family val="2"/>
          </rPr>
          <t>Admin:</t>
        </r>
        <r>
          <rPr>
            <sz val="9"/>
            <color indexed="81"/>
            <rFont val="Tahoma"/>
            <family val="2"/>
          </rPr>
          <t xml:space="preserve">
- HS 3,00 từ 01/9/2017
- HS 3,33 từ 01/9/2019
- HS 3,66 từ 01/9/2022
</t>
        </r>
      </text>
    </comment>
    <comment ref="F261" authorId="8" shapeId="0">
      <text>
        <r>
          <rPr>
            <sz val="9"/>
            <color indexed="81"/>
            <rFont val="Tahoma"/>
            <family val="2"/>
          </rPr>
          <t>- HS 3,00 từ 01/3/2018
- HS 3,33 từ 01/3/2020 (NL trước hạn)
- HS 3,66 từ 01/03/2023</t>
        </r>
      </text>
    </comment>
    <comment ref="J261" authorId="8" shapeId="0">
      <text>
        <r>
          <rPr>
            <sz val="9"/>
            <color indexed="81"/>
            <rFont val="Tahoma"/>
            <family val="2"/>
          </rPr>
          <t>- HS 3,00 từ 01/3/2018
- HS 3,33 từ 01/3/2020 (NL trước hạn)
- HS 3,66 từ 01/03/2023</t>
        </r>
      </text>
    </comment>
    <comment ref="N261" authorId="8" shapeId="0">
      <text>
        <r>
          <rPr>
            <sz val="9"/>
            <color indexed="81"/>
            <rFont val="Tahoma"/>
            <family val="2"/>
          </rPr>
          <t>- HS 3,00 từ 01/3/2018
- HS 3,33 từ 01/3/2020 (NL trước hạn)
- HS 3,66 từ 01/03/2023</t>
        </r>
      </text>
    </comment>
    <comment ref="F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text>
        <r>
          <rPr>
            <b/>
            <sz val="9"/>
            <color indexed="81"/>
            <rFont val="Tahoma"/>
            <family val="2"/>
          </rPr>
          <t>Quynh:</t>
        </r>
        <r>
          <rPr>
            <sz val="9"/>
            <color indexed="81"/>
            <rFont val="Tahoma"/>
            <family val="2"/>
          </rPr>
          <t xml:space="preserve">
- BN Trưởng BM Điện ô tô từ 01/01/2019 </t>
        </r>
      </text>
    </comment>
    <comment ref="J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text>
        <r>
          <rPr>
            <b/>
            <sz val="9"/>
            <color indexed="81"/>
            <rFont val="Tahoma"/>
            <family val="2"/>
          </rPr>
          <t>Quynh:</t>
        </r>
        <r>
          <rPr>
            <sz val="9"/>
            <color indexed="81"/>
            <rFont val="Tahoma"/>
            <family val="2"/>
          </rPr>
          <t xml:space="preserve">
- BN Trưởng BM Điện ô tô từ 01/01/2019 </t>
        </r>
      </text>
    </comment>
    <comment ref="N264"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text>
        <r>
          <rPr>
            <b/>
            <sz val="9"/>
            <color indexed="81"/>
            <rFont val="Tahoma"/>
            <family val="2"/>
          </rPr>
          <t>Quynh:</t>
        </r>
        <r>
          <rPr>
            <sz val="9"/>
            <color indexed="81"/>
            <rFont val="Tahoma"/>
            <family val="2"/>
          </rPr>
          <t xml:space="preserve">
- BN Trưởng BM Điện ô tô từ 01/01/2019 </t>
        </r>
      </text>
    </comment>
    <comment ref="F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text>
        <r>
          <rPr>
            <b/>
            <sz val="9"/>
            <color indexed="81"/>
            <rFont val="Tahoma"/>
            <family val="2"/>
          </rPr>
          <t>user:</t>
        </r>
        <r>
          <rPr>
            <sz val="9"/>
            <color indexed="81"/>
            <rFont val="Tahoma"/>
            <family val="2"/>
          </rPr>
          <t xml:space="preserve">
- HS 2,34 từ 01/10/2019
- HS 2,67 từ 01/10/2021 (NL trước hạn)</t>
        </r>
      </text>
    </comment>
    <comment ref="J266" authorId="2" shapeId="0">
      <text>
        <r>
          <rPr>
            <b/>
            <sz val="9"/>
            <color indexed="81"/>
            <rFont val="Tahoma"/>
            <family val="2"/>
          </rPr>
          <t>user:</t>
        </r>
        <r>
          <rPr>
            <sz val="9"/>
            <color indexed="81"/>
            <rFont val="Tahoma"/>
            <family val="2"/>
          </rPr>
          <t xml:space="preserve">
- HS 2,34 từ 01/10/2019
- HS 2,67 từ 01/10/2021 (NL trước hạn)</t>
        </r>
      </text>
    </comment>
    <comment ref="N266" authorId="2" shapeId="0">
      <text>
        <r>
          <rPr>
            <b/>
            <sz val="9"/>
            <color indexed="81"/>
            <rFont val="Tahoma"/>
            <family val="2"/>
          </rPr>
          <t>user:</t>
        </r>
        <r>
          <rPr>
            <sz val="9"/>
            <color indexed="81"/>
            <rFont val="Tahoma"/>
            <family val="2"/>
          </rPr>
          <t xml:space="preserve">
- HS 2,34 từ 01/10/2019
- HS 2,67 từ 01/10/2021 (NL trước hạn)</t>
        </r>
      </text>
    </comment>
    <comment ref="F267" authorId="2" shapeId="0">
      <text>
        <r>
          <rPr>
            <b/>
            <sz val="9"/>
            <color indexed="81"/>
            <rFont val="Tahoma"/>
            <family val="2"/>
          </rPr>
          <t>user:</t>
        </r>
        <r>
          <rPr>
            <sz val="9"/>
            <color indexed="81"/>
            <rFont val="Tahoma"/>
            <family val="2"/>
          </rPr>
          <t xml:space="preserve">
- HS 2,34 từ 01/10/2019
- HS 2,67 từ 01/10/2022</t>
        </r>
      </text>
    </comment>
    <comment ref="J267" authorId="2" shapeId="0">
      <text>
        <r>
          <rPr>
            <b/>
            <sz val="9"/>
            <color indexed="81"/>
            <rFont val="Tahoma"/>
            <family val="2"/>
          </rPr>
          <t>user:</t>
        </r>
        <r>
          <rPr>
            <sz val="9"/>
            <color indexed="81"/>
            <rFont val="Tahoma"/>
            <family val="2"/>
          </rPr>
          <t xml:space="preserve">
- HS 2,34 từ 01/10/2019
- HS 2,67 từ 01/10/2022</t>
        </r>
      </text>
    </comment>
    <comment ref="N267" authorId="2" shapeId="0">
      <text>
        <r>
          <rPr>
            <b/>
            <sz val="9"/>
            <color indexed="81"/>
            <rFont val="Tahoma"/>
            <family val="2"/>
          </rPr>
          <t>user:</t>
        </r>
        <r>
          <rPr>
            <sz val="9"/>
            <color indexed="81"/>
            <rFont val="Tahoma"/>
            <family val="2"/>
          </rPr>
          <t xml:space="preserve">
- HS 2,34 từ 01/10/2019
- HS 2,67 từ 01/10/2022</t>
        </r>
      </text>
    </comment>
    <comment ref="F268" authorId="2" shapeId="0">
      <text>
        <r>
          <rPr>
            <b/>
            <sz val="9"/>
            <color indexed="81"/>
            <rFont val="Tahoma"/>
            <family val="2"/>
          </rPr>
          <t>user:</t>
        </r>
        <r>
          <rPr>
            <sz val="9"/>
            <color indexed="81"/>
            <rFont val="Tahoma"/>
            <family val="2"/>
          </rPr>
          <t xml:space="preserve">
- HS 2,67 từ 01/01/2020
- HS 3,00 từ 01/01/2022 (NL trước hạn)</t>
        </r>
      </text>
    </comment>
    <comment ref="J268" authorId="2" shapeId="0">
      <text>
        <r>
          <rPr>
            <b/>
            <sz val="9"/>
            <color indexed="81"/>
            <rFont val="Tahoma"/>
            <family val="2"/>
          </rPr>
          <t>user:</t>
        </r>
        <r>
          <rPr>
            <sz val="9"/>
            <color indexed="81"/>
            <rFont val="Tahoma"/>
            <family val="2"/>
          </rPr>
          <t xml:space="preserve">
- HS 2,67 từ 01/01/2020
- HS 3,00 từ 01/01/2022 (NL trước hạn)</t>
        </r>
      </text>
    </comment>
    <comment ref="N268" authorId="2" shapeId="0">
      <text>
        <r>
          <rPr>
            <b/>
            <sz val="9"/>
            <color indexed="81"/>
            <rFont val="Tahoma"/>
            <family val="2"/>
          </rPr>
          <t>user:</t>
        </r>
        <r>
          <rPr>
            <sz val="9"/>
            <color indexed="81"/>
            <rFont val="Tahoma"/>
            <family val="2"/>
          </rPr>
          <t xml:space="preserve">
- HS 2,67 từ 01/01/2020
- HS 3,00 từ 01/01/2022 (NL trước hạn)</t>
        </r>
      </text>
    </comment>
    <comment ref="F269" authorId="2" shapeId="0">
      <text>
        <r>
          <rPr>
            <b/>
            <sz val="9"/>
            <color indexed="81"/>
            <rFont val="Tahoma"/>
            <family val="2"/>
          </rPr>
          <t>user:</t>
        </r>
        <r>
          <rPr>
            <sz val="9"/>
            <color indexed="81"/>
            <rFont val="Tahoma"/>
            <family val="2"/>
          </rPr>
          <t xml:space="preserve">
- HS 3,00 từ 01/11/2019
- HS 3,33 từ 01/12/2020
- HS 3,66 từ 01/12/2022</t>
        </r>
      </text>
    </comment>
    <comment ref="J269" authorId="2" shapeId="0">
      <text>
        <r>
          <rPr>
            <b/>
            <sz val="9"/>
            <color indexed="81"/>
            <rFont val="Tahoma"/>
            <family val="2"/>
          </rPr>
          <t>user:</t>
        </r>
        <r>
          <rPr>
            <sz val="9"/>
            <color indexed="81"/>
            <rFont val="Tahoma"/>
            <family val="2"/>
          </rPr>
          <t xml:space="preserve">
- HS 3,00 từ 01/11/2019
- HS 3,33 từ 01/12/2020
- HS 3,66 từ 01/12/2022</t>
        </r>
      </text>
    </comment>
    <comment ref="N269" authorId="2" shapeId="0">
      <text>
        <r>
          <rPr>
            <b/>
            <sz val="9"/>
            <color indexed="81"/>
            <rFont val="Tahoma"/>
            <family val="2"/>
          </rPr>
          <t>user:</t>
        </r>
        <r>
          <rPr>
            <sz val="9"/>
            <color indexed="81"/>
            <rFont val="Tahoma"/>
            <family val="2"/>
          </rPr>
          <t xml:space="preserve">
- HS 3,00 từ 01/11/2019
- HS 3,33 từ 01/12/2020
- HS 3,66 từ 01/12/2022</t>
        </r>
      </text>
    </comment>
    <comment ref="F270" authorId="2" shapeId="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text>
        <r>
          <rPr>
            <b/>
            <sz val="9"/>
            <color indexed="81"/>
            <rFont val="Tahoma"/>
            <family val="2"/>
          </rPr>
          <t>user:</t>
        </r>
        <r>
          <rPr>
            <sz val="9"/>
            <color indexed="81"/>
            <rFont val="Tahoma"/>
            <family val="2"/>
          </rPr>
          <t xml:space="preserve">
- Tuyển dụng từ 01/4/2021 (85%)
- HS 2,34 từ 01/4/2022</t>
        </r>
      </text>
    </comment>
    <comment ref="J272" authorId="2" shapeId="0">
      <text>
        <r>
          <rPr>
            <b/>
            <sz val="9"/>
            <color indexed="81"/>
            <rFont val="Tahoma"/>
            <family val="2"/>
          </rPr>
          <t>user:</t>
        </r>
        <r>
          <rPr>
            <sz val="9"/>
            <color indexed="81"/>
            <rFont val="Tahoma"/>
            <family val="2"/>
          </rPr>
          <t xml:space="preserve">
- Tuyển dụng từ 01/4/2021 (85%)
- HS 2,34 từ 01/4/2022</t>
        </r>
      </text>
    </comment>
    <comment ref="N272" authorId="2" shapeId="0">
      <text>
        <r>
          <rPr>
            <b/>
            <sz val="9"/>
            <color indexed="81"/>
            <rFont val="Tahoma"/>
            <family val="2"/>
          </rPr>
          <t>user:</t>
        </r>
        <r>
          <rPr>
            <sz val="9"/>
            <color indexed="81"/>
            <rFont val="Tahoma"/>
            <family val="2"/>
          </rPr>
          <t xml:space="preserve">
- Tuyển dụng từ 01/4/2021 (85%)
- HS 2,34 từ 01/4/2022</t>
        </r>
      </text>
    </comment>
    <comment ref="F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text>
        <r>
          <rPr>
            <b/>
            <sz val="9"/>
            <color indexed="81"/>
            <rFont val="Tahoma"/>
            <family val="2"/>
          </rPr>
          <t>Windows User:</t>
        </r>
        <r>
          <rPr>
            <sz val="9"/>
            <color indexed="81"/>
            <rFont val="Tahoma"/>
            <family val="2"/>
          </rPr>
          <t xml:space="preserve">
- HS 3,00 từ 01/10/2022
- HS 3,33 từ 01/01/2023</t>
        </r>
      </text>
    </comment>
    <comment ref="J274" authorId="3" shapeId="0">
      <text>
        <r>
          <rPr>
            <b/>
            <sz val="9"/>
            <color indexed="81"/>
            <rFont val="Tahoma"/>
            <family val="2"/>
          </rPr>
          <t>Windows User:</t>
        </r>
        <r>
          <rPr>
            <sz val="9"/>
            <color indexed="81"/>
            <rFont val="Tahoma"/>
            <family val="2"/>
          </rPr>
          <t xml:space="preserve">
- HS 3,00 từ 01/10/2022
- HS 3,33 từ 01/01/2023</t>
        </r>
      </text>
    </comment>
    <comment ref="N274" authorId="3" shapeId="0">
      <text>
        <r>
          <rPr>
            <b/>
            <sz val="9"/>
            <color indexed="81"/>
            <rFont val="Tahoma"/>
            <family val="2"/>
          </rPr>
          <t>Windows User:</t>
        </r>
        <r>
          <rPr>
            <sz val="9"/>
            <color indexed="81"/>
            <rFont val="Tahoma"/>
            <family val="2"/>
          </rPr>
          <t xml:space="preserve">
- HS 3,00 từ 01/10/2022
- HS 3,33 từ 01/01/2023</t>
        </r>
      </text>
    </comment>
    <comment ref="F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text>
        <r>
          <rPr>
            <b/>
            <sz val="9"/>
            <color indexed="81"/>
            <rFont val="Tahoma"/>
            <family val="2"/>
          </rPr>
          <t>Admin:</t>
        </r>
        <r>
          <rPr>
            <sz val="9"/>
            <color indexed="81"/>
            <rFont val="Tahoma"/>
            <family val="2"/>
          </rPr>
          <t xml:space="preserve">
- HS 3,99 từ 01/9/2017
- HS 4,32 từ 01/9/2020
- HS 4,65 từ 01/9/2022</t>
        </r>
      </text>
    </comment>
    <comment ref="J277" authorId="1" shapeId="0">
      <text>
        <r>
          <rPr>
            <b/>
            <sz val="9"/>
            <color indexed="81"/>
            <rFont val="Tahoma"/>
            <family val="2"/>
          </rPr>
          <t>Admin:</t>
        </r>
        <r>
          <rPr>
            <sz val="9"/>
            <color indexed="81"/>
            <rFont val="Tahoma"/>
            <family val="2"/>
          </rPr>
          <t xml:space="preserve">
- HS 3,99 từ 01/9/2017
- HS 4,32 từ 01/9/2020
- HS 4,65 từ 01/9/2022</t>
        </r>
      </text>
    </comment>
    <comment ref="N277" authorId="1" shapeId="0">
      <text>
        <r>
          <rPr>
            <b/>
            <sz val="9"/>
            <color indexed="81"/>
            <rFont val="Tahoma"/>
            <family val="2"/>
          </rPr>
          <t>Admin:</t>
        </r>
        <r>
          <rPr>
            <sz val="9"/>
            <color indexed="81"/>
            <rFont val="Tahoma"/>
            <family val="2"/>
          </rPr>
          <t xml:space="preserve">
- HS 3,99 từ 01/9/2017
- HS 4,32 từ 01/9/2020
- HS 4,65 từ 01/9/2022</t>
        </r>
      </text>
    </comment>
    <comment ref="F278" authorId="1" shapeId="0">
      <text>
        <r>
          <rPr>
            <b/>
            <sz val="9"/>
            <color indexed="81"/>
            <rFont val="Tahoma"/>
            <family val="2"/>
          </rPr>
          <t>Admin:</t>
        </r>
        <r>
          <rPr>
            <sz val="9"/>
            <color indexed="81"/>
            <rFont val="Tahoma"/>
            <family val="2"/>
          </rPr>
          <t xml:space="preserve">
- HS 3,99 từ 01/9/2017
- HS 4,32 từ 01/9/2020
- HS 4,65 từ 01/9/2023</t>
        </r>
      </text>
    </comment>
    <comment ref="J278" authorId="1" shapeId="0">
      <text>
        <r>
          <rPr>
            <b/>
            <sz val="9"/>
            <color indexed="81"/>
            <rFont val="Tahoma"/>
            <family val="2"/>
          </rPr>
          <t>Admin:</t>
        </r>
        <r>
          <rPr>
            <sz val="9"/>
            <color indexed="81"/>
            <rFont val="Tahoma"/>
            <family val="2"/>
          </rPr>
          <t xml:space="preserve">
- HS 3,99 từ 01/9/2017
- HS 4,32 từ 01/9/2020
- HS 4,65 từ 01/9/2023</t>
        </r>
      </text>
    </comment>
    <comment ref="N278" authorId="1" shapeId="0">
      <text>
        <r>
          <rPr>
            <b/>
            <sz val="9"/>
            <color indexed="81"/>
            <rFont val="Tahoma"/>
            <family val="2"/>
          </rPr>
          <t>Admin:</t>
        </r>
        <r>
          <rPr>
            <sz val="9"/>
            <color indexed="81"/>
            <rFont val="Tahoma"/>
            <family val="2"/>
          </rPr>
          <t xml:space="preserve">
- HS 3,99 từ 01/9/2017
- HS 4,32 từ 01/9/2020
- HS 4,65 từ 01/9/2023</t>
        </r>
      </text>
    </comment>
    <comment ref="F279" authorId="1" shapeId="0">
      <text>
        <r>
          <rPr>
            <b/>
            <sz val="9"/>
            <color indexed="81"/>
            <rFont val="Tahoma"/>
            <family val="2"/>
          </rPr>
          <t>Admin:</t>
        </r>
        <r>
          <rPr>
            <sz val="9"/>
            <color indexed="81"/>
            <rFont val="Tahoma"/>
            <family val="2"/>
          </rPr>
          <t xml:space="preserve">
- HS 3,00 từ 01/9/2016
- HS 3,33 từ 01/9/2019
- HS 3,66 từ 01/9/2022</t>
        </r>
      </text>
    </comment>
    <comment ref="J279" authorId="1" shapeId="0">
      <text>
        <r>
          <rPr>
            <b/>
            <sz val="9"/>
            <color indexed="81"/>
            <rFont val="Tahoma"/>
            <family val="2"/>
          </rPr>
          <t>Admin:</t>
        </r>
        <r>
          <rPr>
            <sz val="9"/>
            <color indexed="81"/>
            <rFont val="Tahoma"/>
            <family val="2"/>
          </rPr>
          <t xml:space="preserve">
- HS 3,00 từ 01/9/2016
- HS 3,33 từ 01/9/2019
- HS 3,66 từ 01/9/2022</t>
        </r>
      </text>
    </comment>
    <comment ref="N279" authorId="1" shapeId="0">
      <text>
        <r>
          <rPr>
            <b/>
            <sz val="9"/>
            <color indexed="81"/>
            <rFont val="Tahoma"/>
            <family val="2"/>
          </rPr>
          <t>Admin:</t>
        </r>
        <r>
          <rPr>
            <sz val="9"/>
            <color indexed="81"/>
            <rFont val="Tahoma"/>
            <family val="2"/>
          </rPr>
          <t xml:space="preserve">
- HS 3,00 từ 01/9/2016
- HS 3,33 từ 01/9/2019
- HS 3,66 từ 01/9/2022</t>
        </r>
      </text>
    </comment>
    <comment ref="F280" authorId="1" shapeId="0">
      <text>
        <r>
          <rPr>
            <b/>
            <sz val="9"/>
            <color indexed="81"/>
            <rFont val="Tahoma"/>
            <family val="2"/>
          </rPr>
          <t>Admin:</t>
        </r>
        <r>
          <rPr>
            <sz val="9"/>
            <color indexed="81"/>
            <rFont val="Tahoma"/>
            <family val="2"/>
          </rPr>
          <t xml:space="preserve">
- HS 3,00 từ 01/9/2017
- HS 3,33 từ 01/9/2020
- HS 3,66 từ 01/9/2023</t>
        </r>
      </text>
    </comment>
    <comment ref="J280" authorId="1" shapeId="0">
      <text>
        <r>
          <rPr>
            <b/>
            <sz val="9"/>
            <color indexed="81"/>
            <rFont val="Tahoma"/>
            <family val="2"/>
          </rPr>
          <t>Admin:</t>
        </r>
        <r>
          <rPr>
            <sz val="9"/>
            <color indexed="81"/>
            <rFont val="Tahoma"/>
            <family val="2"/>
          </rPr>
          <t xml:space="preserve">
- HS 3,00 từ 01/9/2017
- HS 3,33 từ 01/9/2020
- HS 3,66 từ 01/9/2023</t>
        </r>
      </text>
    </comment>
    <comment ref="N280" authorId="1" shapeId="0">
      <text>
        <r>
          <rPr>
            <b/>
            <sz val="9"/>
            <color indexed="81"/>
            <rFont val="Tahoma"/>
            <family val="2"/>
          </rPr>
          <t>Admin:</t>
        </r>
        <r>
          <rPr>
            <sz val="9"/>
            <color indexed="81"/>
            <rFont val="Tahoma"/>
            <family val="2"/>
          </rPr>
          <t xml:space="preserve">
- HS 3,00 từ 01/9/2017
- HS 3,33 từ 01/9/2020
- HS 3,66 từ 01/9/2023</t>
        </r>
      </text>
    </comment>
    <comment ref="F281" authorId="1" shapeId="0">
      <text>
        <r>
          <rPr>
            <b/>
            <sz val="9"/>
            <color indexed="81"/>
            <rFont val="Tahoma"/>
            <family val="2"/>
          </rPr>
          <t>Admin:</t>
        </r>
        <r>
          <rPr>
            <sz val="9"/>
            <color indexed="81"/>
            <rFont val="Tahoma"/>
            <family val="2"/>
          </rPr>
          <t xml:space="preserve">
- HS 3,66 từ 01/9/2016
- HS 3,99 từ 01/9/2019
- HS 4,32 từ 01/9/2022</t>
        </r>
      </text>
    </comment>
    <comment ref="J281" authorId="1" shapeId="0">
      <text>
        <r>
          <rPr>
            <b/>
            <sz val="9"/>
            <color indexed="81"/>
            <rFont val="Tahoma"/>
            <family val="2"/>
          </rPr>
          <t>Admin:</t>
        </r>
        <r>
          <rPr>
            <sz val="9"/>
            <color indexed="81"/>
            <rFont val="Tahoma"/>
            <family val="2"/>
          </rPr>
          <t xml:space="preserve">
- HS 3,66 từ 01/9/2016
- HS 3,99 từ 01/9/2019
- HS 4,32 từ 01/9/2022</t>
        </r>
      </text>
    </comment>
    <comment ref="N281" authorId="1" shapeId="0">
      <text>
        <r>
          <rPr>
            <b/>
            <sz val="9"/>
            <color indexed="81"/>
            <rFont val="Tahoma"/>
            <family val="2"/>
          </rPr>
          <t>Admin:</t>
        </r>
        <r>
          <rPr>
            <sz val="9"/>
            <color indexed="81"/>
            <rFont val="Tahoma"/>
            <family val="2"/>
          </rPr>
          <t xml:space="preserve">
- HS 3,66 từ 01/9/2016
- HS 3,99 từ 01/9/2019
- HS 4,32 từ 01/9/2022</t>
        </r>
      </text>
    </comment>
    <comment ref="F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text>
        <r>
          <rPr>
            <b/>
            <sz val="9"/>
            <color indexed="81"/>
            <rFont val="Tahoma"/>
            <family val="2"/>
          </rPr>
          <t>User:</t>
        </r>
        <r>
          <rPr>
            <sz val="9"/>
            <color indexed="81"/>
            <rFont val="Tahoma"/>
            <family val="2"/>
          </rPr>
          <t xml:space="preserve">
- HS 4,32 từ 01/10/2015
- HS 4,65 từ 01/10/2018
- HS 4,98 từ 01/10/2021</t>
        </r>
      </text>
    </comment>
    <comment ref="J283" authorId="0" shapeId="0">
      <text>
        <r>
          <rPr>
            <b/>
            <sz val="9"/>
            <color indexed="81"/>
            <rFont val="Tahoma"/>
            <family val="2"/>
          </rPr>
          <t>User:</t>
        </r>
        <r>
          <rPr>
            <sz val="9"/>
            <color indexed="81"/>
            <rFont val="Tahoma"/>
            <family val="2"/>
          </rPr>
          <t xml:space="preserve">
- HS 4,32 từ 01/10/2015
- HS 4,65 từ 01/10/2018
- HS 4,98 từ 01/10/2021</t>
        </r>
      </text>
    </comment>
    <comment ref="N283" authorId="0" shapeId="0">
      <text>
        <r>
          <rPr>
            <b/>
            <sz val="9"/>
            <color indexed="81"/>
            <rFont val="Tahoma"/>
            <family val="2"/>
          </rPr>
          <t>User:</t>
        </r>
        <r>
          <rPr>
            <sz val="9"/>
            <color indexed="81"/>
            <rFont val="Tahoma"/>
            <family val="2"/>
          </rPr>
          <t xml:space="preserve">
- HS 4,32 từ 01/10/2015
- HS 4,65 từ 01/10/2018
- HS 4,98 từ 01/10/2021</t>
        </r>
      </text>
    </comment>
    <comment ref="F284" authorId="8" shapeId="0">
      <text>
        <r>
          <rPr>
            <sz val="9"/>
            <color indexed="81"/>
            <rFont val="Tahoma"/>
            <family val="2"/>
          </rPr>
          <t>- HS 2,67 hưởng từ 01/9 làm bảng truy lãnh từ tháng 9-11/2017
- HS 3,00 từ 01/9/2019
- HS 3,33 từ 01/9/2022</t>
        </r>
      </text>
    </comment>
    <comment ref="I284" authorId="1" shapeId="0">
      <text>
        <r>
          <rPr>
            <b/>
            <sz val="9"/>
            <color indexed="81"/>
            <rFont val="Tahoma"/>
            <family val="2"/>
          </rPr>
          <t>Admin:</t>
        </r>
        <r>
          <rPr>
            <sz val="9"/>
            <color indexed="81"/>
            <rFont val="Tahoma"/>
            <family val="2"/>
          </rPr>
          <t xml:space="preserve">
- BN Phó TK từ 01/8/2018</t>
        </r>
      </text>
    </comment>
    <comment ref="J284" authorId="8" shapeId="0">
      <text>
        <r>
          <rPr>
            <sz val="9"/>
            <color indexed="81"/>
            <rFont val="Tahoma"/>
            <family val="2"/>
          </rPr>
          <t>- HS 2,67 hưởng từ 01/9 làm bảng truy lãnh từ tháng 9-11/2017
- HS 3,00 từ 01/9/2019
- HS 3,33 từ 01/9/2022</t>
        </r>
      </text>
    </comment>
    <comment ref="M284" authorId="1" shapeId="0">
      <text>
        <r>
          <rPr>
            <b/>
            <sz val="9"/>
            <color indexed="81"/>
            <rFont val="Tahoma"/>
            <family val="2"/>
          </rPr>
          <t>Admin:</t>
        </r>
        <r>
          <rPr>
            <sz val="9"/>
            <color indexed="81"/>
            <rFont val="Tahoma"/>
            <family val="2"/>
          </rPr>
          <t xml:space="preserve">
- BN Phó TK từ 01/8/2018</t>
        </r>
      </text>
    </comment>
    <comment ref="N284" authorId="8" shapeId="0">
      <text>
        <r>
          <rPr>
            <sz val="9"/>
            <color indexed="81"/>
            <rFont val="Tahoma"/>
            <family val="2"/>
          </rPr>
          <t>- HS 2,67 hưởng từ 01/9 làm bảng truy lãnh từ tháng 9-11/2017
- HS 3,00 từ 01/9/2019
- HS 3,33 từ 01/9/2022</t>
        </r>
      </text>
    </comment>
    <comment ref="Q284" authorId="1" shapeId="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 ref="I290" authorId="1" shapeId="0">
      <text>
        <r>
          <rPr>
            <b/>
            <sz val="9"/>
            <color indexed="81"/>
            <rFont val="Tahoma"/>
            <family val="2"/>
          </rPr>
          <t>Admin:</t>
        </r>
        <r>
          <rPr>
            <sz val="9"/>
            <color indexed="81"/>
            <rFont val="Tahoma"/>
            <family val="2"/>
          </rPr>
          <t xml:space="preserve">
4.873.050 từ 01/11/2021
- 5.417.685 từ 01/11/2023</t>
        </r>
      </text>
    </comment>
    <comment ref="H292" authorId="3" shapeId="0">
      <text>
        <r>
          <rPr>
            <b/>
            <sz val="9"/>
            <color indexed="81"/>
            <rFont val="Tahoma"/>
            <family val="2"/>
          </rPr>
          <t>Windows User:</t>
        </r>
        <r>
          <rPr>
            <sz val="9"/>
            <color indexed="81"/>
            <rFont val="Tahoma"/>
            <family val="2"/>
          </rPr>
          <t xml:space="preserve">
Chuyển mã D.03 sang D.02 từ 01/9/2023</t>
        </r>
      </text>
    </comment>
    <comment ref="I292" authorId="3" shapeId="0">
      <text>
        <r>
          <rPr>
            <b/>
            <sz val="9"/>
            <color indexed="81"/>
            <rFont val="Tahoma"/>
            <family val="2"/>
          </rPr>
          <t>Windows User:</t>
        </r>
        <r>
          <rPr>
            <sz val="9"/>
            <color indexed="81"/>
            <rFont val="Tahoma"/>
            <family val="2"/>
          </rPr>
          <t xml:space="preserve">
- 5.007.600 từ 01/9/2023</t>
        </r>
      </text>
    </comment>
    <comment ref="I295" authorId="3" shapeId="0">
      <text>
        <r>
          <rPr>
            <b/>
            <sz val="9"/>
            <color indexed="81"/>
            <rFont val="Tahoma"/>
            <family val="2"/>
          </rPr>
          <t>Windows User:</t>
        </r>
        <r>
          <rPr>
            <sz val="9"/>
            <color indexed="81"/>
            <rFont val="Tahoma"/>
            <family val="2"/>
          </rPr>
          <t xml:space="preserve">
- 7.623.227 từ 01/02/2023</t>
        </r>
      </text>
    </comment>
    <comment ref="I296" authorId="2" shapeId="0">
      <text>
        <r>
          <rPr>
            <b/>
            <sz val="9"/>
            <color indexed="81"/>
            <rFont val="Tahoma"/>
            <family val="2"/>
          </rPr>
          <t>user:</t>
        </r>
        <r>
          <rPr>
            <sz val="9"/>
            <color indexed="81"/>
            <rFont val="Tahoma"/>
            <family val="2"/>
          </rPr>
          <t xml:space="preserve">
- 5.372.538 từ 01/11/2021
- 5.972.998 từ 01/11/2023</t>
        </r>
      </text>
    </comment>
    <comment ref="I297" authorId="2" shapeId="0">
      <text>
        <r>
          <rPr>
            <b/>
            <sz val="9"/>
            <color indexed="81"/>
            <rFont val="Tahoma"/>
            <family val="2"/>
          </rPr>
          <t>user:</t>
        </r>
        <r>
          <rPr>
            <sz val="9"/>
            <color indexed="81"/>
            <rFont val="Tahoma"/>
            <family val="2"/>
          </rPr>
          <t xml:space="preserve">
- 5.372.538 từ 01/11/2021
- 5.972.538 từ 01/11/2023</t>
        </r>
      </text>
    </comment>
    <comment ref="I298" authorId="2" shapeId="0">
      <text>
        <r>
          <rPr>
            <b/>
            <sz val="9"/>
            <color indexed="81"/>
            <rFont val="Tahoma"/>
            <family val="2"/>
          </rPr>
          <t>user:</t>
        </r>
        <r>
          <rPr>
            <sz val="9"/>
            <color indexed="81"/>
            <rFont val="Tahoma"/>
            <family val="2"/>
          </rPr>
          <t xml:space="preserve">
- 5.060.458 từ 01/12/2020 (HĐLĐ)
- 5.733. 201 từ 01/12/2023</t>
        </r>
      </text>
    </comment>
    <comment ref="I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text>
        <r>
          <rPr>
            <b/>
            <sz val="9"/>
            <color indexed="81"/>
            <rFont val="Tahoma"/>
            <family val="2"/>
          </rPr>
          <t>Windows User:</t>
        </r>
        <r>
          <rPr>
            <sz val="9"/>
            <color indexed="81"/>
            <rFont val="Tahoma"/>
            <family val="2"/>
          </rPr>
          <t xml:space="preserve">
- 8.992.930 từ 01/7/2023</t>
        </r>
      </text>
    </comment>
    <comment ref="I305" authorId="3" shapeId="0">
      <text>
        <r>
          <rPr>
            <b/>
            <sz val="9"/>
            <color indexed="81"/>
            <rFont val="Tahoma"/>
            <family val="2"/>
          </rPr>
          <t>Windows User:</t>
        </r>
        <r>
          <rPr>
            <sz val="9"/>
            <color indexed="81"/>
            <rFont val="Tahoma"/>
            <family val="2"/>
          </rPr>
          <t xml:space="preserve">
- 8.041.111 từ 01/7/2023</t>
        </r>
      </text>
    </comment>
    <comment ref="I306" authorId="2" shapeId="0">
      <text>
        <r>
          <rPr>
            <b/>
            <sz val="9"/>
            <color indexed="81"/>
            <rFont val="Tahoma"/>
            <family val="2"/>
          </rPr>
          <t>user:</t>
        </r>
        <r>
          <rPr>
            <sz val="9"/>
            <color indexed="81"/>
            <rFont val="Tahoma"/>
            <family val="2"/>
          </rPr>
          <t xml:space="preserve">
- 6.151.018 từ 01/07/2021 (Nâng lương trước hạn)</t>
        </r>
      </text>
    </comment>
    <comment ref="I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text>
        <r>
          <rPr>
            <b/>
            <sz val="9"/>
            <color indexed="81"/>
            <rFont val="Tahoma"/>
            <family val="2"/>
          </rPr>
          <t>Windows User:</t>
        </r>
        <r>
          <rPr>
            <sz val="9"/>
            <color indexed="81"/>
            <rFont val="Tahoma"/>
            <family val="2"/>
          </rPr>
          <t xml:space="preserve">
- 7.180.409 từ 01/01/2023</t>
        </r>
      </text>
    </comment>
    <comment ref="I309" authorId="2" shapeId="0">
      <text>
        <r>
          <rPr>
            <b/>
            <sz val="9"/>
            <color indexed="81"/>
            <rFont val="Tahoma"/>
            <family val="2"/>
          </rPr>
          <t>user:</t>
        </r>
        <r>
          <rPr>
            <sz val="9"/>
            <color indexed="81"/>
            <rFont val="Tahoma"/>
            <family val="2"/>
          </rPr>
          <t xml:space="preserve">
- 4.965.870 từ 01/6/2021
- 5.520.879 từ 01/6/2023</t>
        </r>
      </text>
    </comment>
    <comment ref="I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text>
        <r>
          <rPr>
            <sz val="9"/>
            <color indexed="81"/>
            <rFont val="Tahoma"/>
            <family val="2"/>
          </rPr>
          <t>QĐ bổ nhiệm Tổ trưởng từ 01/01/2018</t>
        </r>
        <r>
          <rPr>
            <sz val="9"/>
            <color indexed="81"/>
            <rFont val="Tahoma"/>
            <family val="2"/>
          </rPr>
          <t xml:space="preserve">
</t>
        </r>
      </text>
    </comment>
    <comment ref="I311" authorId="2" shapeId="0">
      <text>
        <r>
          <rPr>
            <b/>
            <sz val="9"/>
            <color indexed="81"/>
            <rFont val="Tahoma"/>
            <family val="2"/>
          </rPr>
          <t>user:</t>
        </r>
        <r>
          <rPr>
            <sz val="9"/>
            <color indexed="81"/>
            <rFont val="Tahoma"/>
            <family val="2"/>
          </rPr>
          <t xml:space="preserve">
- 7.199.714 từ 01/7/2021
- 8.044.388 từ 01/7/2023</t>
        </r>
      </text>
    </comment>
    <comment ref="I312"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- 5.159.700 từ 01/6/2024</t>
        </r>
      </text>
    </comment>
    <comment ref="I314" authorId="3" shapeId="0">
      <text>
        <r>
          <rPr>
            <b/>
            <sz val="9"/>
            <color indexed="81"/>
            <rFont val="Tahoma"/>
            <family val="2"/>
          </rPr>
          <t>Windows User:</t>
        </r>
        <r>
          <rPr>
            <sz val="9"/>
            <color indexed="81"/>
            <rFont val="Tahoma"/>
            <family val="2"/>
          </rPr>
          <t xml:space="preserve">
- 4.680.000 lên 4.914.000 từ 01/11/2022</t>
        </r>
      </text>
    </comment>
    <comment ref="I315" authorId="3" shapeId="0">
      <text>
        <r>
          <rPr>
            <b/>
            <sz val="9"/>
            <color indexed="81"/>
            <rFont val="Tahoma"/>
            <family val="2"/>
          </rPr>
          <t>Windows User:</t>
        </r>
        <r>
          <rPr>
            <sz val="9"/>
            <color indexed="81"/>
            <rFont val="Tahoma"/>
            <family val="2"/>
          </rPr>
          <t xml:space="preserve">
- Từ 4.680.000 lên 4.914.000 từ 01/11/2022</t>
        </r>
      </text>
    </comment>
    <comment ref="I316" authorId="2" shapeId="0">
      <text>
        <r>
          <rPr>
            <b/>
            <sz val="9"/>
            <color indexed="81"/>
            <rFont val="Tahoma"/>
            <family val="2"/>
          </rPr>
          <t>user:</t>
        </r>
        <r>
          <rPr>
            <sz val="9"/>
            <color indexed="81"/>
            <rFont val="Tahoma"/>
            <family val="2"/>
          </rPr>
          <t xml:space="preserve">
- 4.420.000 từ 01/4/2021</t>
        </r>
      </text>
    </comment>
    <comment ref="I317"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- 5.007.600 từ 01/5/2024</t>
        </r>
      </text>
    </comment>
    <comment ref="I319" authorId="3" shapeId="0">
      <text>
        <r>
          <rPr>
            <b/>
            <sz val="9"/>
            <color indexed="81"/>
            <rFont val="Tahoma"/>
            <family val="2"/>
          </rPr>
          <t>Windows User:</t>
        </r>
        <r>
          <rPr>
            <sz val="9"/>
            <color indexed="81"/>
            <rFont val="Tahoma"/>
            <family val="2"/>
          </rPr>
          <t xml:space="preserve">
- 5.007.600 từ ngày 01/6/2024</t>
        </r>
      </text>
    </comment>
    <comment ref="I321" authorId="3" shapeId="0">
      <text>
        <r>
          <rPr>
            <b/>
            <sz val="9"/>
            <color indexed="81"/>
            <rFont val="Tahoma"/>
            <family val="2"/>
          </rPr>
          <t>Windows User:</t>
        </r>
        <r>
          <rPr>
            <sz val="9"/>
            <color indexed="81"/>
            <rFont val="Tahoma"/>
            <family val="2"/>
          </rPr>
          <t xml:space="preserve">
- 7.046.196 từ 01/01/2024</t>
        </r>
      </text>
    </comment>
    <comment ref="I322" authorId="3" shapeId="0">
      <text>
        <r>
          <rPr>
            <b/>
            <sz val="9"/>
            <color indexed="81"/>
            <rFont val="Tahoma"/>
            <family val="2"/>
          </rPr>
          <t>Windows User:</t>
        </r>
        <r>
          <rPr>
            <sz val="9"/>
            <color indexed="81"/>
            <rFont val="Tahoma"/>
            <family val="2"/>
          </rPr>
          <t xml:space="preserve">
- 4.914.000 từ 01/5/2024</t>
        </r>
      </text>
    </comment>
    <comment ref="I323"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text>
        <r>
          <rPr>
            <b/>
            <sz val="9"/>
            <color indexed="81"/>
            <rFont val="Tahoma"/>
            <family val="2"/>
          </rPr>
          <t>Windows User:</t>
        </r>
        <r>
          <rPr>
            <sz val="9"/>
            <color indexed="81"/>
            <rFont val="Tahoma"/>
            <family val="2"/>
          </rPr>
          <t xml:space="preserve">
- 5.733.201 từ 01/8/2023</t>
        </r>
      </text>
    </comment>
    <comment ref="I326" authorId="2" shapeId="0">
      <text>
        <r>
          <rPr>
            <b/>
            <sz val="9"/>
            <color indexed="81"/>
            <rFont val="Tahoma"/>
            <family val="2"/>
          </rPr>
          <t>user:</t>
        </r>
        <r>
          <rPr>
            <sz val="9"/>
            <color indexed="81"/>
            <rFont val="Tahoma"/>
            <family val="2"/>
          </rPr>
          <t xml:space="preserve">
T4: 85% lương thử việc của: 5.060.458
- 5.733.201 từ 01/05/2023</t>
        </r>
      </text>
    </comment>
    <comment ref="I328" authorId="2" shapeId="0">
      <text>
        <r>
          <rPr>
            <b/>
            <sz val="9"/>
            <color indexed="81"/>
            <rFont val="Tahoma"/>
            <family val="2"/>
          </rPr>
          <t>user:</t>
        </r>
        <r>
          <rPr>
            <sz val="9"/>
            <color indexed="81"/>
            <rFont val="Tahoma"/>
            <family val="2"/>
          </rPr>
          <t xml:space="preserve">
- 6.781.498 từ 01/11/2021 (Nâng lương trước hạn)</t>
        </r>
      </text>
    </comment>
    <comment ref="I329" authorId="2" shapeId="0">
      <text>
        <r>
          <rPr>
            <b/>
            <sz val="9"/>
            <color indexed="81"/>
            <rFont val="Tahoma"/>
            <family val="2"/>
          </rPr>
          <t>user:</t>
        </r>
        <r>
          <rPr>
            <sz val="9"/>
            <color indexed="81"/>
            <rFont val="Tahoma"/>
            <family val="2"/>
          </rPr>
          <t xml:space="preserve">
- 5.474.872 từ 01/01/2021
- 6.086.769 từ 01/01/2023</t>
        </r>
      </text>
    </comment>
    <comment ref="I33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text>
        <r>
          <rPr>
            <b/>
            <sz val="9"/>
            <color indexed="81"/>
            <rFont val="Tahoma"/>
            <family val="2"/>
          </rPr>
          <t>Windows User:</t>
        </r>
        <r>
          <rPr>
            <sz val="9"/>
            <color indexed="81"/>
            <rFont val="Tahoma"/>
            <family val="2"/>
          </rPr>
          <t xml:space="preserve">
- 5.733.201 từ 01/12/2023</t>
        </r>
      </text>
    </comment>
    <comment ref="I332" authorId="3" shapeId="0">
      <text>
        <r>
          <rPr>
            <b/>
            <sz val="9"/>
            <color indexed="81"/>
            <rFont val="Tahoma"/>
            <family val="2"/>
          </rPr>
          <t>Windows User:</t>
        </r>
        <r>
          <rPr>
            <sz val="9"/>
            <color indexed="81"/>
            <rFont val="Tahoma"/>
            <family val="2"/>
          </rPr>
          <t xml:space="preserve">
- 5.257.980 từ 01/9/2023</t>
        </r>
      </text>
    </comment>
    <comment ref="I333" authorId="2" shapeId="0">
      <text>
        <r>
          <rPr>
            <b/>
            <sz val="9"/>
            <color indexed="81"/>
            <rFont val="Tahoma"/>
            <family val="2"/>
          </rPr>
          <t>user:</t>
        </r>
        <r>
          <rPr>
            <sz val="9"/>
            <color indexed="81"/>
            <rFont val="Tahoma"/>
            <family val="2"/>
          </rPr>
          <t xml:space="preserve">
- 5.257.980 lên 5.520.879 từ 01/11/2022</t>
        </r>
      </text>
    </comment>
    <comment ref="I334" authorId="3" shapeId="0">
      <text>
        <r>
          <rPr>
            <b/>
            <sz val="9"/>
            <color indexed="81"/>
            <rFont val="Tahoma"/>
            <family val="2"/>
          </rPr>
          <t>Windows User:</t>
        </r>
        <r>
          <rPr>
            <sz val="9"/>
            <color indexed="81"/>
            <rFont val="Tahoma"/>
            <family val="2"/>
          </rPr>
          <t xml:space="preserve">
- 5.733.201 từ 01/7/2023</t>
        </r>
      </text>
    </comment>
    <comment ref="I335" authorId="2" shapeId="0">
      <text>
        <r>
          <rPr>
            <b/>
            <sz val="9"/>
            <color indexed="81"/>
            <rFont val="Tahoma"/>
            <family val="2"/>
          </rPr>
          <t>user:</t>
        </r>
        <r>
          <rPr>
            <sz val="9"/>
            <color indexed="81"/>
            <rFont val="Tahoma"/>
            <family val="2"/>
          </rPr>
          <t xml:space="preserve">
- 5.858.113 lên 6.151.018 từ 01/12/2020
- 6.838.485 từ 01/12/2022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3" shapeId="0">
      <text>
        <r>
          <rPr>
            <b/>
            <sz val="9"/>
            <color indexed="81"/>
            <rFont val="Tahoma"/>
            <family val="2"/>
          </rPr>
          <t>Windows User:</t>
        </r>
        <r>
          <rPr>
            <sz val="9"/>
            <color indexed="81"/>
            <rFont val="Tahoma"/>
            <family val="2"/>
          </rPr>
          <t xml:space="preserve">
- 6.391.108 từ 01/01/2024</t>
        </r>
      </text>
    </comment>
    <comment ref="I339" authorId="3" shapeId="0">
      <text>
        <r>
          <rPr>
            <b/>
            <sz val="9"/>
            <color indexed="81"/>
            <rFont val="Tahoma"/>
            <family val="2"/>
          </rPr>
          <t>Windows User:</t>
        </r>
        <r>
          <rPr>
            <sz val="9"/>
            <color indexed="81"/>
            <rFont val="Tahoma"/>
            <family val="2"/>
          </rPr>
          <t xml:space="preserve">
- 6.202.708 từ 01/04/2022</t>
        </r>
      </text>
    </comment>
    <comment ref="I340" authorId="3" shapeId="0">
      <text>
        <r>
          <rPr>
            <b/>
            <sz val="9"/>
            <color indexed="81"/>
            <rFont val="Tahoma"/>
            <family val="2"/>
          </rPr>
          <t>Windows User:</t>
        </r>
        <r>
          <rPr>
            <sz val="9"/>
            <color indexed="81"/>
            <rFont val="Tahoma"/>
            <family val="2"/>
          </rPr>
          <t xml:space="preserve">
- 5.626.039 từ 01/01/2023</t>
        </r>
      </text>
    </comment>
    <comment ref="I341" authorId="2" shapeId="0">
      <text>
        <r>
          <rPr>
            <b/>
            <sz val="9"/>
            <color indexed="81"/>
            <rFont val="Tahoma"/>
            <family val="2"/>
          </rPr>
          <t>user:</t>
        </r>
        <r>
          <rPr>
            <sz val="9"/>
            <color indexed="81"/>
            <rFont val="Tahoma"/>
            <family val="2"/>
          </rPr>
          <t xml:space="preserve">
- 6,151,018 từ 01/01/2021
- 6.838.485 từ 01/01/2023</t>
        </r>
      </text>
    </comment>
    <comment ref="I342" authorId="3" shapeId="0">
      <text>
        <r>
          <rPr>
            <b/>
            <sz val="9"/>
            <color indexed="81"/>
            <rFont val="Tahoma"/>
            <family val="2"/>
          </rPr>
          <t>Windows User:</t>
        </r>
        <r>
          <rPr>
            <sz val="9"/>
            <color indexed="81"/>
            <rFont val="Tahoma"/>
            <family val="2"/>
          </rPr>
          <t xml:space="preserve">
- 7.180.409 từ 01/01/2022</t>
        </r>
      </text>
    </comment>
    <comment ref="I344" authorId="2" shapeId="0">
      <text>
        <r>
          <rPr>
            <b/>
            <sz val="9"/>
            <color indexed="81"/>
            <rFont val="Tahoma"/>
            <family val="2"/>
          </rPr>
          <t>user:</t>
        </r>
        <r>
          <rPr>
            <sz val="9"/>
            <color indexed="81"/>
            <rFont val="Tahoma"/>
            <family val="2"/>
          </rPr>
          <t xml:space="preserve">
- 4.873.050 từ 01/3/2021
- 5.417.685 từ 01/3/2023</t>
        </r>
      </text>
    </comment>
    <comment ref="I347" authorId="2" shapeId="0">
      <text>
        <r>
          <rPr>
            <b/>
            <sz val="9"/>
            <color indexed="81"/>
            <rFont val="Tahoma"/>
            <family val="2"/>
          </rPr>
          <t>user:</t>
        </r>
        <r>
          <rPr>
            <sz val="9"/>
            <color indexed="81"/>
            <rFont val="Tahoma"/>
            <family val="2"/>
          </rPr>
          <t xml:space="preserve">
- 6151018 từ T9/20 (Trước hạn)
- 7.515.057 từ T9/2023</t>
        </r>
      </text>
    </comment>
    <comment ref="I348" authorId="3" shapeId="0">
      <text>
        <r>
          <rPr>
            <b/>
            <sz val="9"/>
            <color indexed="81"/>
            <rFont val="Tahoma"/>
            <family val="2"/>
          </rPr>
          <t>Windows User:</t>
        </r>
        <r>
          <rPr>
            <sz val="9"/>
            <color indexed="81"/>
            <rFont val="Tahoma"/>
            <family val="2"/>
          </rPr>
          <t xml:space="preserve">
- 8.727.832 từ 01/06/2022</t>
        </r>
      </text>
    </comment>
    <comment ref="I349" authorId="3" shapeId="0">
      <text>
        <r>
          <rPr>
            <b/>
            <sz val="9"/>
            <color indexed="81"/>
            <rFont val="Tahoma"/>
            <family val="2"/>
          </rPr>
          <t>Windows User:</t>
        </r>
        <r>
          <rPr>
            <sz val="9"/>
            <color indexed="81"/>
            <rFont val="Tahoma"/>
            <family val="2"/>
          </rPr>
          <t xml:space="preserve">
- 6.086.769 từ 01/7/2023</t>
        </r>
      </text>
    </comment>
    <comment ref="I350" authorId="3" shapeId="0">
      <text>
        <r>
          <rPr>
            <b/>
            <sz val="9"/>
            <color indexed="81"/>
            <rFont val="Tahoma"/>
            <family val="2"/>
          </rPr>
          <t>Windows User:</t>
        </r>
        <r>
          <rPr>
            <sz val="9"/>
            <color indexed="81"/>
            <rFont val="Tahoma"/>
            <family val="2"/>
          </rPr>
          <t xml:space="preserve">
4.680.000đ từ 10/7/2023</t>
        </r>
      </text>
    </comment>
    <comment ref="I352" authorId="3" shapeId="0">
      <text>
        <r>
          <rPr>
            <b/>
            <sz val="9"/>
            <color indexed="81"/>
            <rFont val="Tahoma"/>
            <family val="2"/>
          </rPr>
          <t>Windows User:</t>
        </r>
        <r>
          <rPr>
            <sz val="9"/>
            <color indexed="81"/>
            <rFont val="Tahoma"/>
            <family val="2"/>
          </rPr>
          <t xml:space="preserve">
- 5.520.879 từ 01/12/2023</t>
        </r>
      </text>
    </comment>
    <comment ref="I353"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authors>
    <author>Admin</author>
    <author>user</author>
    <author>User</author>
    <author>Windows User</author>
    <author>Quynh</author>
    <author>yen</author>
    <author>admin</author>
    <author>huynh-panda</author>
    <author>Thu Thuy</author>
  </authors>
  <commentList>
    <comment ref="F25" authorId="0" shapeId="0">
      <text>
        <r>
          <rPr>
            <b/>
            <sz val="9"/>
            <color indexed="81"/>
            <rFont val="Tahoma"/>
            <family val="2"/>
          </rPr>
          <t>Admin:</t>
        </r>
        <r>
          <rPr>
            <sz val="9"/>
            <color indexed="81"/>
            <rFont val="Tahoma"/>
            <family val="2"/>
          </rPr>
          <t xml:space="preserve">
- HS 4,65 từ 01/12/2015
- HS 4,98 từ 01/12/2018</t>
        </r>
      </text>
    </comment>
    <comment ref="G25" authorId="1" shapeId="0">
      <text>
        <r>
          <rPr>
            <b/>
            <sz val="9"/>
            <color indexed="81"/>
            <rFont val="Tahoma"/>
            <family val="2"/>
          </rPr>
          <t>user:</t>
        </r>
        <r>
          <rPr>
            <sz val="9"/>
            <color indexed="81"/>
            <rFont val="Tahoma"/>
            <family val="2"/>
          </rPr>
          <t xml:space="preserve">
- VK 5% từ 01/12/2021
- VK 6% từ 01/12/2022
- VK 7% từ 01/12/2023</t>
        </r>
      </text>
    </comment>
    <comment ref="F26" authorId="2" shapeId="0">
      <text>
        <r>
          <rPr>
            <b/>
            <sz val="9"/>
            <color indexed="81"/>
            <rFont val="Tahoma"/>
            <family val="2"/>
          </rPr>
          <t>User:</t>
        </r>
        <r>
          <rPr>
            <sz val="9"/>
            <color indexed="81"/>
            <rFont val="Tahoma"/>
            <family val="2"/>
          </rPr>
          <t xml:space="preserve">
- 4,65 từ 01/10/2015
- HS 4,98 từ 01/10/17 (NL trước hạn)</t>
        </r>
      </text>
    </comment>
    <comment ref="G26" authorId="1"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text>
        <r>
          <rPr>
            <b/>
            <sz val="9"/>
            <color indexed="81"/>
            <rFont val="Tahoma"/>
            <family val="2"/>
          </rPr>
          <t>Admin:</t>
        </r>
        <r>
          <rPr>
            <sz val="9"/>
            <color indexed="81"/>
            <rFont val="Tahoma"/>
            <family val="2"/>
          </rPr>
          <t xml:space="preserve">
- HS 0,7 từ 01/11/2016</t>
        </r>
      </text>
    </comment>
    <comment ref="F27" authorId="1" shapeId="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text>
        <r>
          <rPr>
            <b/>
            <sz val="9"/>
            <color indexed="81"/>
            <rFont val="Tahoma"/>
            <family val="2"/>
          </rPr>
          <t>user:</t>
        </r>
        <r>
          <rPr>
            <sz val="9"/>
            <color indexed="81"/>
            <rFont val="Tahoma"/>
            <family val="2"/>
          </rPr>
          <t xml:space="preserve">
- HS 0.7 từ 15/4/2019</t>
        </r>
      </text>
    </comment>
    <comment ref="F28" authorId="2"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text>
        <r>
          <rPr>
            <b/>
            <sz val="9"/>
            <color indexed="81"/>
            <rFont val="Tahoma"/>
            <family val="2"/>
          </rPr>
          <t>user:</t>
        </r>
        <r>
          <rPr>
            <sz val="9"/>
            <color indexed="81"/>
            <rFont val="Tahoma"/>
            <family val="2"/>
          </rPr>
          <t xml:space="preserve">
- PP TC-HC-TH từ 01/9/2020</t>
        </r>
      </text>
    </comment>
    <comment ref="F30" authorId="2"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text>
        <r>
          <rPr>
            <b/>
            <sz val="9"/>
            <color indexed="81"/>
            <rFont val="Tahoma"/>
            <family val="2"/>
          </rPr>
          <t>user:</t>
        </r>
        <r>
          <rPr>
            <sz val="9"/>
            <color indexed="81"/>
            <rFont val="Tahoma"/>
            <family val="2"/>
          </rPr>
          <t xml:space="preserve">
BN Phó TP từ 01/03/2021</t>
        </r>
      </text>
    </comment>
    <comment ref="F3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F40" authorId="0" shapeId="0">
      <text>
        <r>
          <rPr>
            <b/>
            <sz val="9"/>
            <color indexed="81"/>
            <rFont val="Tahoma"/>
            <family val="2"/>
          </rPr>
          <t>Admin:</t>
        </r>
        <r>
          <rPr>
            <sz val="9"/>
            <color indexed="81"/>
            <rFont val="Tahoma"/>
            <family val="2"/>
          </rPr>
          <t xml:space="preserve">
- HS 4,65 từ 01/12/2015
- HS 4,98 từ 01/12/2018</t>
        </r>
      </text>
    </comment>
    <comment ref="G40" authorId="1" shapeId="0">
      <text>
        <r>
          <rPr>
            <b/>
            <sz val="9"/>
            <color indexed="81"/>
            <rFont val="Tahoma"/>
            <family val="2"/>
          </rPr>
          <t>user:</t>
        </r>
        <r>
          <rPr>
            <sz val="9"/>
            <color indexed="81"/>
            <rFont val="Tahoma"/>
            <family val="2"/>
          </rPr>
          <t xml:space="preserve">
- VK 5% từ 01/12/2021
- VK 6% từ 01/12/2022
- VK 7% từ 01/12/2023</t>
        </r>
      </text>
    </comment>
    <comment ref="I40" authorId="6" shapeId="0">
      <text>
        <r>
          <rPr>
            <b/>
            <sz val="8"/>
            <color indexed="81"/>
            <rFont val="Tahoma"/>
            <family val="2"/>
          </rPr>
          <t>admin:</t>
        </r>
        <r>
          <rPr>
            <sz val="8"/>
            <color indexed="81"/>
            <rFont val="Tahoma"/>
            <family val="2"/>
          </rPr>
          <t xml:space="preserve">
+ QĐ Bổ nhiệm Phó Trưởng phòng QT CSVC từ 01/06/2014</t>
        </r>
      </text>
    </comment>
    <comment ref="F41" authorId="2"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text>
        <r>
          <rPr>
            <b/>
            <sz val="9"/>
            <color indexed="81"/>
            <rFont val="Tahoma"/>
            <family val="2"/>
          </rPr>
          <t>Windows User:</t>
        </r>
        <r>
          <rPr>
            <sz val="9"/>
            <color indexed="81"/>
            <rFont val="Tahoma"/>
            <family val="2"/>
          </rPr>
          <t xml:space="preserve">
- VK 5% từ 01/9/2023
- VK 6% từ 01/9/2024</t>
        </r>
      </text>
    </comment>
    <comment ref="I50" authorId="2" shapeId="0">
      <text>
        <r>
          <rPr>
            <b/>
            <sz val="9"/>
            <color indexed="81"/>
            <rFont val="Tahoma"/>
            <family val="2"/>
          </rPr>
          <t>User:</t>
        </r>
        <r>
          <rPr>
            <sz val="9"/>
            <color indexed="81"/>
            <rFont val="Tahoma"/>
            <family val="2"/>
          </rPr>
          <t xml:space="preserve">
- QĐ Bổ nhiệm Tổ trưởng tổ Ký túc xá SV từ 15/9/2015</t>
        </r>
      </text>
    </comment>
    <comment ref="F51" authorId="2"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text>
        <r>
          <rPr>
            <b/>
            <sz val="9"/>
            <color indexed="81"/>
            <rFont val="Tahoma"/>
            <family val="2"/>
          </rPr>
          <t>Windows User:</t>
        </r>
        <r>
          <rPr>
            <sz val="9"/>
            <color indexed="81"/>
            <rFont val="Tahoma"/>
            <family val="2"/>
          </rPr>
          <t xml:space="preserve">
- VK 10% từ 01/9/2023
- VK 11% từ 01/9/2024</t>
        </r>
      </text>
    </comment>
    <comment ref="I52" authorId="3" shapeId="0">
      <text>
        <r>
          <rPr>
            <b/>
            <sz val="9"/>
            <color indexed="81"/>
            <rFont val="Tahoma"/>
            <family val="2"/>
          </rPr>
          <t>Windows User:</t>
        </r>
        <r>
          <rPr>
            <sz val="9"/>
            <color indexed="81"/>
            <rFont val="Tahoma"/>
            <family val="2"/>
          </rPr>
          <t xml:space="preserve">
- Phó TP QT-DV từ T10/23</t>
        </r>
      </text>
    </comment>
    <comment ref="F53" authorId="0"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text>
        <r>
          <rPr>
            <sz val="9"/>
            <color indexed="81"/>
            <rFont val="Tahoma"/>
            <family val="2"/>
          </rPr>
          <t>- 31% từ 01/10/2017
- 32% từ 01/10/2018
- 33% từ 01/10/2019
- 34% từ 01/10/2020
- 35% từ 01/10/2021
- 36% từ 01/10/2022
- 38% từ 01/10/2024</t>
        </r>
      </text>
    </comment>
    <comment ref="I55" authorId="2" shapeId="0">
      <text>
        <r>
          <rPr>
            <b/>
            <sz val="9"/>
            <color indexed="81"/>
            <rFont val="Tahoma"/>
            <family val="2"/>
          </rPr>
          <t>User:</t>
        </r>
        <r>
          <rPr>
            <sz val="9"/>
            <color indexed="81"/>
            <rFont val="Tahoma"/>
            <family val="2"/>
          </rPr>
          <t xml:space="preserve">
Trưởng phòng Kế toán từ 19/8/2015
</t>
        </r>
      </text>
    </comment>
    <comment ref="F56" authorId="2"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text>
        <r>
          <rPr>
            <b/>
            <sz val="9"/>
            <color indexed="81"/>
            <rFont val="Tahoma"/>
            <family val="2"/>
          </rPr>
          <t>Admin:</t>
        </r>
        <r>
          <rPr>
            <sz val="9"/>
            <color indexed="81"/>
            <rFont val="Tahoma"/>
            <family val="2"/>
          </rPr>
          <t xml:space="preserve">
- HS 3,66 từ 01/01/2017
- HS 3,99 từ 01/01/2019</t>
        </r>
      </text>
    </comment>
    <comment ref="I60" authorId="0" shapeId="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text>
        <r>
          <rPr>
            <b/>
            <sz val="9"/>
            <color indexed="81"/>
            <rFont val="Tahoma"/>
            <family val="2"/>
          </rPr>
          <t>Admin:</t>
        </r>
        <r>
          <rPr>
            <sz val="9"/>
            <color indexed="81"/>
            <rFont val="Tahoma"/>
            <family val="2"/>
          </rPr>
          <t xml:space="preserve">
- HS 4,65 từ 01/9/2016
- HS 4,98 từ 01/9/2018 (NL trước hạn)</t>
        </r>
      </text>
    </comment>
    <comment ref="G63"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text>
        <r>
          <rPr>
            <b/>
            <sz val="9"/>
            <color indexed="81"/>
            <rFont val="Tahoma"/>
            <family val="2"/>
          </rPr>
          <t>user:</t>
        </r>
        <r>
          <rPr>
            <sz val="9"/>
            <color indexed="81"/>
            <rFont val="Tahoma"/>
            <family val="2"/>
          </rPr>
          <t xml:space="preserve">
BN Trưởng phòng T10/19</t>
        </r>
      </text>
    </comment>
    <comment ref="F64" authorId="0" shapeId="0">
      <text>
        <r>
          <rPr>
            <b/>
            <sz val="9"/>
            <color indexed="81"/>
            <rFont val="Tahoma"/>
            <family val="2"/>
          </rPr>
          <t>Admin:</t>
        </r>
        <r>
          <rPr>
            <sz val="9"/>
            <color indexed="81"/>
            <rFont val="Tahoma"/>
            <family val="2"/>
          </rPr>
          <t xml:space="preserve">
- HS 3.33 từ 01/01/2016
- HS 3,66 từ 01/01/2019</t>
        </r>
      </text>
    </comment>
    <comment ref="F65" authorId="0" shapeId="0">
      <text>
        <r>
          <rPr>
            <b/>
            <sz val="9"/>
            <color indexed="81"/>
            <rFont val="Tahoma"/>
            <family val="2"/>
          </rPr>
          <t>Admin:</t>
        </r>
        <r>
          <rPr>
            <sz val="9"/>
            <color indexed="81"/>
            <rFont val="Tahoma"/>
            <family val="2"/>
          </rPr>
          <t xml:space="preserve">
- HS 3,00 từ 01/9/2016
- HS 3,33 từ 01/9/2019
- HS 3,66 từ 01/9/2022
</t>
        </r>
      </text>
    </comment>
    <comment ref="F66"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text>
        <r>
          <rPr>
            <b/>
            <sz val="9"/>
            <color indexed="81"/>
            <rFont val="Tahoma"/>
            <family val="2"/>
          </rPr>
          <t>Admin:</t>
        </r>
        <r>
          <rPr>
            <sz val="9"/>
            <color indexed="81"/>
            <rFont val="Tahoma"/>
            <family val="2"/>
          </rPr>
          <t xml:space="preserve">
- HS 3,66 từ 01/9/2016
- HS 3,99 từ 01/9/2019
- HS 4,32 từ 01/9/2022</t>
        </r>
      </text>
    </comment>
    <comment ref="F68" authorId="2"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text>
        <r>
          <rPr>
            <b/>
            <sz val="9"/>
            <color indexed="81"/>
            <rFont val="Tahoma"/>
            <family val="2"/>
          </rPr>
          <t>user:</t>
        </r>
        <r>
          <rPr>
            <sz val="9"/>
            <color indexed="81"/>
            <rFont val="Tahoma"/>
            <family val="2"/>
          </rPr>
          <t xml:space="preserve">
- HS 3,33 từ 01/11/2019
- HS 3,66 từ 01/11/2022</t>
        </r>
      </text>
    </comment>
    <comment ref="F70" authorId="0"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text>
        <r>
          <rPr>
            <b/>
            <sz val="9"/>
            <color indexed="81"/>
            <rFont val="Tahoma"/>
            <family val="2"/>
          </rPr>
          <t>Windows User:</t>
        </r>
        <r>
          <rPr>
            <sz val="9"/>
            <color indexed="81"/>
            <rFont val="Tahoma"/>
            <family val="2"/>
          </rPr>
          <t xml:space="preserve">
- Phó Trưởng phòng TS - Đào tạo từ T10/22</t>
        </r>
      </text>
    </comment>
    <comment ref="F72" authorId="2"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text>
        <r>
          <rPr>
            <b/>
            <sz val="9"/>
            <color indexed="81"/>
            <rFont val="Tahoma"/>
            <family val="2"/>
          </rPr>
          <t>Admin:</t>
        </r>
        <r>
          <rPr>
            <sz val="9"/>
            <color indexed="81"/>
            <rFont val="Tahoma"/>
            <family val="2"/>
          </rPr>
          <t xml:space="preserve">
- HS 2.67 từ 01/02/2016
- HS 3,00 từ 01/02/2019</t>
        </r>
      </text>
    </comment>
    <comment ref="F79"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text>
        <r>
          <rPr>
            <b/>
            <sz val="9"/>
            <color indexed="81"/>
            <rFont val="Tahoma"/>
            <family val="2"/>
          </rPr>
          <t>User:</t>
        </r>
        <r>
          <rPr>
            <sz val="9"/>
            <color indexed="81"/>
            <rFont val="Tahoma"/>
            <family val="2"/>
          </rPr>
          <t xml:space="preserve">
- Phó Trưởng phòng từ 01/8/2015
- Trưởng phòng từ 01/9/2018</t>
        </r>
      </text>
    </comment>
    <comment ref="F80" authorId="2"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1"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2"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text>
        <r>
          <rPr>
            <b/>
            <sz val="9"/>
            <color indexed="81"/>
            <rFont val="Tahoma"/>
            <family val="2"/>
          </rPr>
          <t>User:</t>
        </r>
        <r>
          <rPr>
            <sz val="9"/>
            <color indexed="81"/>
            <rFont val="Tahoma"/>
            <family val="2"/>
          </rPr>
          <t xml:space="preserve">
- 3.00 từ 01/12/2015
- 3,33 từ 01/12/2018
- 3,66 từ 01/12/2021</t>
        </r>
      </text>
    </comment>
    <comment ref="F87" authorId="0"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1"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text>
        <r>
          <rPr>
            <b/>
            <sz val="9"/>
            <color indexed="81"/>
            <rFont val="Tahoma"/>
            <family val="2"/>
          </rPr>
          <t>Admin:</t>
        </r>
        <r>
          <rPr>
            <sz val="9"/>
            <color indexed="81"/>
            <rFont val="Tahoma"/>
            <family val="2"/>
          </rPr>
          <t xml:space="preserve">
- HS 2,67 từ 01/4/2016
- HS 3.00 từ 01/4/2019
- HS 3,33 từ 01/4/2022
</t>
        </r>
      </text>
    </comment>
    <comment ref="F91" authorId="0"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
- 6% từ 01/9/2024</t>
        </r>
      </text>
    </comment>
    <comment ref="F92" authorId="8" shapeId="0">
      <text>
        <r>
          <rPr>
            <sz val="9"/>
            <color indexed="81"/>
            <rFont val="Tahoma"/>
            <family val="2"/>
          </rPr>
          <t>- HS 4,32 từ 01/12/2017
- HS 4,65 từ 01/12/2019
- HS 4,98 từ 01/12/2022</t>
        </r>
      </text>
    </comment>
    <comment ref="I92" authorId="2" shapeId="0">
      <text>
        <r>
          <rPr>
            <b/>
            <sz val="9"/>
            <color indexed="81"/>
            <rFont val="Tahoma"/>
            <family val="2"/>
          </rPr>
          <t>User:</t>
        </r>
        <r>
          <rPr>
            <sz val="9"/>
            <color indexed="81"/>
            <rFont val="Tahoma"/>
            <family val="2"/>
          </rPr>
          <t xml:space="preserve">
Trưởng khoa Kinh tế từ 20/8/2015
</t>
        </r>
      </text>
    </comment>
    <comment ref="F94"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text>
        <r>
          <rPr>
            <b/>
            <sz val="9"/>
            <color indexed="81"/>
            <rFont val="Tahoma"/>
            <family val="2"/>
          </rPr>
          <t>user:</t>
        </r>
        <r>
          <rPr>
            <sz val="9"/>
            <color indexed="81"/>
            <rFont val="Tahoma"/>
            <family val="2"/>
          </rPr>
          <t xml:space="preserve">
Phụ trách khoa Xây dựng từ 01/5/2019
- TK từ 01/5/2023</t>
        </r>
      </text>
    </comment>
    <comment ref="F97" authorId="1" shapeId="0">
      <text>
        <r>
          <rPr>
            <b/>
            <sz val="9"/>
            <color indexed="81"/>
            <rFont val="Tahoma"/>
            <family val="2"/>
          </rPr>
          <t>user:</t>
        </r>
        <r>
          <rPr>
            <sz val="9"/>
            <color indexed="81"/>
            <rFont val="Tahoma"/>
            <family val="2"/>
          </rPr>
          <t xml:space="preserve">
- Tuyển dụng từ T5/20
- HS 2,67 từ 01/5/2021
- HS 3,00 từ 01/9/2024</t>
        </r>
      </text>
    </comment>
    <comment ref="F98" authorId="1" shapeId="0">
      <text>
        <r>
          <rPr>
            <b/>
            <sz val="9"/>
            <color indexed="81"/>
            <rFont val="Tahoma"/>
            <family val="2"/>
          </rPr>
          <t>user:</t>
        </r>
        <r>
          <rPr>
            <sz val="9"/>
            <color indexed="81"/>
            <rFont val="Tahoma"/>
            <family val="2"/>
          </rPr>
          <t xml:space="preserve">
- HS 1,989 từ 01/4/21 (Tuyển dụng)
- HS 2,34 từ 01/4/2022</t>
        </r>
      </text>
    </comment>
    <comment ref="F99" authorId="0"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
- HS 3,33 từ 01/10/2024</t>
        </r>
      </text>
    </comment>
    <comment ref="F101" authorId="1" shapeId="0">
      <text>
        <r>
          <rPr>
            <b/>
            <sz val="9"/>
            <color indexed="81"/>
            <rFont val="Tahoma"/>
            <family val="2"/>
          </rPr>
          <t>user:</t>
        </r>
        <r>
          <rPr>
            <sz val="9"/>
            <color indexed="81"/>
            <rFont val="Tahoma"/>
            <family val="2"/>
          </rPr>
          <t xml:space="preserve">
- HS 2,67 từ 01/10/2019
- HS 3,00 từ 01/10/2022</t>
        </r>
      </text>
    </comment>
    <comment ref="F102" authorId="0"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
- HS 3,33 từ 01/10/2024</t>
        </r>
      </text>
    </comment>
    <comment ref="F106" authorId="0" shapeId="0">
      <text>
        <r>
          <rPr>
            <b/>
            <sz val="9"/>
            <color indexed="81"/>
            <rFont val="Tahoma"/>
            <family val="2"/>
          </rPr>
          <t>Admin:</t>
        </r>
        <r>
          <rPr>
            <sz val="9"/>
            <color indexed="81"/>
            <rFont val="Tahoma"/>
            <family val="2"/>
          </rPr>
          <t xml:space="preserve">
- HS 3,00 từ 01/9/2016
- HS 3,33 từ 01/9/2019
- HS 3,66 từ 01/9/2022</t>
        </r>
      </text>
    </comment>
    <comment ref="F107" authorId="0" shapeId="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1"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7" authorId="3" shapeId="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2,67 từ 01/9/2016
- HS 3,00 từ 01/9/2019
- HS 3,33 từ 01/9/2022</t>
        </r>
      </text>
    </comment>
    <comment ref="I120"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text>
        <r>
          <rPr>
            <b/>
            <sz val="9"/>
            <color indexed="81"/>
            <rFont val="Tahoma"/>
            <family val="2"/>
          </rPr>
          <t>Admin:</t>
        </r>
        <r>
          <rPr>
            <sz val="9"/>
            <color indexed="81"/>
            <rFont val="Tahoma"/>
            <family val="2"/>
          </rPr>
          <t xml:space="preserve">
- HS 2,67 từ 01/9/2016
- HS 3,00 từ 01/9/2019
- HS 3,33 từ 01/9/2022</t>
        </r>
      </text>
    </comment>
    <comment ref="F122" authorId="0"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text>
        <r>
          <rPr>
            <sz val="9"/>
            <color indexed="81"/>
            <rFont val="Tahoma"/>
            <family val="2"/>
          </rPr>
          <t>- HS 2,67 từ 01/12/2017
- HS 3,00 từ 01/12/2020
- HS 3,33 từ 01/12/2022 (NL trước hạn)</t>
        </r>
      </text>
    </comment>
    <comment ref="F124" authorId="2"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text>
        <r>
          <rPr>
            <b/>
            <sz val="9"/>
            <color indexed="81"/>
            <rFont val="Tahoma"/>
            <family val="2"/>
          </rPr>
          <t>Windows User:</t>
        </r>
        <r>
          <rPr>
            <sz val="9"/>
            <color indexed="81"/>
            <rFont val="Tahoma"/>
            <family val="2"/>
          </rPr>
          <t xml:space="preserve">
- VK 5% từ 01/11/2023
- VK 6% từ 01/11/2024</t>
        </r>
      </text>
    </comment>
    <comment ref="F12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text>
        <r>
          <rPr>
            <b/>
            <sz val="9"/>
            <color indexed="81"/>
            <rFont val="Tahoma"/>
            <family val="2"/>
          </rPr>
          <t>user:</t>
        </r>
        <r>
          <rPr>
            <sz val="9"/>
            <color indexed="81"/>
            <rFont val="Tahoma"/>
            <family val="2"/>
          </rPr>
          <t xml:space="preserve">
- HS 2,67 từ 01/10/2019
- HS 3,00 từ 01/10/2022</t>
        </r>
      </text>
    </comment>
    <comment ref="F127" authorId="2"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text>
        <r>
          <rPr>
            <b/>
            <sz val="9"/>
            <color indexed="81"/>
            <rFont val="Tahoma"/>
            <family val="2"/>
          </rPr>
          <t>user:</t>
        </r>
        <r>
          <rPr>
            <sz val="9"/>
            <color indexed="81"/>
            <rFont val="Tahoma"/>
            <family val="2"/>
          </rPr>
          <t xml:space="preserve">
- Trưởng TT Thư viện từ 01/9/2020</t>
        </r>
      </text>
    </comment>
    <comment ref="F128" authorId="0" shapeId="0">
      <text>
        <r>
          <rPr>
            <b/>
            <sz val="9"/>
            <color indexed="81"/>
            <rFont val="Tahoma"/>
            <family val="2"/>
          </rPr>
          <t>Admin:</t>
        </r>
        <r>
          <rPr>
            <sz val="9"/>
            <color indexed="81"/>
            <rFont val="Tahoma"/>
            <family val="2"/>
          </rPr>
          <t xml:space="preserve">
- HS 4,65 từ 01/6/2016 (NL Trước hạn năm 2017)</t>
        </r>
      </text>
    </comment>
    <comment ref="G128" authorId="7" shapeId="0">
      <text>
        <r>
          <rPr>
            <b/>
            <sz val="9"/>
            <color indexed="81"/>
            <rFont val="Tahoma"/>
            <family val="2"/>
          </rPr>
          <t>Quynh-panda:</t>
        </r>
        <r>
          <rPr>
            <sz val="9"/>
            <color indexed="81"/>
            <rFont val="Tahoma"/>
            <family val="2"/>
          </rPr>
          <t xml:space="preserve">
- VK 5% từ 01/06/2022
- VK 6% từ 01/06/2023
- VK 7% từ 01/06/2024</t>
        </r>
      </text>
    </comment>
    <comment ref="F129" authorId="2"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text>
        <r>
          <rPr>
            <b/>
            <sz val="9"/>
            <color indexed="81"/>
            <rFont val="Tahoma"/>
            <family val="2"/>
          </rPr>
          <t>Admin:</t>
        </r>
        <r>
          <rPr>
            <sz val="9"/>
            <color indexed="81"/>
            <rFont val="Tahoma"/>
            <family val="2"/>
          </rPr>
          <t xml:space="preserve">
- HS 3,00 từ 01/12/2016
- HS 3,33 từ 01/12/2019
- HS 3,66 từ 01/12/2022</t>
        </r>
      </text>
    </comment>
    <comment ref="F132" authorId="0" shapeId="0">
      <text>
        <r>
          <rPr>
            <b/>
            <sz val="9"/>
            <color indexed="81"/>
            <rFont val="Tahoma"/>
            <family val="2"/>
          </rPr>
          <t>Admin:</t>
        </r>
        <r>
          <rPr>
            <sz val="9"/>
            <color indexed="81"/>
            <rFont val="Tahoma"/>
            <family val="2"/>
          </rPr>
          <t xml:space="preserve">
- HS 3,99 từ 01/12/2015
- HS 4,32 từ 01/12/2018
- HS 4,65 từ 01/12/2021</t>
        </r>
      </text>
    </comment>
    <comment ref="F133"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text>
        <r>
          <rPr>
            <b/>
            <sz val="9"/>
            <color indexed="81"/>
            <rFont val="Tahoma"/>
            <family val="2"/>
          </rPr>
          <t>User:</t>
        </r>
        <r>
          <rPr>
            <sz val="9"/>
            <color indexed="81"/>
            <rFont val="Tahoma"/>
            <family val="2"/>
          </rPr>
          <t xml:space="preserve">
- HS 4,65 từ 01/9/2015
- HS 4,98 từ 01/9/17 (NL trước hạn)</t>
        </r>
      </text>
    </comment>
    <comment ref="G134" authorId="1" shapeId="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text>
        <r>
          <rPr>
            <b/>
            <sz val="9"/>
            <color indexed="81"/>
            <rFont val="Tahoma"/>
            <family val="2"/>
          </rPr>
          <t>Admin:</t>
        </r>
        <r>
          <rPr>
            <sz val="9"/>
            <color indexed="81"/>
            <rFont val="Tahoma"/>
            <family val="2"/>
          </rPr>
          <t xml:space="preserve">
- HS 3,00 từ 01/11/2016
- HS 3,33 từ 01/11/2019
- HS 3,66 từ 01/11/2022</t>
        </r>
      </text>
    </comment>
    <comment ref="F137" authorId="2"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text>
        <r>
          <rPr>
            <b/>
            <sz val="9"/>
            <color indexed="81"/>
            <rFont val="Tahoma"/>
            <family val="2"/>
          </rPr>
          <t>Admin:</t>
        </r>
        <r>
          <rPr>
            <sz val="9"/>
            <color indexed="81"/>
            <rFont val="Tahoma"/>
            <family val="2"/>
          </rPr>
          <t xml:space="preserve">
- BN Phó TK từ 01/8/2018</t>
        </r>
      </text>
    </comment>
    <comment ref="F138" authorId="2" shapeId="0">
      <text>
        <r>
          <rPr>
            <b/>
            <sz val="9"/>
            <color indexed="81"/>
            <rFont val="Tahoma"/>
            <family val="2"/>
          </rPr>
          <t>User:</t>
        </r>
        <r>
          <rPr>
            <sz val="9"/>
            <color indexed="81"/>
            <rFont val="Tahoma"/>
            <family val="2"/>
          </rPr>
          <t xml:space="preserve">
- HS 4,32 từ 01/9/2014
- HS 4,65 từ 01/9/2017
- HS 4,98 từ 01/9/2020</t>
        </r>
      </text>
    </comment>
    <comment ref="G138" authorId="3" shapeId="0">
      <text>
        <r>
          <rPr>
            <b/>
            <sz val="9"/>
            <color indexed="81"/>
            <rFont val="Tahoma"/>
            <family val="2"/>
          </rPr>
          <t>Windows User:</t>
        </r>
        <r>
          <rPr>
            <sz val="9"/>
            <color indexed="81"/>
            <rFont val="Tahoma"/>
            <family val="2"/>
          </rPr>
          <t xml:space="preserve">
- VK 5% từ 01/9/2023
- VK 6% từ 01/9/2024</t>
        </r>
      </text>
    </comment>
    <comment ref="F139" authorId="2"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text>
        <r>
          <rPr>
            <b/>
            <sz val="9"/>
            <color indexed="81"/>
            <rFont val="Tahoma"/>
            <family val="2"/>
          </rPr>
          <t>Admin:</t>
        </r>
        <r>
          <rPr>
            <sz val="9"/>
            <color indexed="81"/>
            <rFont val="Tahoma"/>
            <family val="2"/>
          </rPr>
          <t xml:space="preserve">
- HS 3,00 từ 01/9/2016
- HS 3,33 từ 01/3/2020
- HS 3,66 từ 01/03/2023</t>
        </r>
      </text>
    </comment>
    <comment ref="F141" authorId="0" shapeId="0">
      <text>
        <r>
          <rPr>
            <b/>
            <sz val="9"/>
            <color indexed="81"/>
            <rFont val="Tahoma"/>
            <family val="2"/>
          </rPr>
          <t>Admin:</t>
        </r>
        <r>
          <rPr>
            <sz val="9"/>
            <color indexed="81"/>
            <rFont val="Tahoma"/>
            <family val="2"/>
          </rPr>
          <t xml:space="preserve">
- HS 2,67 từ 01/9/2017
- HS 3,00 từ 01/9/2020</t>
        </r>
      </text>
    </comment>
    <comment ref="F142"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text>
        <r>
          <rPr>
            <b/>
            <sz val="9"/>
            <color indexed="81"/>
            <rFont val="Tahoma"/>
            <family val="2"/>
          </rPr>
          <t>Admin:</t>
        </r>
        <r>
          <rPr>
            <sz val="9"/>
            <color indexed="81"/>
            <rFont val="Tahoma"/>
            <family val="2"/>
          </rPr>
          <t xml:space="preserve">
+ BN Tổ trưởng CM từ 03/5/2017</t>
        </r>
      </text>
    </comment>
    <comment ref="F144" authorId="0"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text>
        <r>
          <rPr>
            <sz val="9"/>
            <color indexed="81"/>
            <rFont val="Tahoma"/>
            <family val="2"/>
          </rPr>
          <t>- HS 3,33 từ 01/3/2018
- HS 3,66 từ 01/3/2020 (NL trước hạn)
- HS 3,99 từ 01/3/2023</t>
        </r>
      </text>
    </comment>
    <comment ref="F146" authorId="2"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text>
        <r>
          <rPr>
            <b/>
            <sz val="9"/>
            <color indexed="81"/>
            <rFont val="Tahoma"/>
            <family val="2"/>
          </rPr>
          <t>Admin:</t>
        </r>
        <r>
          <rPr>
            <sz val="9"/>
            <color indexed="81"/>
            <rFont val="Tahoma"/>
            <family val="2"/>
          </rPr>
          <t xml:space="preserve">
- HS 3,66 từ 01/9/2016
- HS 3,99 từ 01/9/2019
- HS 4,32 từ 01/9/2022</t>
        </r>
      </text>
    </comment>
    <comment ref="F148" authorId="8" shapeId="0">
      <text>
        <r>
          <rPr>
            <sz val="9"/>
            <color indexed="81"/>
            <rFont val="Tahoma"/>
            <family val="2"/>
          </rPr>
          <t xml:space="preserve">- HS 3,99 từ 01/12/2017
- HS 4,32 từ 01/12/2020
- HS 4,65 từ 01/12/2023
</t>
        </r>
      </text>
    </comment>
    <comment ref="F149" authorId="0" shapeId="0">
      <text>
        <r>
          <rPr>
            <b/>
            <sz val="9"/>
            <color indexed="81"/>
            <rFont val="Tahoma"/>
            <family val="2"/>
          </rPr>
          <t>Admin:</t>
        </r>
        <r>
          <rPr>
            <sz val="9"/>
            <color indexed="81"/>
            <rFont val="Tahoma"/>
            <family val="2"/>
          </rPr>
          <t xml:space="preserve">
- HS 3,99 từ 01/9/2017
- HS 4,32 từ 01/9/2019
- HS 4,65 từ 01/9/2022</t>
        </r>
      </text>
    </comment>
    <comment ref="I149" authorId="1" shapeId="0">
      <text>
        <r>
          <rPr>
            <b/>
            <sz val="9"/>
            <color indexed="81"/>
            <rFont val="Tahoma"/>
            <family val="2"/>
          </rPr>
          <t>user:</t>
        </r>
        <r>
          <rPr>
            <sz val="9"/>
            <color indexed="81"/>
            <rFont val="Tahoma"/>
            <family val="2"/>
          </rPr>
          <t xml:space="preserve">
- Trưởng BM Cơ điện tử và tự động hóa từ 01/1/2020</t>
        </r>
      </text>
    </comment>
    <comment ref="F150" authorId="0" shapeId="0">
      <text>
        <r>
          <rPr>
            <b/>
            <sz val="9"/>
            <color indexed="81"/>
            <rFont val="Tahoma"/>
            <family val="2"/>
          </rPr>
          <t>Admin:</t>
        </r>
        <r>
          <rPr>
            <sz val="9"/>
            <color indexed="81"/>
            <rFont val="Tahoma"/>
            <family val="2"/>
          </rPr>
          <t xml:space="preserve">
- HS 3,99 từ 01/9/2017
- HS 4,32 từ 01/9/2020
- HS 4,65 từ 01/9/2023</t>
        </r>
      </text>
    </comment>
    <comment ref="F151" authorId="0" shapeId="0">
      <text>
        <r>
          <rPr>
            <b/>
            <sz val="9"/>
            <color indexed="81"/>
            <rFont val="Tahoma"/>
            <family val="2"/>
          </rPr>
          <t>Admin:</t>
        </r>
        <r>
          <rPr>
            <sz val="9"/>
            <color indexed="81"/>
            <rFont val="Tahoma"/>
            <family val="2"/>
          </rPr>
          <t xml:space="preserve">
- HS 3,33 từ 01/9/2017
- HS 3,66 từ 01/9/2020
- HS 3,99 từ 01/9/2023</t>
        </r>
      </text>
    </comment>
    <comment ref="F152" authorId="0" shapeId="0">
      <text>
        <r>
          <rPr>
            <b/>
            <sz val="9"/>
            <color indexed="81"/>
            <rFont val="Tahoma"/>
            <family val="2"/>
          </rPr>
          <t>Admin:</t>
        </r>
        <r>
          <rPr>
            <sz val="9"/>
            <color indexed="81"/>
            <rFont val="Tahoma"/>
            <family val="2"/>
          </rPr>
          <t xml:space="preserve">
- HS 4,32 từ 01/9/2016
- HS 4,65 từ 01/9/2019
- HS 4,98 từ 01/9/2022</t>
        </r>
      </text>
    </comment>
    <comment ref="F153" authorId="0" shapeId="0">
      <text>
        <r>
          <rPr>
            <b/>
            <sz val="9"/>
            <color indexed="81"/>
            <rFont val="Tahoma"/>
            <family val="2"/>
          </rPr>
          <t>Admin:</t>
        </r>
        <r>
          <rPr>
            <sz val="9"/>
            <color indexed="81"/>
            <rFont val="Tahoma"/>
            <family val="2"/>
          </rPr>
          <t xml:space="preserve">
- HS 3,33 từ 01/9/2017
- HS 3,66 từ 01/9/2020
- HS 3,99 từ 01/9/2023</t>
        </r>
      </text>
    </comment>
    <comment ref="I153" authorId="2" shapeId="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text>
        <r>
          <rPr>
            <sz val="9"/>
            <color indexed="81"/>
            <rFont val="Tahoma"/>
            <family val="2"/>
          </rPr>
          <t>- HS 3,00 từ 01/01/2018
- HS 3,33 từ 01/01/2023</t>
        </r>
      </text>
    </comment>
    <comment ref="I154"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text>
        <r>
          <rPr>
            <b/>
            <sz val="9"/>
            <color indexed="81"/>
            <rFont val="Tahoma"/>
            <family val="2"/>
          </rPr>
          <t>Admin:</t>
        </r>
        <r>
          <rPr>
            <sz val="9"/>
            <color indexed="81"/>
            <rFont val="Tahoma"/>
            <family val="2"/>
          </rPr>
          <t xml:space="preserve">
- HS 2,34 từ 01/09/2016
- HS 2,67 từ 01/9/2019
- HS 3,00 từ 0/09/2022</t>
        </r>
      </text>
    </comment>
    <comment ref="F156" authorId="1" shapeId="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text>
        <r>
          <rPr>
            <b/>
            <sz val="9"/>
            <color indexed="81"/>
            <rFont val="Tahoma"/>
            <family val="2"/>
          </rPr>
          <t>Admin:</t>
        </r>
        <r>
          <rPr>
            <sz val="9"/>
            <color indexed="81"/>
            <rFont val="Tahoma"/>
            <family val="2"/>
          </rPr>
          <t xml:space="preserve">
- HS 2,34 từ 01/09/2016
- HS 2,67 từ 01/9/2019
- HS 3,00 từ 01/9/2022</t>
        </r>
      </text>
    </comment>
    <comment ref="F158" authorId="1" shapeId="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text>
        <r>
          <rPr>
            <b/>
            <sz val="9"/>
            <color indexed="81"/>
            <rFont val="Tahoma"/>
            <family val="2"/>
          </rPr>
          <t>User:</t>
        </r>
        <r>
          <rPr>
            <sz val="9"/>
            <color indexed="81"/>
            <rFont val="Tahoma"/>
            <family val="2"/>
          </rPr>
          <t xml:space="preserve">
HS 0,35 hưởng từ 01/7/2015
</t>
        </r>
      </text>
    </comment>
    <comment ref="F165" authorId="0"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text>
        <r>
          <rPr>
            <b/>
            <sz val="9"/>
            <color indexed="81"/>
            <rFont val="Tahoma"/>
            <family val="2"/>
          </rPr>
          <t>user:</t>
        </r>
        <r>
          <rPr>
            <sz val="9"/>
            <color indexed="81"/>
            <rFont val="Tahoma"/>
            <family val="2"/>
          </rPr>
          <t xml:space="preserve">
- QĐ BN Trưởng BM GDCT từ 01/4/2021</t>
        </r>
      </text>
    </comment>
    <comment ref="F167" authorId="2"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text>
        <r>
          <rPr>
            <b/>
            <sz val="9"/>
            <color indexed="81"/>
            <rFont val="Tahoma"/>
            <family val="2"/>
          </rPr>
          <t>Admin:</t>
        </r>
        <r>
          <rPr>
            <sz val="9"/>
            <color indexed="81"/>
            <rFont val="Tahoma"/>
            <family val="2"/>
          </rPr>
          <t xml:space="preserve">
- HS 3,99 từ 01/9/2017
- HS 4,32 từ 01/9/2020
- HS 4,65 từ 01/9/2023</t>
        </r>
      </text>
    </comment>
    <comment ref="F169" authorId="2"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text>
        <r>
          <rPr>
            <b/>
            <sz val="9"/>
            <color indexed="81"/>
            <rFont val="Tahoma"/>
            <family val="2"/>
          </rPr>
          <t>Admin:</t>
        </r>
        <r>
          <rPr>
            <sz val="9"/>
            <color indexed="81"/>
            <rFont val="Tahoma"/>
            <family val="2"/>
          </rPr>
          <t xml:space="preserve">
- HS 3,00 từ 01/03/2017
- HS 3,33 từ 01/03/2020
- HS 3,66 từ 01/03/2023</t>
        </r>
      </text>
    </comment>
    <comment ref="F178" authorId="0" shapeId="0">
      <text>
        <r>
          <rPr>
            <b/>
            <sz val="9"/>
            <color indexed="81"/>
            <rFont val="Tahoma"/>
            <family val="2"/>
          </rPr>
          <t>Admin:</t>
        </r>
        <r>
          <rPr>
            <sz val="9"/>
            <color indexed="81"/>
            <rFont val="Tahoma"/>
            <family val="2"/>
          </rPr>
          <t xml:space="preserve">
- HS 2,67 từ 01/9/2017
- HS 3,00 từ 01/9/2020
- HS 3,33 từ 01/9/2023</t>
        </r>
      </text>
    </comment>
    <comment ref="F17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text>
        <r>
          <rPr>
            <b/>
            <sz val="9"/>
            <color indexed="81"/>
            <rFont val="Tahoma"/>
            <family val="2"/>
          </rPr>
          <t>Admin:</t>
        </r>
        <r>
          <rPr>
            <sz val="9"/>
            <color indexed="81"/>
            <rFont val="Tahoma"/>
            <family val="2"/>
          </rPr>
          <t xml:space="preserve">
- 3,33 từ 01/9/2017
- 3,66 từ 01/9/2020
- 3,99 từ 01/9/2023</t>
        </r>
      </text>
    </comment>
    <comment ref="I180" authorId="2" shapeId="0">
      <text>
        <r>
          <rPr>
            <b/>
            <sz val="9"/>
            <color indexed="81"/>
            <rFont val="Tahoma"/>
            <family val="2"/>
          </rPr>
          <t>User:</t>
        </r>
        <r>
          <rPr>
            <sz val="9"/>
            <color indexed="81"/>
            <rFont val="Tahoma"/>
            <family val="2"/>
          </rPr>
          <t xml:space="preserve">
Miễn nhiệm Trưởng bộ môn từ 01/9/2015</t>
        </r>
      </text>
    </comment>
    <comment ref="F181" authorId="0" shapeId="0">
      <text>
        <r>
          <rPr>
            <b/>
            <sz val="9"/>
            <color indexed="81"/>
            <rFont val="Tahoma"/>
            <family val="2"/>
          </rPr>
          <t>Admin:</t>
        </r>
        <r>
          <rPr>
            <sz val="9"/>
            <color indexed="81"/>
            <rFont val="Tahoma"/>
            <family val="2"/>
          </rPr>
          <t xml:space="preserve">
- HS 3,33 từ 01/9/2016
- HS 3,66 từ 01/9/2019
- HS 3,99 từ 01/9/2022</t>
        </r>
      </text>
    </comment>
    <comment ref="I181" authorId="2" shapeId="0">
      <text>
        <r>
          <rPr>
            <b/>
            <sz val="9"/>
            <color indexed="81"/>
            <rFont val="Tahoma"/>
            <family val="2"/>
          </rPr>
          <t>User:</t>
        </r>
        <r>
          <rPr>
            <sz val="9"/>
            <color indexed="81"/>
            <rFont val="Tahoma"/>
            <family val="2"/>
          </rPr>
          <t xml:space="preserve">
Miễn nhiệm Trưởng BM từ 01/9/15
</t>
        </r>
      </text>
    </comment>
    <comment ref="F182" authorId="2"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text>
        <r>
          <rPr>
            <sz val="9"/>
            <color indexed="81"/>
            <rFont val="Tahoma"/>
            <family val="2"/>
          </rPr>
          <t xml:space="preserve">- HS 3,33 từ 01/12/2017
- HS 3,66 từ 01/12/2020
- HS 3,99 từ 01/12/2023
</t>
        </r>
      </text>
    </comment>
    <comment ref="F184"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text>
        <r>
          <rPr>
            <b/>
            <sz val="9"/>
            <color indexed="81"/>
            <rFont val="Tahoma"/>
            <family val="2"/>
          </rPr>
          <t>Quynh:</t>
        </r>
        <r>
          <rPr>
            <sz val="9"/>
            <color indexed="81"/>
            <rFont val="Tahoma"/>
            <family val="2"/>
          </rPr>
          <t xml:space="preserve">
- HS 3,00 từ 01/5/2018
- HS 3,33 từ 01/5/2021
- HS 3,66 từ 01/5/2024</t>
        </r>
      </text>
    </comment>
    <comment ref="F190" authorId="0"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text>
        <r>
          <rPr>
            <b/>
            <sz val="9"/>
            <color indexed="81"/>
            <rFont val="Tahoma"/>
            <family val="2"/>
          </rPr>
          <t>huynh-panda:</t>
        </r>
        <r>
          <rPr>
            <sz val="9"/>
            <color indexed="81"/>
            <rFont val="Tahoma"/>
            <family val="2"/>
          </rPr>
          <t xml:space="preserve">
Phụ trách BM Khoa học máy tính từ 06/7/2022</t>
        </r>
      </text>
    </comment>
    <comment ref="F191"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text>
        <r>
          <rPr>
            <b/>
            <sz val="9"/>
            <color indexed="81"/>
            <rFont val="Tahoma"/>
            <family val="2"/>
          </rPr>
          <t>User:</t>
        </r>
        <r>
          <rPr>
            <sz val="9"/>
            <color indexed="81"/>
            <rFont val="Tahoma"/>
            <family val="2"/>
          </rPr>
          <t xml:space="preserve">
+ HS 0,45 được bảo lưu đến hết 31/12/2015</t>
        </r>
      </text>
    </comment>
    <comment ref="F193" authorId="0"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text>
        <r>
          <rPr>
            <b/>
            <sz val="9"/>
            <color indexed="81"/>
            <rFont val="Tahoma"/>
            <family val="2"/>
          </rPr>
          <t>huynh-panda:</t>
        </r>
        <r>
          <rPr>
            <sz val="9"/>
            <color indexed="81"/>
            <rFont val="Tahoma"/>
            <family val="2"/>
          </rPr>
          <t xml:space="preserve">
- Phụ trách BM Công nghệ phần mềm từ 05/7/2022</t>
        </r>
      </text>
    </comment>
    <comment ref="F195"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text>
        <r>
          <rPr>
            <b/>
            <sz val="9"/>
            <color indexed="81"/>
            <rFont val="Tahoma"/>
            <family val="2"/>
          </rPr>
          <t>Windows User:</t>
        </r>
        <r>
          <rPr>
            <sz val="9"/>
            <color indexed="81"/>
            <rFont val="Tahoma"/>
            <family val="2"/>
          </rPr>
          <t xml:space="preserve">
- HS 2,34 từ 01/9/2024</t>
        </r>
      </text>
    </comment>
    <comment ref="F198"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text>
        <r>
          <rPr>
            <b/>
            <sz val="9"/>
            <color indexed="81"/>
            <rFont val="Tahoma"/>
            <family val="2"/>
          </rPr>
          <t>User:</t>
        </r>
        <r>
          <rPr>
            <sz val="9"/>
            <color indexed="81"/>
            <rFont val="Tahoma"/>
            <family val="2"/>
          </rPr>
          <t xml:space="preserve">
- QĐ Bổ nhiệm trưởng khoa từ 01/2/2016</t>
        </r>
      </text>
    </comment>
    <comment ref="F199" authorId="0" shapeId="0">
      <text>
        <r>
          <rPr>
            <b/>
            <sz val="9"/>
            <color indexed="81"/>
            <rFont val="Tahoma"/>
            <family val="2"/>
          </rPr>
          <t>Admin:</t>
        </r>
        <r>
          <rPr>
            <sz val="9"/>
            <color indexed="81"/>
            <rFont val="Tahoma"/>
            <family val="2"/>
          </rPr>
          <t xml:space="preserve">
- HS 4,65 từ 01/12/2015
- HS 4,98 từ 01/12/2018</t>
        </r>
      </text>
    </comment>
    <comment ref="G199" authorId="1" shapeId="0">
      <text>
        <r>
          <rPr>
            <b/>
            <sz val="9"/>
            <color indexed="81"/>
            <rFont val="Tahoma"/>
            <family val="2"/>
          </rPr>
          <t>user:</t>
        </r>
        <r>
          <rPr>
            <sz val="9"/>
            <color indexed="81"/>
            <rFont val="Tahoma"/>
            <family val="2"/>
          </rPr>
          <t xml:space="preserve">
- VK 5% từ 01/12/2021
- VK 6% từ 01/12/2022
- VK 7% từ 01/12/2023</t>
        </r>
      </text>
    </comment>
    <comment ref="F200" authorId="0" shapeId="0">
      <text>
        <r>
          <rPr>
            <b/>
            <sz val="9"/>
            <color indexed="81"/>
            <rFont val="Tahoma"/>
            <family val="2"/>
          </rPr>
          <t>Admin:</t>
        </r>
        <r>
          <rPr>
            <sz val="9"/>
            <color indexed="81"/>
            <rFont val="Tahoma"/>
            <family val="2"/>
          </rPr>
          <t xml:space="preserve">
- HS 4,65 từ 01/9/2015
- HS 4,98 từ 01/9/2018</t>
        </r>
      </text>
    </comment>
    <comment ref="G200"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text>
        <r>
          <rPr>
            <b/>
            <sz val="9"/>
            <color indexed="81"/>
            <rFont val="Tahoma"/>
            <family val="2"/>
          </rPr>
          <t>Admin:</t>
        </r>
        <r>
          <rPr>
            <sz val="9"/>
            <color indexed="81"/>
            <rFont val="Tahoma"/>
            <family val="2"/>
          </rPr>
          <t xml:space="preserve">
QĐ BN Trưởng BM từ 15/5/2016
</t>
        </r>
      </text>
    </comment>
    <comment ref="F204" authorId="0" shapeId="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text>
        <r>
          <rPr>
            <b/>
            <sz val="9"/>
            <color indexed="81"/>
            <rFont val="Tahoma"/>
            <family val="2"/>
          </rPr>
          <t>huynh-panda:</t>
        </r>
        <r>
          <rPr>
            <sz val="9"/>
            <color indexed="81"/>
            <rFont val="Tahoma"/>
            <family val="2"/>
          </rPr>
          <t xml:space="preserve">
- VK 5% từ 01/9/2022
- VK 6% từ 01/9/2023
- VK 7% từ 01/9/2024</t>
        </r>
      </text>
    </comment>
    <comment ref="I204" authorId="0" shapeId="0">
      <text>
        <r>
          <rPr>
            <sz val="9"/>
            <color indexed="81"/>
            <rFont val="Tahoma"/>
            <family val="2"/>
          </rPr>
          <t>QĐ phụ trách từ 01/12/2017</t>
        </r>
      </text>
    </comment>
    <comment ref="F205" authorId="0" shapeId="0">
      <text>
        <r>
          <rPr>
            <b/>
            <sz val="9"/>
            <color indexed="81"/>
            <rFont val="Tahoma"/>
            <family val="2"/>
          </rPr>
          <t>Admin:</t>
        </r>
        <r>
          <rPr>
            <sz val="9"/>
            <color indexed="81"/>
            <rFont val="Tahoma"/>
            <family val="2"/>
          </rPr>
          <t xml:space="preserve">
- HS 3,33 từ 01/9/2017
- HS 3,66 từ 01/9/2020
- HS 3,99 từ 01/9/2023</t>
        </r>
      </text>
    </comment>
    <comment ref="F206" authorId="0" shapeId="0">
      <text>
        <r>
          <rPr>
            <b/>
            <sz val="9"/>
            <color indexed="81"/>
            <rFont val="Tahoma"/>
            <family val="2"/>
          </rPr>
          <t>Admin:</t>
        </r>
        <r>
          <rPr>
            <sz val="9"/>
            <color indexed="81"/>
            <rFont val="Tahoma"/>
            <family val="2"/>
          </rPr>
          <t xml:space="preserve">
- HS 4,65 từ 01/9/2017
- HS 4,98 từ 01/9/2020</t>
        </r>
      </text>
    </comment>
    <comment ref="G206" authorId="3" shapeId="0">
      <text>
        <r>
          <rPr>
            <b/>
            <sz val="9"/>
            <color indexed="81"/>
            <rFont val="Tahoma"/>
            <family val="2"/>
          </rPr>
          <t>Windows User:</t>
        </r>
        <r>
          <rPr>
            <sz val="9"/>
            <color indexed="81"/>
            <rFont val="Tahoma"/>
            <family val="2"/>
          </rPr>
          <t xml:space="preserve">
- VK 5% từ 01/9/2023
- VK 6% từ 01/9/2024</t>
        </r>
      </text>
    </comment>
    <comment ref="F207"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text>
        <r>
          <rPr>
            <b/>
            <sz val="9"/>
            <color indexed="81"/>
            <rFont val="Tahoma"/>
            <family val="2"/>
          </rPr>
          <t>Admin:</t>
        </r>
        <r>
          <rPr>
            <sz val="9"/>
            <color indexed="81"/>
            <rFont val="Tahoma"/>
            <family val="2"/>
          </rPr>
          <t xml:space="preserve">
- HS 3,00 từ 01/9/2016
- HS 3,33 từ 01/9/2019
- HS 3,66 từ 01/9/2022</t>
        </r>
      </text>
    </comment>
    <comment ref="F210" authorId="0" shapeId="0">
      <text>
        <r>
          <rPr>
            <b/>
            <sz val="9"/>
            <color indexed="81"/>
            <rFont val="Tahoma"/>
            <family val="2"/>
          </rPr>
          <t>Admin:</t>
        </r>
        <r>
          <rPr>
            <sz val="9"/>
            <color indexed="81"/>
            <rFont val="Tahoma"/>
            <family val="2"/>
          </rPr>
          <t xml:space="preserve">
- HS 3,00 từ 01/9/2016
- HS 3,33 từ 01/9/2019
- HS 3,66 từ 01/9/2022</t>
        </r>
      </text>
    </comment>
    <comment ref="F211" authorId="0" shapeId="0">
      <text>
        <r>
          <rPr>
            <b/>
            <sz val="9"/>
            <color indexed="81"/>
            <rFont val="Tahoma"/>
            <family val="2"/>
          </rPr>
          <t>Admin:</t>
        </r>
        <r>
          <rPr>
            <sz val="9"/>
            <color indexed="81"/>
            <rFont val="Tahoma"/>
            <family val="2"/>
          </rPr>
          <t xml:space="preserve">
- HS 3,00 từ 01/9/2016
- HS 3,33 từ 01/9/2019
- HS 3,66 từ 01/9/2022</t>
        </r>
      </text>
    </comment>
    <comment ref="F212" authorId="0" shapeId="0">
      <text>
        <r>
          <rPr>
            <b/>
            <sz val="9"/>
            <color indexed="81"/>
            <rFont val="Tahoma"/>
            <family val="2"/>
          </rPr>
          <t>Admin:</t>
        </r>
        <r>
          <rPr>
            <sz val="9"/>
            <color indexed="81"/>
            <rFont val="Tahoma"/>
            <family val="2"/>
          </rPr>
          <t xml:space="preserve">
- HS 3,00 từ 01/9/2017
- HS 3,33 từ 01/9/2020
- HS 3,66 từ 01/9/2023</t>
        </r>
      </text>
    </comment>
    <comment ref="I212" authorId="2" shapeId="0">
      <text>
        <r>
          <rPr>
            <b/>
            <sz val="9"/>
            <color indexed="81"/>
            <rFont val="Tahoma"/>
            <family val="2"/>
          </rPr>
          <t>User:</t>
        </r>
        <r>
          <rPr>
            <sz val="9"/>
            <color indexed="81"/>
            <rFont val="Tahoma"/>
            <family val="2"/>
          </rPr>
          <t xml:space="preserve">
BN Trưởng BM Cơ sở Cơ khí từ 01/09/2015</t>
        </r>
      </text>
    </comment>
    <comment ref="F21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text>
        <r>
          <rPr>
            <b/>
            <sz val="9"/>
            <color indexed="81"/>
            <rFont val="Tahoma"/>
            <family val="2"/>
          </rPr>
          <t>Admin:</t>
        </r>
        <r>
          <rPr>
            <sz val="9"/>
            <color indexed="81"/>
            <rFont val="Tahoma"/>
            <family val="2"/>
          </rPr>
          <t xml:space="preserve">
- HS 3,00 từ 01/10/2016
- HS 3,33 từ 01/10/2019
- HS 3,66 từ 01/10/2022</t>
        </r>
      </text>
    </comment>
    <comment ref="F215" authorId="0" shapeId="0">
      <text>
        <r>
          <rPr>
            <b/>
            <sz val="9"/>
            <color indexed="81"/>
            <rFont val="Tahoma"/>
            <family val="2"/>
          </rPr>
          <t>Admin:</t>
        </r>
        <r>
          <rPr>
            <sz val="9"/>
            <color indexed="81"/>
            <rFont val="Tahoma"/>
            <family val="2"/>
          </rPr>
          <t xml:space="preserve">
- HS 2,67 từ 01/10/2016
- HS 3,00 từ 01/10/2019
- HS 3,33 từ 01/10/2022</t>
        </r>
      </text>
    </comment>
    <comment ref="F216" authorId="2" shapeId="0">
      <text>
        <r>
          <rPr>
            <b/>
            <sz val="9"/>
            <color indexed="81"/>
            <rFont val="Tahoma"/>
            <family val="2"/>
          </rPr>
          <t>User:</t>
        </r>
        <r>
          <rPr>
            <sz val="9"/>
            <color indexed="81"/>
            <rFont val="Tahoma"/>
            <family val="2"/>
          </rPr>
          <t xml:space="preserve">
- HS 4,65 từ 01/9/2015
- HS 4,98 từ 01/9/2018</t>
        </r>
      </text>
    </comment>
    <comment ref="G216"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text>
        <r>
          <rPr>
            <b/>
            <sz val="9"/>
            <color indexed="81"/>
            <rFont val="Tahoma"/>
            <family val="2"/>
          </rPr>
          <t>user:</t>
        </r>
        <r>
          <rPr>
            <sz val="9"/>
            <color indexed="81"/>
            <rFont val="Tahoma"/>
            <family val="2"/>
          </rPr>
          <t xml:space="preserve">
- BN CDNN từ 01/4/2019 (HS 2.67)
- HS 3,00 từ 01/4/2022</t>
        </r>
      </text>
    </comment>
    <comment ref="F219" authorId="1" shapeId="0">
      <text>
        <r>
          <rPr>
            <b/>
            <sz val="9"/>
            <color indexed="81"/>
            <rFont val="Tahoma"/>
            <family val="2"/>
          </rPr>
          <t>user:</t>
        </r>
        <r>
          <rPr>
            <sz val="9"/>
            <color indexed="81"/>
            <rFont val="Tahoma"/>
            <family val="2"/>
          </rPr>
          <t xml:space="preserve">
- HS 2,67 từ 01/10/2019
- HS 3,00 từ 01/10/2022</t>
        </r>
      </text>
    </comment>
    <comment ref="G220"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text>
        <r>
          <rPr>
            <b/>
            <sz val="9"/>
            <color indexed="81"/>
            <rFont val="Tahoma"/>
            <family val="2"/>
          </rPr>
          <t>Windows User:</t>
        </r>
        <r>
          <rPr>
            <sz val="9"/>
            <color indexed="81"/>
            <rFont val="Tahoma"/>
            <family val="2"/>
          </rPr>
          <t xml:space="preserve">
- Tuyển dụng từ T10/2022
- HS 2,67 từ 01/10/2022</t>
        </r>
      </text>
    </comment>
    <comment ref="F225" authorId="0" shapeId="0">
      <text>
        <r>
          <rPr>
            <b/>
            <sz val="9"/>
            <color indexed="81"/>
            <rFont val="Tahoma"/>
            <family val="2"/>
          </rPr>
          <t>Admin:</t>
        </r>
        <r>
          <rPr>
            <sz val="9"/>
            <color indexed="81"/>
            <rFont val="Tahoma"/>
            <family val="2"/>
          </rPr>
          <t xml:space="preserve">
- HS 4.65 từ 01/01/2016
- HS 4,98 từ 01/01/2019</t>
        </r>
      </text>
    </comment>
    <comment ref="G225" authorId="1" shapeId="0">
      <text>
        <r>
          <rPr>
            <b/>
            <sz val="9"/>
            <color indexed="81"/>
            <rFont val="Tahoma"/>
            <family val="2"/>
          </rPr>
          <t>user:</t>
        </r>
        <r>
          <rPr>
            <sz val="9"/>
            <color indexed="81"/>
            <rFont val="Tahoma"/>
            <family val="2"/>
          </rPr>
          <t xml:space="preserve">
- VK 5% từ 01/01/2022
- VK 6% từ 01/01/2023
- VK 7% từ 01/01/2023</t>
        </r>
      </text>
    </comment>
    <comment ref="I225" authorId="4" shapeId="0">
      <text>
        <r>
          <rPr>
            <b/>
            <sz val="9"/>
            <color indexed="81"/>
            <rFont val="Tahoma"/>
            <family val="2"/>
          </rPr>
          <t>Quynh:</t>
        </r>
        <r>
          <rPr>
            <sz val="9"/>
            <color indexed="81"/>
            <rFont val="Tahoma"/>
            <family val="2"/>
          </rPr>
          <t xml:space="preserve">
- BN Phó Trưởng phòng từ 01/01/2019</t>
        </r>
      </text>
    </comment>
    <comment ref="F226" authorId="2"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text>
        <r>
          <rPr>
            <b/>
            <sz val="8"/>
            <color indexed="81"/>
            <rFont val="Tahoma"/>
            <family val="2"/>
          </rPr>
          <t>HS 0,35 từ 05/7/2015</t>
        </r>
        <r>
          <rPr>
            <sz val="8"/>
            <color indexed="81"/>
            <rFont val="Tahoma"/>
            <family val="2"/>
          </rPr>
          <t xml:space="preserve">
</t>
        </r>
      </text>
    </comment>
    <comment ref="F228" authorId="0" shapeId="0">
      <text>
        <r>
          <rPr>
            <b/>
            <sz val="9"/>
            <color indexed="81"/>
            <rFont val="Tahoma"/>
            <family val="2"/>
          </rPr>
          <t>Admin:</t>
        </r>
        <r>
          <rPr>
            <sz val="9"/>
            <color indexed="81"/>
            <rFont val="Tahoma"/>
            <family val="2"/>
          </rPr>
          <t xml:space="preserve">
- 4,65 từ 01/9/2016
- 4,98 từ 01/9/2019</t>
        </r>
      </text>
    </comment>
    <comment ref="G228" authorId="7" shapeId="0">
      <text>
        <r>
          <rPr>
            <b/>
            <sz val="9"/>
            <color indexed="81"/>
            <rFont val="Tahoma"/>
            <family val="2"/>
          </rPr>
          <t>huynh-panda:</t>
        </r>
        <r>
          <rPr>
            <sz val="9"/>
            <color indexed="81"/>
            <rFont val="Tahoma"/>
            <family val="2"/>
          </rPr>
          <t xml:space="preserve">
- VK 5% từ 01/9/2022
- VK 6% từ 01/9/2023
- VK 7% từ 01/9/2024</t>
        </r>
      </text>
    </comment>
    <comment ref="F229" authorId="0" shapeId="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text>
        <r>
          <rPr>
            <b/>
            <sz val="9"/>
            <color indexed="81"/>
            <rFont val="Tahoma"/>
            <family val="2"/>
          </rPr>
          <t>Admin:</t>
        </r>
        <r>
          <rPr>
            <sz val="9"/>
            <color indexed="81"/>
            <rFont val="Tahoma"/>
            <family val="2"/>
          </rPr>
          <t xml:space="preserve">
- HS 3,66 từ 01/9/2016
- HS 3,99 từ 01/9/2019
- HS 4,32 từ 01/9/2022</t>
        </r>
      </text>
    </comment>
    <comment ref="F232"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text>
        <r>
          <rPr>
            <b/>
            <sz val="9"/>
            <color indexed="81"/>
            <rFont val="Tahoma"/>
            <family val="2"/>
          </rPr>
          <t>user:</t>
        </r>
        <r>
          <rPr>
            <sz val="9"/>
            <color indexed="81"/>
            <rFont val="Tahoma"/>
            <family val="2"/>
          </rPr>
          <t xml:space="preserve">
Trưởng BM Cơ điện tử và tự động hóa từ 01/01/2019</t>
        </r>
      </text>
    </comment>
    <comment ref="F234" authorId="0"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Admin:</t>
        </r>
        <r>
          <rPr>
            <sz val="9"/>
            <color indexed="81"/>
            <rFont val="Tahoma"/>
            <family val="2"/>
          </rPr>
          <t xml:space="preserve">
- HS 3,99 từ 01/9/2016
- HS 4,32 từ 01/9/2019
- HS 4,65 từ 01/9/2022</t>
        </r>
      </text>
    </comment>
    <comment ref="I235" authorId="2" shapeId="0">
      <text>
        <r>
          <rPr>
            <b/>
            <sz val="9"/>
            <color indexed="81"/>
            <rFont val="Tahoma"/>
            <family val="2"/>
          </rPr>
          <t>User:</t>
        </r>
        <r>
          <rPr>
            <sz val="9"/>
            <color indexed="81"/>
            <rFont val="Tahoma"/>
            <family val="2"/>
          </rPr>
          <t xml:space="preserve">
Miễn nhiệm Trưởng BM. Bảo lưu HS hết T02/2015</t>
        </r>
      </text>
    </comment>
    <comment ref="F236" authorId="0" shapeId="0">
      <text>
        <r>
          <rPr>
            <b/>
            <sz val="9"/>
            <color indexed="81"/>
            <rFont val="Tahoma"/>
            <family val="2"/>
          </rPr>
          <t>Admin:</t>
        </r>
        <r>
          <rPr>
            <sz val="9"/>
            <color indexed="81"/>
            <rFont val="Tahoma"/>
            <family val="2"/>
          </rPr>
          <t xml:space="preserve">
- HS 3,00 từ 01/9/2016
- HS 3,33 từ 01/9/2019
- HS 3,66 từ 01/9/2022</t>
        </r>
      </text>
    </comment>
    <comment ref="F237"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text>
        <r>
          <rPr>
            <b/>
            <sz val="9"/>
            <color indexed="81"/>
            <rFont val="Tahoma"/>
            <family val="2"/>
          </rPr>
          <t>Admin:</t>
        </r>
        <r>
          <rPr>
            <sz val="9"/>
            <color indexed="81"/>
            <rFont val="Tahoma"/>
            <family val="2"/>
          </rPr>
          <t xml:space="preserve">
- HS 3,00 từ 01/9/2017
- HS 3,33 từ 01/9/2020
- HS 3,66 từ 01/9/2023</t>
        </r>
      </text>
    </comment>
    <comment ref="F239" authorId="0" shapeId="0">
      <text>
        <r>
          <rPr>
            <b/>
            <sz val="9"/>
            <color indexed="81"/>
            <rFont val="Tahoma"/>
            <family val="2"/>
          </rPr>
          <t>Admin:</t>
        </r>
        <r>
          <rPr>
            <sz val="9"/>
            <color indexed="81"/>
            <rFont val="Tahoma"/>
            <family val="2"/>
          </rPr>
          <t xml:space="preserve">
- HS 3,00 từ 01/9/2017
- HS 3,33 từ 01/9/2019
- HS 3,66 từ 01/9/2022</t>
        </r>
      </text>
    </comment>
    <comment ref="F240" authorId="2" shapeId="0">
      <text>
        <r>
          <rPr>
            <b/>
            <sz val="9"/>
            <color indexed="81"/>
            <rFont val="Tahoma"/>
            <family val="2"/>
          </rPr>
          <t>User:</t>
        </r>
        <r>
          <rPr>
            <sz val="9"/>
            <color indexed="81"/>
            <rFont val="Tahoma"/>
            <family val="2"/>
          </rPr>
          <t xml:space="preserve">
- HS 4,65 từ 01/5/2014
- HS 4,98 từ 01/5/2017</t>
        </r>
      </text>
    </comment>
    <comment ref="G240" authorId="1" shapeId="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text>
        <r>
          <rPr>
            <b/>
            <sz val="9"/>
            <color indexed="81"/>
            <rFont val="Tahoma"/>
            <family val="2"/>
          </rPr>
          <t>user:</t>
        </r>
        <r>
          <rPr>
            <sz val="9"/>
            <color indexed="81"/>
            <rFont val="Tahoma"/>
            <family val="2"/>
          </rPr>
          <t xml:space="preserve">
+ QĐ Bổ nhiệm Phó TK Điện - Điện tử từ 10/6/2019
</t>
        </r>
      </text>
    </comment>
    <comment ref="G241"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text>
        <r>
          <rPr>
            <b/>
            <sz val="9"/>
            <color indexed="81"/>
            <rFont val="Tahoma"/>
            <family val="2"/>
          </rPr>
          <t>User:</t>
        </r>
        <r>
          <rPr>
            <sz val="9"/>
            <color indexed="81"/>
            <rFont val="Tahoma"/>
            <family val="2"/>
          </rPr>
          <t xml:space="preserve">
- HS 4,65 từ 01/5/2014
- HS 4,98 từ 01/5/2017</t>
        </r>
      </text>
    </comment>
    <comment ref="G242" authorId="1" shapeId="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text>
        <r>
          <rPr>
            <b/>
            <sz val="9"/>
            <color indexed="81"/>
            <rFont val="Tahoma"/>
            <family val="2"/>
          </rPr>
          <t>Admin:</t>
        </r>
        <r>
          <rPr>
            <sz val="9"/>
            <color indexed="81"/>
            <rFont val="Tahoma"/>
            <family val="2"/>
          </rPr>
          <t xml:space="preserve">
- HS 3,33 từ 01/12/2015
- HS 3,66 từ 01/12/2016
- HS 3,99 từ 01/12/2021</t>
        </r>
      </text>
    </comment>
    <comment ref="F250" authorId="1"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text>
        <r>
          <rPr>
            <b/>
            <sz val="9"/>
            <color indexed="81"/>
            <rFont val="Tahoma"/>
            <family val="2"/>
          </rPr>
          <t>user:</t>
        </r>
        <r>
          <rPr>
            <sz val="9"/>
            <color indexed="81"/>
            <rFont val="Tahoma"/>
            <family val="2"/>
          </rPr>
          <t xml:space="preserve">
- BN CDNN 2.34 từ 1/4/2019
- HS 2,67 từ 01/4/2022</t>
        </r>
      </text>
    </comment>
    <comment ref="I251" authorId="3" shapeId="0">
      <text>
        <r>
          <rPr>
            <b/>
            <sz val="9"/>
            <color indexed="81"/>
            <rFont val="Tahoma"/>
            <family val="2"/>
          </rPr>
          <t>Windows User:</t>
        </r>
        <r>
          <rPr>
            <sz val="9"/>
            <color indexed="81"/>
            <rFont val="Tahoma"/>
            <family val="2"/>
          </rPr>
          <t xml:space="preserve">
- Trưởng BM Điện Công nghiệp từ 01/10/2022</t>
        </r>
      </text>
    </comment>
    <comment ref="F252" authorId="1" shapeId="0">
      <text>
        <r>
          <rPr>
            <b/>
            <sz val="9"/>
            <color indexed="81"/>
            <rFont val="Tahoma"/>
            <family val="2"/>
          </rPr>
          <t>user:</t>
        </r>
        <r>
          <rPr>
            <sz val="9"/>
            <color indexed="81"/>
            <rFont val="Tahoma"/>
            <family val="2"/>
          </rPr>
          <t xml:space="preserve">
- HS 2,34 từ 01/01/2020
- HS 2,67 từ 01/01/2022 (NL trước hạn)</t>
        </r>
      </text>
    </comment>
    <comment ref="I25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text>
        <r>
          <rPr>
            <b/>
            <sz val="9"/>
            <color indexed="81"/>
            <rFont val="Tahoma"/>
            <family val="2"/>
          </rPr>
          <t>Windows User:</t>
        </r>
        <r>
          <rPr>
            <sz val="9"/>
            <color indexed="81"/>
            <rFont val="Tahoma"/>
            <family val="2"/>
          </rPr>
          <t xml:space="preserve">
- HS 2,67 từ 01/10/2023 (BN CDNN)</t>
        </r>
      </text>
    </comment>
    <comment ref="F255" authorId="3" shapeId="0">
      <text>
        <r>
          <rPr>
            <b/>
            <sz val="9"/>
            <color indexed="81"/>
            <rFont val="Tahoma"/>
            <family val="2"/>
          </rPr>
          <t>Windows User:</t>
        </r>
        <r>
          <rPr>
            <sz val="9"/>
            <color indexed="81"/>
            <rFont val="Tahoma"/>
            <family val="2"/>
          </rPr>
          <t xml:space="preserve">
- HS 2,34 từ 01/10/2023 (BN CDNN)</t>
        </r>
      </text>
    </comment>
    <comment ref="F256" authorId="0"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text>
        <r>
          <rPr>
            <b/>
            <sz val="9"/>
            <color indexed="81"/>
            <rFont val="Tahoma"/>
            <family val="2"/>
          </rPr>
          <t>User:</t>
        </r>
        <r>
          <rPr>
            <sz val="9"/>
            <color indexed="81"/>
            <rFont val="Tahoma"/>
            <family val="2"/>
          </rPr>
          <t xml:space="preserve">
- Trưởng khoa Động lực từ 01/8/2015</t>
        </r>
      </text>
    </comment>
    <comment ref="F257" authorId="0"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text>
        <r>
          <rPr>
            <b/>
            <sz val="9"/>
            <color indexed="81"/>
            <rFont val="Tahoma"/>
            <family val="2"/>
          </rPr>
          <t>Admin:</t>
        </r>
        <r>
          <rPr>
            <sz val="9"/>
            <color indexed="81"/>
            <rFont val="Tahoma"/>
            <family val="2"/>
          </rPr>
          <t xml:space="preserve">
- Bảo lưu đến hết T5/2018</t>
        </r>
      </text>
    </comment>
    <comment ref="F260"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text>
        <r>
          <rPr>
            <b/>
            <sz val="9"/>
            <color indexed="81"/>
            <rFont val="Tahoma"/>
            <family val="2"/>
          </rPr>
          <t>Admin:</t>
        </r>
        <r>
          <rPr>
            <sz val="9"/>
            <color indexed="81"/>
            <rFont val="Tahoma"/>
            <family val="2"/>
          </rPr>
          <t xml:space="preserve">
- HS 3,00 từ 01/9/2017
- HS 3,33 từ 01/9/2019
- HS 3,66 từ 01/9/2022
</t>
        </r>
      </text>
    </comment>
    <comment ref="F266" authorId="8" shapeId="0">
      <text>
        <r>
          <rPr>
            <sz val="9"/>
            <color indexed="81"/>
            <rFont val="Tahoma"/>
            <family val="2"/>
          </rPr>
          <t>- HS 3,00 từ 01/3/2018
- HS 3,33 từ 01/3/2020 (NL trước hạn)
- HS 3,66 từ 01/03/2023</t>
        </r>
      </text>
    </comment>
    <comment ref="F267" authorId="0"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text>
        <r>
          <rPr>
            <b/>
            <sz val="9"/>
            <color indexed="81"/>
            <rFont val="Tahoma"/>
            <family val="2"/>
          </rPr>
          <t>Quynh:</t>
        </r>
        <r>
          <rPr>
            <sz val="9"/>
            <color indexed="81"/>
            <rFont val="Tahoma"/>
            <family val="2"/>
          </rPr>
          <t xml:space="preserve">
- BN Trưởng BM Điện ô tô từ 01/01/2019 </t>
        </r>
      </text>
    </comment>
    <comment ref="F270"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text>
        <r>
          <rPr>
            <b/>
            <sz val="9"/>
            <color indexed="81"/>
            <rFont val="Tahoma"/>
            <family val="2"/>
          </rPr>
          <t>user:</t>
        </r>
        <r>
          <rPr>
            <sz val="9"/>
            <color indexed="81"/>
            <rFont val="Tahoma"/>
            <family val="2"/>
          </rPr>
          <t xml:space="preserve">
- HS 2,34 từ 01/10/2019
- HS 2,67 từ 01/10/2022</t>
        </r>
      </text>
    </comment>
    <comment ref="F273" authorId="1" shapeId="0">
      <text>
        <r>
          <rPr>
            <b/>
            <sz val="9"/>
            <color indexed="81"/>
            <rFont val="Tahoma"/>
            <family val="2"/>
          </rPr>
          <t>user:</t>
        </r>
        <r>
          <rPr>
            <sz val="9"/>
            <color indexed="81"/>
            <rFont val="Tahoma"/>
            <family val="2"/>
          </rPr>
          <t xml:space="preserve">
- HS 2,67 từ 01/01/2020
- HS 3,00 từ 01/01/2022 (NL trước hạn)</t>
        </r>
      </text>
    </comment>
    <comment ref="F274" authorId="1" shapeId="0">
      <text>
        <r>
          <rPr>
            <b/>
            <sz val="9"/>
            <color indexed="81"/>
            <rFont val="Tahoma"/>
            <family val="2"/>
          </rPr>
          <t>user:</t>
        </r>
        <r>
          <rPr>
            <sz val="9"/>
            <color indexed="81"/>
            <rFont val="Tahoma"/>
            <family val="2"/>
          </rPr>
          <t xml:space="preserve">
- HS 3,00 từ 01/11/2019
- HS 3,33 từ 01/12/2020
- HS 3,66 từ 01/12/2022</t>
        </r>
      </text>
    </comment>
    <comment ref="F275" authorId="1" shapeId="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text>
        <r>
          <rPr>
            <b/>
            <sz val="9"/>
            <color indexed="81"/>
            <rFont val="Tahoma"/>
            <family val="2"/>
          </rPr>
          <t>Admin:</t>
        </r>
        <r>
          <rPr>
            <sz val="9"/>
            <color indexed="81"/>
            <rFont val="Tahoma"/>
            <family val="2"/>
          </rPr>
          <t xml:space="preserve">
- HS 3,99 từ 01/9/2017
- HS 4,32 từ 01/9/2020
- HS 4,65 từ 01/9/2022</t>
        </r>
      </text>
    </comment>
    <comment ref="F282" authorId="0" shapeId="0">
      <text>
        <r>
          <rPr>
            <b/>
            <sz val="9"/>
            <color indexed="81"/>
            <rFont val="Tahoma"/>
            <family val="2"/>
          </rPr>
          <t>Admin:</t>
        </r>
        <r>
          <rPr>
            <sz val="9"/>
            <color indexed="81"/>
            <rFont val="Tahoma"/>
            <family val="2"/>
          </rPr>
          <t xml:space="preserve">
- HS 3,99 từ 01/9/2017
- HS 4,32 từ 01/9/2020
- HS 4,65 từ 01/9/2023</t>
        </r>
      </text>
    </comment>
    <comment ref="F283" authorId="0" shapeId="0">
      <text>
        <r>
          <rPr>
            <b/>
            <sz val="9"/>
            <color indexed="81"/>
            <rFont val="Tahoma"/>
            <family val="2"/>
          </rPr>
          <t>Admin:</t>
        </r>
        <r>
          <rPr>
            <sz val="9"/>
            <color indexed="81"/>
            <rFont val="Tahoma"/>
            <family val="2"/>
          </rPr>
          <t xml:space="preserve">
- HS 3,00 từ 01/9/2016
- HS 3,33 từ 01/9/2019
- HS 3,66 từ 01/9/2022</t>
        </r>
      </text>
    </comment>
    <comment ref="F284" authorId="0" shapeId="0">
      <text>
        <r>
          <rPr>
            <b/>
            <sz val="9"/>
            <color indexed="81"/>
            <rFont val="Tahoma"/>
            <family val="2"/>
          </rPr>
          <t>Admin:</t>
        </r>
        <r>
          <rPr>
            <sz val="9"/>
            <color indexed="81"/>
            <rFont val="Tahoma"/>
            <family val="2"/>
          </rPr>
          <t xml:space="preserve">
- HS 3,00 từ 01/9/2017
- HS 3,33 từ 01/9/2020
- HS 3,66 từ 01/9/2023</t>
        </r>
      </text>
    </comment>
    <comment ref="F285" authorId="0" shapeId="0">
      <text>
        <r>
          <rPr>
            <b/>
            <sz val="9"/>
            <color indexed="81"/>
            <rFont val="Tahoma"/>
            <family val="2"/>
          </rPr>
          <t>Admin:</t>
        </r>
        <r>
          <rPr>
            <sz val="9"/>
            <color indexed="81"/>
            <rFont val="Tahoma"/>
            <family val="2"/>
          </rPr>
          <t xml:space="preserve">
- HS 3,66 từ 01/9/2016
- HS 3,99 từ 01/9/2019
- HS 4,32 từ 01/9/2022</t>
        </r>
      </text>
    </comment>
    <comment ref="F286"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text>
        <r>
          <rPr>
            <b/>
            <sz val="9"/>
            <color indexed="81"/>
            <rFont val="Tahoma"/>
            <family val="2"/>
          </rPr>
          <t>User:</t>
        </r>
        <r>
          <rPr>
            <sz val="9"/>
            <color indexed="81"/>
            <rFont val="Tahoma"/>
            <family val="2"/>
          </rPr>
          <t xml:space="preserve">
- HS 4,32 từ 01/10/2015
- HS 4,65 từ 01/10/2018
- HS 4,98 từ 01/10/2021</t>
        </r>
      </text>
    </comment>
    <comment ref="G287" authorId="3" shapeId="0">
      <text>
        <r>
          <rPr>
            <b/>
            <sz val="9"/>
            <color indexed="81"/>
            <rFont val="Tahoma"/>
            <family val="2"/>
          </rPr>
          <t>Windows User:</t>
        </r>
        <r>
          <rPr>
            <sz val="9"/>
            <color indexed="81"/>
            <rFont val="Tahoma"/>
            <family val="2"/>
          </rPr>
          <t xml:space="preserve">
- VK 5% từ 01/10/2024</t>
        </r>
      </text>
    </comment>
    <comment ref="F288" authorId="8" shapeId="0">
      <text>
        <r>
          <rPr>
            <sz val="9"/>
            <color indexed="81"/>
            <rFont val="Tahoma"/>
            <family val="2"/>
          </rPr>
          <t>- HS 2,67 hưởng từ 01/9 làm bảng truy lãnh từ tháng 9-11/2017
- HS 3,00 từ 01/9/2019
- HS 3,33 từ 01/9/2022</t>
        </r>
      </text>
    </comment>
    <comment ref="I288" authorId="0" shapeId="0">
      <text>
        <r>
          <rPr>
            <b/>
            <sz val="9"/>
            <color indexed="81"/>
            <rFont val="Tahoma"/>
            <family val="2"/>
          </rPr>
          <t>Admin:</t>
        </r>
        <r>
          <rPr>
            <sz val="9"/>
            <color indexed="81"/>
            <rFont val="Tahoma"/>
            <family val="2"/>
          </rPr>
          <t xml:space="preserve">
- BN Phó TK từ 01/8/2018</t>
        </r>
      </text>
    </comment>
  </commentList>
</comments>
</file>

<file path=xl/comments10.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11.xml><?xml version="1.0" encoding="utf-8"?>
<comments xmlns="http://schemas.openxmlformats.org/spreadsheetml/2006/main">
  <authors>
    <author>Windows User</author>
    <author>Admin</author>
  </authors>
  <commentList>
    <comment ref="E45" authorId="0" shapeId="0">
      <text>
        <r>
          <rPr>
            <b/>
            <sz val="9"/>
            <color indexed="81"/>
            <rFont val="Tahoma"/>
            <family val="2"/>
          </rPr>
          <t>Windows User:</t>
        </r>
        <r>
          <rPr>
            <sz val="9"/>
            <color indexed="81"/>
            <rFont val="Tahoma"/>
            <family val="2"/>
          </rPr>
          <t xml:space="preserve">
- Chuyển về phòng từ T2/25</t>
        </r>
      </text>
    </comment>
    <comment ref="B54"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97" authorId="0"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sharedStrings.xml><?xml version="1.0" encoding="utf-8"?>
<sst xmlns="http://schemas.openxmlformats.org/spreadsheetml/2006/main" count="14903" uniqueCount="2454">
  <si>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</si>
  <si>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</si>
  <si>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</si>
  <si>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</si>
  <si>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</si>
  <si>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</si>
  <si>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</si>
  <si>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</si>
  <si>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</si>
  <si>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</si>
  <si>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</si>
  <si>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</si>
  <si>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</si>
  <si>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</si>
  <si>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</si>
  <si>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</si>
  <si>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</si>
  <si>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</si>
  <si>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</si>
  <si>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</si>
  <si>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</si>
  <si>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</si>
  <si>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</si>
  <si>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</si>
  <si>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</si>
  <si>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</si>
  <si>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</si>
  <si>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</si>
  <si>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</si>
  <si>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</si>
  <si>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</si>
  <si>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</si>
  <si>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</si>
  <si>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</si>
  <si>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</si>
  <si>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</si>
  <si>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</si>
  <si>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</si>
  <si>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</si>
  <si>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</si>
  <si>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</si>
  <si>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</si>
  <si>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</si>
  <si>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</si>
  <si>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</si>
  <si>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</si>
  <si>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</si>
  <si>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</si>
  <si>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</si>
  <si>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</si>
  <si>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</si>
  <si>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</si>
  <si>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</si>
  <si>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</si>
  <si>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</si>
  <si>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</si>
  <si>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</si>
  <si>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</si>
  <si>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</si>
  <si>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</si>
  <si>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</si>
  <si>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</si>
  <si>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</si>
  <si>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</si>
  <si>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</si>
  <si>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</si>
  <si>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</si>
  <si>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</si>
  <si>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</si>
  <si>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</si>
  <si>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</si>
  <si>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</si>
  <si>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</si>
  <si>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</si>
  <si>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</si>
  <si>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</si>
  <si>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</si>
  <si>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</si>
  <si>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</si>
  <si>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</si>
  <si>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</si>
  <si>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</si>
  <si>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</si>
  <si>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</si>
  <si>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</si>
  <si>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</si>
  <si>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</si>
  <si>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</si>
  <si>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</si>
  <si>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</si>
  <si>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</si>
  <si>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</si>
  <si>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</si>
  <si>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</si>
  <si>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</si>
  <si>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</si>
  <si>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</si>
  <si>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</si>
  <si>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</si>
  <si>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</si>
  <si>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</si>
  <si>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</si>
  <si>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</si>
  <si>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</si>
  <si>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</si>
  <si>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</si>
  <si>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</si>
  <si>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</si>
  <si>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</si>
  <si>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</si>
  <si>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</si>
  <si>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</si>
  <si>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</si>
  <si>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</si>
  <si>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</si>
  <si>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</si>
  <si>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</si>
  <si>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</si>
  <si>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</si>
  <si>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</si>
  <si>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</si>
  <si>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</si>
  <si>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</si>
  <si>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</si>
  <si>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</si>
  <si>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</si>
  <si>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</si>
  <si>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</si>
  <si>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</si>
  <si>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</si>
  <si>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</si>
  <si>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</si>
  <si>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</si>
  <si>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</si>
  <si>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</si>
  <si>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</si>
  <si>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</si>
  <si>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</si>
  <si>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</si>
  <si>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</si>
  <si>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</si>
  <si>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</si>
  <si>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</si>
  <si>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</si>
  <si>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</si>
  <si>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</si>
  <si>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</si>
  <si>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</si>
  <si>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</si>
  <si>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</si>
  <si>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</si>
  <si>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</si>
  <si>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</si>
  <si>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</si>
  <si>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</si>
  <si>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</si>
  <si>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</si>
  <si>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</si>
  <si>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</si>
  <si>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</si>
  <si>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</si>
  <si>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</si>
  <si>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</si>
  <si>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</si>
  <si>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</si>
  <si>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</si>
  <si>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</si>
  <si>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</si>
  <si>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</si>
  <si>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</si>
  <si>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</si>
  <si>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</si>
  <si>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</si>
  <si>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</si>
  <si>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</si>
  <si>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</si>
  <si>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</si>
  <si>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</si>
  <si>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</si>
  <si>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</si>
  <si>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</si>
  <si>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</si>
  <si>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</si>
  <si>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</si>
  <si>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</si>
  <si>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</si>
  <si>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</si>
  <si>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</si>
  <si>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</si>
  <si>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</si>
  <si>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</si>
  <si>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</si>
  <si>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</si>
  <si>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</si>
  <si>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</si>
  <si>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</si>
  <si>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</si>
  <si>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</si>
  <si>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</si>
  <si>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</si>
  <si>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</si>
  <si>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</si>
  <si>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</si>
  <si>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</si>
  <si>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</si>
  <si>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</si>
  <si>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</si>
  <si>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</si>
  <si>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</si>
  <si>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</si>
  <si>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</si>
  <si>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</si>
  <si>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</si>
  <si>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</si>
  <si>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</si>
  <si>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</si>
  <si>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</si>
  <si>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</si>
  <si>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</si>
  <si>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</si>
  <si>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</si>
  <si>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</si>
  <si>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</si>
  <si>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</si>
  <si>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</si>
  <si>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</si>
  <si>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</si>
  <si>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</si>
  <si>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</si>
  <si>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</si>
  <si>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</si>
  <si>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</si>
  <si>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</si>
  <si>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</si>
  <si>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</si>
  <si>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</si>
  <si>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</si>
  <si>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</si>
  <si>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</si>
  <si>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</si>
  <si>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</si>
  <si>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</si>
  <si>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</si>
  <si>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</si>
  <si>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</si>
  <si>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</si>
  <si>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</si>
  <si>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</si>
  <si>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</si>
  <si>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</si>
  <si>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</si>
  <si>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</si>
  <si>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</si>
  <si>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</si>
  <si>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</si>
  <si>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</si>
  <si>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</si>
  <si>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</si>
  <si>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</si>
  <si>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</si>
  <si>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</si>
  <si>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</si>
  <si>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</si>
  <si>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</si>
  <si>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</si>
  <si>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</si>
  <si>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</si>
  <si>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</si>
  <si>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</si>
  <si>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</si>
  <si>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</si>
  <si>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</si>
  <si>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</si>
  <si>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</si>
  <si>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</si>
  <si>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</si>
  <si>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</si>
  <si>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</si>
  <si>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</si>
  <si>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</si>
  <si>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</si>
  <si>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</si>
  <si>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</si>
  <si>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</si>
  <si>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</si>
  <si>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</si>
  <si>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</si>
  <si>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</si>
  <si>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</si>
  <si>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</si>
  <si>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</si>
  <si>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</si>
  <si>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</si>
  <si>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</si>
  <si>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</si>
  <si>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</si>
  <si>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</si>
  <si>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</si>
  <si>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</si>
  <si>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</si>
  <si>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</si>
  <si>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</si>
  <si>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</si>
  <si>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</si>
  <si>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</si>
  <si>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</si>
  <si>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</si>
  <si>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</si>
  <si>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</si>
  <si>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</si>
  <si>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</si>
  <si>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</si>
  <si>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</si>
  <si>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</si>
  <si>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</si>
  <si>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</si>
  <si>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</si>
  <si>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</si>
  <si>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</si>
  <si>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</si>
  <si>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</si>
  <si>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</si>
  <si>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</si>
  <si>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</si>
  <si>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</si>
  <si>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</si>
  <si>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</si>
  <si>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</si>
  <si>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</si>
  <si>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</si>
  <si>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</si>
  <si>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</si>
  <si>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</si>
  <si>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</si>
  <si>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</si>
  <si>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</si>
  <si>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</si>
  <si>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</si>
  <si>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</si>
  <si>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</si>
  <si>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</si>
  <si>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</si>
  <si>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</si>
  <si>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</si>
  <si>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</si>
  <si>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</si>
  <si>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</si>
  <si>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</si>
  <si>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</si>
  <si>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</si>
  <si>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</si>
  <si>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</si>
  <si>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</si>
  <si>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</si>
  <si>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</si>
  <si>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</si>
  <si>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</si>
  <si>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</si>
  <si>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</si>
  <si>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</si>
  <si>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</si>
  <si>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</si>
  <si>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</si>
  <si>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</si>
  <si>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</si>
  <si>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</si>
  <si>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</si>
  <si>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</si>
  <si>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</si>
  <si>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</si>
  <si>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</si>
  <si>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</si>
  <si>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</si>
  <si>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</si>
  <si>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</si>
  <si>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</si>
  <si>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</si>
  <si>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</si>
  <si>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</si>
  <si>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</si>
  <si>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</si>
  <si>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</si>
  <si>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</si>
  <si>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</si>
  <si>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</si>
  <si>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</si>
  <si>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</si>
  <si>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</si>
  <si>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</si>
  <si>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</si>
  <si>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</si>
  <si>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</si>
  <si>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</si>
  <si>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</si>
  <si>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</si>
  <si>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</si>
  <si>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</si>
  <si>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</si>
  <si>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</si>
  <si>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</si>
  <si>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</si>
  <si>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</si>
  <si>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</si>
  <si>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</si>
  <si>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</si>
  <si>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</si>
  <si>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</si>
  <si>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</si>
  <si>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</si>
  <si>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</si>
  <si>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</si>
  <si>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</si>
  <si>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</si>
  <si>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</si>
  <si>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</si>
  <si>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</si>
  <si>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</si>
  <si>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</si>
  <si>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</si>
  <si>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</si>
  <si>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</si>
  <si>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</si>
  <si>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</si>
  <si>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</si>
  <si>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</si>
  <si>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</si>
  <si>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</si>
  <si>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</si>
  <si>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</si>
  <si>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</si>
  <si>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</si>
  <si>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</si>
  <si>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</si>
  <si>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</si>
  <si>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</si>
  <si>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</si>
  <si>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</si>
  <si>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</si>
  <si>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</si>
  <si>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</si>
  <si>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</si>
  <si>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</si>
  <si>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</si>
  <si>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</si>
  <si>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</si>
  <si>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</si>
  <si>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</si>
  <si>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</si>
  <si>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</si>
  <si>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</si>
  <si>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</si>
  <si>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</si>
  <si>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</si>
  <si>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</si>
  <si>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</si>
  <si>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</si>
  <si>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</si>
  <si>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</si>
  <si>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</si>
  <si>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</si>
  <si>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</si>
  <si>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</si>
  <si>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</si>
  <si>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</si>
  <si>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</si>
  <si>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</si>
  <si>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</si>
  <si>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</si>
  <si>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</si>
  <si>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</si>
  <si>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</si>
  <si>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</si>
  <si>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</si>
  <si>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</si>
  <si>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</si>
  <si>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</si>
  <si>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</si>
  <si>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</si>
  <si>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</si>
  <si>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</si>
  <si>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</si>
  <si>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</si>
  <si>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</si>
  <si>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</si>
  <si>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</si>
  <si>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</si>
  <si>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</si>
  <si>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</si>
  <si>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</si>
  <si>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</si>
  <si>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</si>
  <si>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</si>
  <si>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</si>
  <si>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</si>
  <si>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</si>
  <si>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</si>
  <si>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</si>
  <si>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</si>
  <si>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</si>
  <si>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</si>
  <si>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</si>
  <si>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</si>
  <si>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</si>
  <si>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</si>
  <si>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</si>
  <si>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</si>
  <si>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</si>
  <si>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</si>
  <si>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</si>
  <si>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</si>
  <si>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</si>
  <si>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</si>
  <si>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</si>
  <si>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</si>
  <si>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</si>
  <si>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</si>
  <si>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</si>
  <si>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</si>
  <si>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</si>
  <si>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</si>
  <si>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</si>
  <si>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</si>
  <si>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</si>
  <si>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</si>
  <si>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</si>
  <si>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</si>
  <si>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</si>
  <si>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</si>
  <si>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</si>
  <si>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</si>
  <si>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</si>
  <si>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</si>
  <si>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</si>
  <si>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</si>
  <si>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</si>
  <si>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</si>
  <si>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</si>
  <si>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</si>
  <si>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</si>
  <si>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</si>
  <si>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</si>
  <si>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</si>
  <si>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</si>
  <si>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</si>
  <si>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</si>
  <si>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</si>
  <si>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</si>
  <si>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</si>
  <si>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</si>
  <si>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</si>
  <si>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</si>
  <si>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</si>
  <si>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</si>
  <si>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</si>
  <si>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</si>
  <si>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</si>
  <si>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</si>
  <si>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</si>
  <si>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</si>
  <si>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</si>
  <si>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</si>
  <si>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</si>
  <si>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</si>
  <si>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</si>
  <si>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</si>
  <si>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</si>
  <si>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</si>
  <si>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</si>
  <si>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</si>
  <si>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</si>
  <si>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</si>
  <si>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</si>
  <si>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</si>
  <si>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</si>
  <si>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</si>
  <si>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</si>
  <si>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</si>
  <si>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</si>
  <si>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</si>
  <si>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</si>
  <si>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</si>
  <si>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</si>
  <si>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</si>
  <si>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</si>
  <si>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</si>
  <si>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</si>
  <si>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</si>
  <si>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</si>
  <si>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</si>
  <si>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</si>
  <si>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</si>
  <si>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</si>
  <si>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</si>
  <si>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</si>
  <si>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</si>
  <si>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</si>
  <si>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</si>
  <si>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</si>
  <si>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</si>
  <si>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</si>
  <si>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</si>
  <si>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</si>
  <si>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</si>
  <si>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</si>
  <si>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</si>
  <si>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</si>
  <si>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</si>
  <si>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</si>
  <si>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</si>
  <si>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</si>
  <si>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</si>
  <si>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</si>
  <si>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</si>
  <si>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</si>
  <si>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</si>
  <si>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</si>
  <si>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</si>
  <si>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</si>
  <si>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</si>
  <si>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</si>
  <si>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</si>
  <si>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</si>
  <si>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</si>
  <si>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</si>
  <si>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</si>
  <si>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</si>
  <si>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</si>
  <si>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</si>
  <si>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</si>
  <si>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</si>
  <si>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</si>
  <si>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</si>
  <si>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</si>
  <si>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</si>
  <si>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</si>
  <si>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</si>
  <si>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</si>
  <si>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</si>
  <si>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</si>
  <si>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</si>
  <si>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</si>
  <si>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</si>
  <si>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</si>
  <si>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</si>
  <si>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</si>
  <si>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</si>
  <si>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</si>
  <si>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</si>
  <si>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</si>
  <si>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</si>
  <si>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</si>
  <si>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</si>
  <si>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</si>
  <si>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</si>
  <si>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</si>
  <si>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</si>
  <si>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</si>
  <si>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</si>
  <si>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</si>
  <si>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</si>
  <si>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</si>
  <si>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</si>
  <si>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</si>
  <si>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</si>
  <si>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</si>
  <si>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</si>
  <si>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</si>
  <si>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</si>
  <si>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</si>
  <si>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</si>
  <si>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</si>
  <si>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</si>
  <si>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</si>
  <si>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</si>
  <si>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</si>
  <si>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</si>
  <si>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</si>
  <si>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</si>
  <si>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</si>
  <si>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</si>
  <si>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</si>
  <si>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</si>
  <si>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</si>
  <si>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</si>
  <si>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</si>
  <si>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</si>
  <si>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</si>
  <si>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</si>
  <si>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</si>
  <si>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</si>
  <si>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</si>
  <si>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</si>
  <si>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</si>
  <si>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</si>
  <si>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</si>
  <si>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</si>
  <si>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</si>
  <si>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</si>
  <si>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</si>
  <si>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</si>
  <si>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</si>
  <si>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</si>
  <si>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</si>
  <si>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</si>
  <si>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</si>
  <si>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</si>
  <si>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</si>
  <si>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</si>
  <si>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</si>
  <si>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</si>
  <si>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</si>
  <si>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</si>
  <si>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</si>
  <si>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</si>
  <si>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</si>
  <si>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</si>
  <si>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</si>
  <si>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</si>
  <si>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</si>
  <si>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</si>
  <si>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</si>
  <si>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</si>
  <si>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</si>
  <si>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</si>
  <si>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</si>
  <si>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</si>
  <si>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</si>
  <si>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</si>
  <si>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</si>
  <si>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</si>
  <si>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</si>
  <si>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</si>
  <si>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</si>
  <si>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</si>
  <si>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</si>
  <si>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</si>
  <si>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</si>
  <si>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</si>
  <si>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</si>
  <si>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</si>
  <si>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</si>
  <si>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</si>
  <si>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</si>
  <si>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</si>
  <si>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</si>
  <si>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</si>
  <si>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</si>
  <si>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</si>
  <si>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</si>
  <si>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</si>
  <si>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</si>
  <si>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</si>
  <si>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</si>
  <si>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</si>
  <si>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</si>
  <si>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</si>
  <si>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</si>
  <si>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</si>
  <si>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</si>
  <si>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</si>
  <si>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</si>
  <si>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</si>
  <si>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</si>
  <si>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</si>
  <si>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</si>
  <si>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</si>
  <si>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</si>
  <si>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</si>
  <si>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</si>
  <si>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</si>
  <si>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</si>
  <si>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</si>
  <si>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</si>
  <si>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</si>
  <si>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</si>
  <si>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</si>
  <si>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</si>
  <si>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</si>
  <si>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</si>
  <si>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</si>
  <si>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</si>
  <si>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</si>
  <si>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</si>
  <si>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</si>
  <si>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</si>
  <si>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</si>
  <si>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</si>
  <si>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</si>
  <si>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</si>
  <si>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</si>
  <si>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</si>
  <si>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</si>
  <si>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</si>
  <si>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</si>
  <si>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</si>
  <si>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</si>
  <si>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</si>
  <si>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</si>
  <si>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</si>
  <si>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</si>
  <si>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</si>
  <si>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</si>
  <si>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</si>
  <si>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</si>
  <si>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</si>
  <si>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</si>
  <si>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</si>
  <si>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</si>
  <si>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</si>
  <si>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</si>
  <si>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</si>
  <si>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</si>
  <si>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</si>
  <si>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</si>
  <si>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</si>
  <si>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</si>
  <si>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</si>
  <si>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</si>
  <si>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</si>
  <si>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</si>
  <si>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</si>
  <si>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</si>
  <si>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</si>
  <si>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</si>
  <si>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</si>
  <si>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</si>
  <si>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</si>
  <si>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</si>
  <si>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</si>
  <si>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</si>
  <si>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</si>
  <si>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</si>
  <si>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</si>
  <si>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</si>
  <si>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</si>
  <si>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</si>
  <si>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</si>
  <si>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</si>
  <si>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</si>
  <si>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</si>
  <si>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</si>
  <si>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</si>
  <si>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</si>
  <si>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</si>
  <si>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</si>
  <si>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</si>
  <si>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</si>
  <si>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</si>
  <si>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</si>
  <si>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</si>
  <si>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</si>
  <si>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</si>
  <si>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</si>
  <si>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</si>
  <si>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</si>
  <si>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</si>
  <si>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</si>
  <si>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</si>
  <si>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</si>
  <si>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</si>
  <si>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</si>
  <si>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</si>
  <si>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</si>
  <si>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</si>
  <si>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</si>
  <si>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</si>
  <si>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</si>
  <si>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</si>
  <si>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</si>
  <si>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</si>
  <si>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</si>
  <si>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</si>
  <si>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</si>
  <si>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</si>
  <si>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</si>
  <si>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</si>
  <si>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</si>
  <si>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</si>
  <si>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</si>
  <si>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</si>
  <si>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</si>
  <si>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</si>
  <si>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</si>
  <si>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</si>
  <si>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</si>
  <si>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</si>
  <si>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</si>
  <si>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</si>
  <si>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</si>
  <si>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</si>
  <si>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</si>
  <si>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</si>
  <si>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</si>
  <si>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</si>
  <si>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</si>
  <si>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</si>
  <si>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</si>
  <si>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</si>
  <si>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</si>
  <si>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</si>
  <si>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</si>
  <si>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</si>
  <si>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</si>
  <si>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</si>
  <si>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</si>
  <si>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</si>
  <si>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</si>
  <si>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</si>
  <si>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</si>
  <si>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</si>
  <si>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</si>
  <si>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</si>
  <si>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</si>
  <si>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</si>
  <si>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</si>
  <si>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</si>
  <si>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</si>
  <si>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</si>
  <si>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</si>
  <si>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</si>
  <si>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</si>
  <si>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</si>
  <si>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</si>
  <si>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</si>
  <si>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</si>
  <si>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</si>
  <si>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</si>
  <si>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</si>
  <si>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</si>
  <si>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</si>
  <si>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</si>
  <si>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</si>
  <si>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</si>
  <si>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</si>
  <si>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</si>
  <si>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</si>
  <si>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</si>
  <si>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</si>
  <si>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</si>
  <si>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</si>
  <si>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</si>
  <si>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</si>
  <si>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</si>
  <si>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</si>
  <si>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</si>
  <si>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</si>
  <si>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</si>
  <si>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</si>
  <si>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</si>
  <si>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</si>
  <si>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</si>
  <si>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</si>
  <si>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</si>
  <si>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</si>
  <si>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</si>
  <si>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</si>
  <si>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</si>
  <si>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</si>
  <si>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</si>
  <si>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</si>
  <si>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</si>
  <si>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</si>
  <si>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</si>
  <si>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</si>
  <si>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</si>
  <si>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</si>
  <si>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</si>
  <si>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</si>
  <si>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</si>
  <si>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</si>
  <si>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</si>
  <si>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</si>
  <si>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</si>
  <si>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</si>
  <si>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</si>
  <si>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</si>
  <si>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</si>
  <si>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</si>
  <si>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</si>
  <si>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</si>
  <si>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</si>
  <si>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</si>
  <si>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</si>
  <si>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</si>
  <si>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</si>
  <si>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</si>
  <si>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</si>
  <si>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</si>
  <si>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</si>
  <si>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</si>
  <si>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</si>
  <si>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</si>
  <si>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</si>
  <si>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</si>
  <si>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</si>
  <si>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</si>
  <si>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</si>
  <si>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</si>
  <si>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</si>
  <si>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</si>
  <si>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</si>
  <si>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</si>
  <si>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</si>
  <si>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</si>
  <si>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</si>
  <si>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</si>
  <si>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</si>
  <si>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</si>
  <si>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</si>
  <si>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</si>
  <si>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</si>
  <si>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</si>
  <si>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</si>
  <si>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</si>
  <si>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</si>
  <si>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</si>
  <si>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</si>
  <si>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</si>
  <si>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</si>
  <si>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</si>
  <si>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</si>
  <si>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</si>
  <si>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</si>
  <si>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</si>
  <si>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</si>
  <si>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</si>
  <si>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</si>
  <si>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</si>
  <si>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</si>
  <si>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</si>
  <si>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</si>
  <si>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</si>
  <si>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</si>
  <si>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</si>
  <si>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</si>
  <si>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</si>
  <si>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</si>
  <si>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</si>
  <si>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</si>
  <si>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</si>
  <si>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</si>
  <si>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</si>
  <si>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</si>
  <si>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</si>
  <si>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</si>
  <si>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</si>
  <si>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</si>
  <si>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</si>
  <si>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</si>
  <si>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</si>
  <si>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</si>
  <si>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</si>
  <si>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</si>
  <si>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</si>
  <si>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</si>
  <si>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</si>
  <si>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</si>
  <si>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</si>
  <si>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</si>
  <si>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</si>
  <si>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</si>
  <si>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</si>
  <si>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</si>
  <si>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</si>
  <si>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</si>
  <si>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</si>
  <si>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</si>
  <si>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</si>
  <si>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</si>
  <si>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</si>
  <si>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</si>
  <si>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</si>
  <si>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</si>
  <si>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</si>
  <si>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</si>
  <si>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</si>
  <si>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</si>
  <si>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</si>
  <si>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</si>
  <si>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</si>
  <si>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</si>
  <si>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</si>
  <si>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</si>
  <si>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</si>
  <si>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</si>
  <si>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</si>
  <si>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</si>
  <si>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</si>
  <si>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</si>
  <si>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</si>
  <si>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</si>
  <si>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</si>
  <si>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</si>
  <si>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</si>
  <si>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</si>
  <si>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</si>
  <si>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</si>
  <si>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</si>
  <si>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</si>
  <si>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</si>
  <si>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</si>
  <si>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</si>
  <si>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</si>
  <si>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</si>
  <si>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</si>
  <si>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</si>
  <si>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</si>
  <si>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</si>
  <si>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</si>
  <si>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</si>
  <si>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</si>
  <si>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</si>
  <si>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</si>
  <si>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</si>
  <si>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</si>
  <si>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</si>
  <si>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</si>
  <si>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</si>
  <si>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</si>
  <si>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</si>
  <si>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</si>
  <si>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</si>
  <si>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</si>
  <si>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</si>
  <si>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</si>
  <si>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</si>
  <si>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</si>
  <si>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</si>
  <si>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</si>
  <si>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</si>
  <si>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</si>
  <si>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</si>
  <si>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</si>
  <si>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</si>
  <si>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</si>
  <si>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</si>
  <si>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</si>
  <si>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</si>
  <si>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</si>
  <si>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</si>
  <si>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</si>
  <si>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</si>
  <si>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</si>
  <si>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</si>
  <si>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</si>
  <si>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</si>
  <si>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</si>
  <si>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</si>
  <si>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</si>
  <si>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</si>
  <si>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</si>
  <si>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</si>
  <si>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</si>
  <si>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</si>
  <si>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</si>
  <si>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</si>
  <si>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</si>
  <si>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</si>
  <si>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</si>
  <si>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</si>
  <si>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</si>
  <si>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</si>
  <si>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</si>
  <si>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</si>
  <si>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</si>
  <si>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</si>
  <si>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</si>
  <si>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</si>
  <si>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</si>
  <si>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</si>
  <si>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</si>
  <si>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</si>
  <si>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</si>
  <si>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</si>
  <si>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</si>
  <si>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</si>
  <si>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</si>
  <si>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</si>
  <si>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</si>
  <si>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</si>
  <si>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</si>
  <si>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</si>
  <si>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</si>
  <si>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</si>
  <si>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</si>
  <si>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</si>
  <si>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</si>
  <si>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</si>
  <si>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</si>
  <si>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</si>
  <si>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</si>
  <si>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</si>
  <si>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</si>
  <si>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</si>
  <si>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</si>
  <si>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</si>
  <si>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</si>
  <si>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</si>
  <si>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</si>
  <si>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</si>
  <si>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</si>
  <si>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</si>
  <si>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</si>
  <si>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</si>
  <si>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</si>
  <si>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</si>
  <si>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</si>
  <si>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</si>
  <si>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</si>
  <si>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</si>
  <si>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</si>
  <si>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</si>
  <si>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</si>
  <si>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</si>
  <si>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</si>
  <si>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</si>
  <si>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</si>
  <si>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</si>
  <si>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</si>
  <si>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</si>
  <si>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</si>
  <si>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</si>
  <si>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</si>
  <si>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</si>
  <si>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</si>
  <si>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</si>
  <si>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</si>
  <si>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</si>
  <si>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</si>
  <si>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</si>
  <si>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</si>
  <si>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</si>
  <si>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</si>
  <si>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</si>
  <si>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</si>
  <si>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</si>
  <si>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</si>
  <si>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</si>
  <si>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</si>
  <si>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</si>
  <si>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</si>
  <si>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</si>
  <si>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</si>
  <si>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</si>
  <si>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</si>
  <si>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</si>
  <si>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</si>
  <si>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</si>
  <si>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</si>
  <si>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</si>
  <si>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</si>
  <si>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</si>
  <si>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</si>
  <si>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</si>
  <si>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</si>
  <si>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</si>
  <si>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</si>
  <si>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</si>
  <si>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</si>
  <si>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</si>
  <si>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</si>
  <si>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</si>
  <si>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</si>
  <si>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</si>
  <si>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</si>
  <si>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</si>
  <si>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</si>
  <si>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</si>
  <si>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</si>
  <si>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</si>
  <si>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</si>
  <si>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</si>
  <si>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</si>
  <si>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</si>
  <si>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</si>
  <si>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</si>
  <si>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</si>
  <si>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</si>
  <si>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</si>
  <si>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</si>
  <si>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</si>
  <si>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</si>
  <si>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</si>
  <si>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</si>
  <si>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</si>
  <si>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</si>
  <si>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</si>
  <si>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</si>
  <si>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</si>
  <si>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</si>
  <si>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</si>
  <si>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</si>
  <si>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</si>
  <si>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</si>
  <si>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</si>
  <si>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</si>
  <si>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</si>
  <si>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</si>
  <si>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</si>
  <si>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</si>
  <si>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</si>
  <si>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</si>
  <si>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</si>
  <si>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</si>
  <si>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</si>
  <si>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</si>
  <si>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</si>
  <si>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</si>
  <si>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</si>
  <si>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</si>
  <si>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</si>
  <si>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</si>
  <si>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</si>
  <si>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</si>
  <si>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</si>
  <si>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</si>
  <si>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</si>
  <si>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</si>
  <si>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</si>
  <si>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</si>
  <si>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</si>
  <si>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</si>
  <si>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</si>
  <si>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</si>
  <si>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</si>
  <si>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</si>
  <si>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</si>
  <si>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</si>
  <si>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</si>
  <si>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</si>
  <si>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</si>
  <si>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</si>
  <si>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</si>
  <si>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</si>
  <si>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</si>
  <si>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</si>
  <si>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</si>
  <si>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</si>
  <si>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</si>
  <si>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</si>
  <si>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</si>
  <si>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</si>
  <si>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</si>
  <si>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</si>
  <si>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</si>
  <si>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</si>
  <si>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</si>
  <si>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</si>
  <si>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</si>
  <si>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</si>
  <si>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</si>
  <si>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</si>
  <si>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</si>
  <si>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</si>
  <si>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</si>
  <si>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</si>
  <si>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</si>
  <si>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</si>
  <si>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</si>
  <si>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</si>
  <si>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</si>
  <si>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</si>
  <si>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</si>
  <si>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</si>
  <si>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</si>
  <si>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</si>
  <si>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</si>
  <si>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</si>
  <si>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</si>
  <si>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</si>
  <si>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</si>
  <si>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</si>
  <si>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</si>
  <si>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</si>
  <si>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</si>
  <si>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</si>
  <si>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</si>
  <si>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</si>
  <si>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</si>
  <si>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</si>
  <si>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</si>
  <si>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</si>
  <si>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</si>
  <si>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</si>
  <si>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</si>
  <si>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</si>
  <si>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</si>
  <si>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</si>
  <si>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</si>
  <si>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</si>
  <si>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</si>
  <si>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</si>
  <si>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</si>
  <si>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</si>
  <si>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</si>
  <si>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</si>
  <si>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</si>
  <si>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</si>
  <si>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</si>
  <si>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</si>
  <si>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</si>
  <si>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</si>
  <si>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</si>
  <si>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</si>
  <si>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</si>
  <si>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</si>
  <si>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</si>
  <si>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</si>
  <si>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</si>
  <si>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</si>
  <si>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</si>
  <si>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</si>
  <si>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</si>
  <si>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</si>
  <si>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</si>
  <si>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</si>
  <si>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</si>
  <si>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</si>
  <si>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</si>
  <si>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</si>
  <si>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</si>
  <si>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</si>
  <si>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</si>
  <si>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</si>
  <si>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</si>
  <si>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</si>
  <si>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</si>
  <si>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</si>
  <si>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</si>
  <si>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</si>
  <si>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</si>
  <si>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</si>
  <si>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</si>
  <si>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</si>
  <si>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</si>
  <si>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</si>
  <si>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</si>
  <si>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</si>
  <si>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</si>
  <si>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</si>
  <si>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</si>
  <si>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</si>
  <si>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</si>
  <si>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</si>
  <si>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</si>
  <si>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</si>
  <si>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</si>
  <si>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</si>
  <si>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</si>
  <si>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</si>
  <si>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</si>
  <si>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</si>
  <si>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</si>
  <si>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</si>
  <si>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</si>
  <si>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</si>
  <si>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</si>
  <si>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</si>
  <si>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</si>
  <si>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</si>
  <si>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</si>
  <si>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</si>
  <si>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</si>
  <si>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</si>
  <si>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</si>
  <si>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</si>
  <si>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</si>
  <si>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</si>
  <si>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</si>
  <si>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</si>
  <si>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</si>
  <si>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</si>
  <si>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</si>
  <si>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</si>
  <si>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</si>
  <si>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</si>
  <si>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</si>
  <si>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</si>
  <si>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</si>
  <si>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</si>
  <si>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</si>
  <si>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</si>
  <si>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</si>
  <si>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</si>
  <si>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</si>
  <si>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</si>
  <si>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</si>
  <si>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</si>
  <si>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</si>
  <si>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</si>
  <si>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</si>
  <si>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</si>
  <si>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</si>
  <si>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</si>
  <si>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</si>
  <si>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</si>
  <si>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</si>
  <si>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</si>
  <si>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</si>
  <si>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</si>
  <si>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</si>
  <si>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</si>
  <si>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</si>
  <si>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</si>
  <si>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</si>
  <si>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</si>
  <si>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</si>
  <si>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</si>
  <si>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</si>
  <si>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</si>
  <si>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</si>
  <si>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</si>
  <si>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</si>
  <si>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</si>
  <si>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</si>
  <si>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</si>
  <si>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</si>
  <si>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</si>
  <si>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</si>
  <si>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</si>
  <si>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</si>
  <si>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</si>
  <si>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</si>
  <si>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</si>
  <si>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</si>
  <si>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</si>
  <si>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</si>
  <si>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</si>
  <si>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</si>
  <si>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</si>
  <si>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</si>
  <si>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</si>
  <si>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</si>
  <si>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</si>
  <si>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</si>
  <si>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</si>
  <si>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</si>
  <si>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</si>
  <si>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</si>
  <si>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</si>
  <si>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</si>
  <si>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</si>
  <si>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</si>
  <si>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</si>
  <si>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</si>
  <si>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</si>
  <si>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</si>
  <si>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</si>
  <si>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</si>
  <si>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</si>
  <si>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</si>
  <si>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</si>
  <si>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</si>
  <si>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</si>
  <si>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</si>
  <si>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</si>
  <si>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</si>
  <si>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</si>
  <si>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</si>
  <si>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</si>
  <si>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</si>
  <si>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</si>
  <si>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</si>
  <si>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</si>
  <si>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</si>
  <si>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</si>
  <si>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</si>
  <si>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</si>
  <si>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</si>
  <si>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</si>
  <si>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</si>
  <si>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</si>
  <si>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</si>
  <si>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</si>
  <si>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</si>
  <si>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</si>
  <si>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</si>
  <si>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</si>
  <si>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</si>
  <si>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</si>
  <si>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</si>
  <si>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</si>
  <si>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</si>
  <si>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</si>
  <si>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</si>
  <si>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</si>
  <si>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</si>
  <si>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</si>
  <si>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</si>
  <si>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</si>
  <si>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</si>
  <si>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</si>
  <si>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</si>
  <si>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</si>
  <si>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</si>
  <si>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</si>
  <si>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</si>
  <si>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</si>
  <si>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</si>
  <si>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</si>
  <si>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</si>
  <si>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</si>
  <si>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</si>
  <si>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</si>
  <si>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</si>
  <si>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</si>
  <si>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</si>
  <si>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</si>
  <si>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</si>
  <si>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</si>
  <si>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</si>
  <si>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</si>
  <si>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</si>
  <si>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</si>
  <si>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</si>
  <si>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</si>
  <si>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</si>
  <si>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</si>
  <si>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</si>
  <si>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</si>
  <si>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</si>
  <si>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</si>
  <si>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</si>
  <si>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</si>
  <si>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</si>
  <si>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</si>
  <si>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</si>
  <si>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</si>
  <si>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</si>
  <si>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</si>
  <si>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</si>
  <si>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</si>
  <si>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</si>
  <si>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</si>
  <si>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</si>
  <si>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</si>
  <si>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</si>
  <si>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</si>
  <si>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</si>
  <si>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</si>
  <si>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</si>
  <si>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</si>
  <si>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</si>
  <si>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</si>
  <si>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</si>
  <si>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</si>
  <si>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</si>
  <si>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</si>
  <si>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</si>
  <si>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</si>
  <si>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</si>
  <si>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</si>
  <si>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</si>
  <si>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</si>
  <si>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</si>
  <si>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</si>
  <si>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</si>
  <si>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</si>
  <si>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</si>
  <si>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</si>
  <si>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</si>
  <si>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</si>
  <si>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</si>
  <si>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</si>
  <si>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</si>
  <si>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</si>
  <si>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</si>
  <si>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</si>
  <si>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</si>
  <si>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</si>
  <si>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</si>
  <si>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</si>
  <si>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</si>
  <si>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</si>
  <si>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</si>
  <si>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</si>
  <si>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</si>
  <si>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</si>
  <si>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</si>
  <si>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</si>
  <si>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</si>
  <si>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</si>
  <si>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</si>
  <si>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</si>
  <si>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</si>
  <si>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</si>
  <si>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</si>
  <si>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</si>
  <si>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</si>
  <si>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</si>
  <si>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</si>
  <si>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</si>
  <si>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</si>
  <si>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</si>
  <si>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</si>
  <si>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</si>
  <si>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</si>
  <si>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</si>
  <si>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</si>
  <si>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</si>
  <si>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</si>
  <si>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</si>
  <si>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</si>
  <si>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</si>
  <si>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</si>
  <si>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</si>
  <si>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</si>
  <si>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</si>
  <si>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</si>
  <si>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</si>
  <si>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</si>
  <si>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</si>
  <si>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</si>
  <si>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</si>
  <si>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</si>
  <si>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</si>
  <si>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</si>
  <si>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</si>
  <si>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</si>
  <si>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</si>
  <si>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</si>
  <si>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</si>
  <si>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</si>
  <si>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</si>
  <si>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</si>
  <si>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</si>
  <si>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</si>
  <si>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</si>
  <si>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</si>
  <si>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</si>
  <si>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</si>
  <si>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</si>
  <si>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</si>
  <si>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</si>
  <si>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</si>
  <si>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</si>
  <si>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</si>
  <si>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</si>
  <si>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</si>
  <si>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</si>
  <si>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</si>
  <si>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</si>
  <si>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</si>
  <si>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</si>
  <si>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</si>
  <si>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</si>
  <si>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</si>
  <si>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</si>
  <si>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</si>
  <si>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</si>
  <si>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</si>
  <si>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</si>
  <si>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</si>
  <si>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</si>
  <si>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</si>
  <si>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</si>
  <si>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</si>
  <si>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</si>
  <si>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</si>
  <si>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</si>
  <si>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</si>
  <si>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</si>
  <si>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</si>
  <si>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</si>
  <si>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</si>
  <si>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</si>
  <si>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</si>
  <si>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</si>
  <si>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</si>
  <si>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</si>
  <si>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</si>
  <si>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</si>
  <si>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</si>
  <si>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</si>
  <si>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</si>
  <si>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</si>
  <si>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</si>
  <si>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</si>
  <si>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</si>
  <si>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</si>
  <si>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</si>
  <si>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</si>
  <si>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</si>
  <si>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</si>
  <si>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</si>
  <si>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</si>
  <si>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</si>
  <si>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</si>
  <si>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</si>
  <si>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</si>
  <si>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</si>
  <si>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</si>
  <si>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</si>
  <si>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</si>
  <si>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</si>
  <si>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</si>
  <si>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</si>
  <si>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</si>
  <si>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</si>
  <si>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</si>
  <si>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</si>
  <si>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</si>
  <si>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</si>
  <si>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</si>
  <si>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</si>
  <si>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</si>
  <si>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</si>
  <si>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</si>
  <si>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</si>
  <si>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</si>
  <si>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</si>
  <si>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</si>
  <si>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</si>
  <si>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</si>
  <si>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</si>
  <si>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</si>
  <si>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</si>
  <si>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</si>
  <si>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</si>
  <si>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</si>
  <si>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</si>
  <si>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</si>
  <si>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</si>
  <si>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</si>
  <si>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</si>
  <si>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</si>
  <si>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</si>
  <si>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</si>
  <si>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</si>
  <si>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</si>
  <si>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</si>
  <si>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</si>
  <si>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</si>
  <si>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</si>
  <si>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</si>
  <si>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</si>
  <si>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</si>
  <si>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</si>
  <si>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</si>
  <si>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</si>
  <si>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</si>
  <si>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</si>
  <si>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</si>
  <si>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</si>
  <si>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</si>
  <si>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</si>
  <si>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</si>
  <si>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</si>
  <si>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</si>
  <si>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</si>
  <si>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</si>
  <si>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</si>
  <si>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</si>
  <si>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</si>
  <si>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</si>
  <si>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</si>
  <si>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</si>
  <si>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</si>
  <si>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</si>
  <si>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</si>
  <si>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</si>
  <si>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</si>
  <si>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</si>
  <si>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</si>
  <si>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</si>
  <si>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</si>
  <si>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</si>
  <si>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</si>
  <si>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</si>
  <si>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</si>
  <si>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</si>
  <si>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</si>
  <si>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</si>
  <si>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</si>
  <si>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</si>
  <si>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</si>
  <si>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</si>
  <si>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</si>
  <si>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</si>
  <si>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</si>
  <si>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</si>
  <si>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</si>
  <si>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</si>
  <si>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</si>
  <si>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</si>
  <si>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</si>
  <si>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</si>
  <si>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</si>
  <si>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</si>
  <si>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</si>
  <si>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</si>
  <si>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</si>
  <si>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</si>
  <si>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</si>
  <si>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</si>
  <si>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</si>
  <si>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</si>
  <si>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</si>
  <si>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</si>
  <si>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</si>
  <si>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</si>
  <si>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</si>
  <si>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</si>
  <si>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</si>
  <si>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</si>
  <si>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</si>
  <si>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</si>
  <si>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</si>
  <si>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</si>
  <si>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</si>
  <si>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</si>
  <si>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</si>
  <si>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</si>
  <si>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</si>
  <si>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</si>
  <si>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</si>
  <si>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</si>
  <si>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</si>
  <si>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</si>
  <si>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</si>
  <si>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</si>
  <si>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</si>
  <si>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</si>
  <si>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</si>
  <si>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</si>
  <si>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</si>
  <si>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</si>
  <si>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</si>
  <si>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</si>
  <si>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</si>
  <si>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</si>
  <si>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</si>
  <si>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</si>
  <si>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</si>
  <si>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</si>
  <si>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</si>
  <si>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</si>
  <si>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</si>
  <si>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</si>
  <si>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</si>
  <si>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</si>
  <si>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</si>
  <si>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</si>
  <si>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</si>
  <si>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</si>
  <si>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</si>
  <si>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</si>
  <si>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</si>
  <si>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</si>
  <si>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</si>
  <si>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</si>
  <si>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</si>
  <si>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</si>
  <si>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</si>
  <si>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</si>
  <si>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</si>
  <si>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</si>
  <si>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</si>
  <si>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</si>
  <si>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</si>
  <si>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</si>
  <si>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</si>
  <si>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</si>
  <si>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</si>
  <si>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</si>
  <si>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</si>
  <si>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</si>
  <si>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</si>
  <si>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</si>
  <si>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</si>
  <si>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</si>
  <si>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</si>
  <si>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</si>
  <si>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</si>
  <si>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</si>
  <si>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</si>
  <si>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</si>
  <si>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</si>
  <si>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</si>
  <si>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</si>
  <si>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</si>
  <si>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</si>
  <si>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</si>
  <si>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</si>
  <si>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</si>
  <si>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</si>
  <si>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</si>
  <si>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</si>
  <si>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</si>
  <si>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</si>
  <si>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</si>
  <si>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</si>
  <si>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</si>
  <si>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</si>
  <si>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</si>
  <si>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</si>
  <si>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</si>
  <si>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</si>
  <si>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</si>
  <si>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</si>
  <si>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</si>
  <si>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</si>
  <si>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</si>
  <si>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</si>
  <si>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</si>
  <si>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</si>
  <si>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</si>
  <si>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</si>
  <si>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</si>
  <si>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</si>
  <si>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</si>
  <si>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</si>
  <si>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</si>
  <si>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</si>
  <si>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</si>
  <si>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</si>
  <si>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</si>
  <si>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</si>
  <si>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</si>
  <si>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</si>
  <si>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</si>
  <si>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</si>
  <si>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</si>
  <si>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</si>
  <si>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</si>
  <si>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</si>
  <si>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</si>
  <si>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</si>
  <si>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</si>
  <si>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</si>
  <si>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</si>
  <si>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</si>
  <si>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</si>
  <si>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</si>
  <si>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</si>
  <si>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</si>
  <si>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</si>
  <si>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</si>
  <si>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</si>
  <si>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</si>
  <si>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</si>
  <si>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</si>
  <si>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</si>
  <si>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</si>
  <si>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</si>
  <si>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</si>
  <si>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</si>
  <si>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</si>
  <si>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</si>
  <si>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</si>
  <si>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</si>
  <si>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</si>
  <si>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</si>
  <si>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</si>
  <si>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</si>
  <si>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</si>
  <si>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</si>
  <si>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</si>
  <si>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</si>
  <si>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</si>
  <si>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</si>
  <si>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</si>
  <si>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</si>
  <si>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</si>
  <si>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</si>
  <si>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</si>
  <si>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</si>
  <si>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</si>
  <si>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</si>
  <si>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</si>
  <si>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</si>
  <si>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</si>
  <si>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</si>
  <si>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</si>
  <si>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</si>
  <si>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</si>
  <si>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</si>
  <si>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</si>
  <si>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</si>
  <si>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</si>
  <si>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</si>
  <si>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</si>
  <si>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</si>
  <si>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</si>
  <si>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</si>
  <si>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</si>
  <si>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</si>
  <si>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</si>
  <si>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</si>
  <si>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</si>
  <si>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</si>
  <si>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</si>
  <si>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</si>
  <si>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</si>
  <si>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</si>
  <si>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</si>
  <si>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</si>
  <si>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</si>
  <si>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</si>
  <si>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</si>
  <si>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</si>
  <si>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</si>
  <si>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</si>
  <si>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</si>
  <si>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</si>
  <si>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</si>
  <si>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</si>
  <si>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</si>
  <si>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</si>
  <si>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</si>
  <si>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</si>
  <si>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</si>
  <si>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</si>
  <si>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</si>
  <si>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</si>
  <si>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</si>
  <si>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</si>
  <si>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</si>
  <si>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</si>
  <si>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</si>
  <si>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</si>
  <si>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</si>
  <si>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</si>
  <si>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</si>
  <si>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</si>
  <si>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</si>
  <si>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</si>
  <si>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</si>
  <si>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</si>
  <si>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</si>
  <si>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</si>
  <si>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</si>
  <si>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</si>
  <si>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</si>
  <si>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</si>
  <si>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</si>
  <si>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</si>
  <si>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</si>
  <si>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</si>
  <si>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</si>
  <si>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</si>
  <si>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</si>
  <si>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</si>
  <si>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</si>
  <si>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</si>
  <si>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</si>
  <si>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</si>
  <si>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</si>
  <si>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</si>
  <si>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</si>
  <si>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</si>
  <si>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</si>
  <si>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</si>
  <si>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</si>
  <si>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</si>
  <si>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</si>
  <si>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</si>
  <si>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</si>
  <si>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</si>
  <si>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</si>
  <si>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</si>
  <si>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</si>
  <si>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</si>
  <si>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</si>
  <si>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</si>
  <si>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</si>
  <si>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</si>
  <si>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</si>
  <si>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</si>
  <si>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</si>
  <si>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</si>
  <si>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</si>
  <si>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</si>
  <si>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</si>
  <si>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</si>
  <si>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</si>
  <si>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</si>
  <si>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</si>
  <si>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</si>
  <si>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</si>
  <si>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</si>
  <si>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</si>
  <si>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</si>
  <si>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</si>
  <si>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</si>
  <si>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</si>
  <si>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</si>
  <si>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</si>
  <si>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</si>
  <si>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</si>
  <si>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</si>
  <si>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</si>
  <si>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</si>
  <si>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</si>
  <si>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</si>
  <si>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</si>
  <si>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</si>
  <si>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</si>
  <si>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</si>
  <si>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</si>
  <si>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</si>
  <si>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</si>
  <si>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</si>
  <si>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</si>
  <si>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</si>
  <si>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</si>
  <si>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</si>
  <si>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</si>
  <si>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</si>
  <si>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</si>
  <si>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</si>
  <si>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</si>
  <si>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</si>
  <si>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</si>
  <si>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</si>
  <si>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</si>
  <si>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</si>
  <si>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</si>
  <si>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</si>
  <si>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</si>
  <si>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</si>
  <si>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</si>
  <si>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</si>
  <si>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</si>
  <si>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</si>
  <si>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</si>
  <si>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</si>
  <si>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</si>
  <si>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</si>
  <si>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</si>
  <si>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</si>
  <si>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</si>
  <si>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</si>
  <si>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</si>
  <si>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</si>
  <si>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</si>
  <si>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</si>
  <si>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</si>
  <si>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</si>
  <si>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</si>
  <si>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</si>
  <si>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</si>
  <si>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</si>
  <si>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</si>
  <si>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</si>
  <si>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</si>
  <si>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</si>
  <si>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</si>
  <si>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</si>
  <si>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</si>
  <si>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</si>
  <si>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</si>
  <si>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</si>
  <si>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</si>
  <si>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</si>
  <si>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</si>
  <si>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</si>
  <si>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</si>
  <si>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</si>
  <si>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</si>
  <si>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</si>
  <si>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</si>
  <si>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</si>
  <si>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</si>
  <si>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</si>
  <si>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</si>
  <si>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</si>
  <si>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</si>
  <si>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</si>
  <si>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</si>
  <si>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</si>
  <si>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</si>
  <si>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</si>
  <si>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</si>
  <si>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</si>
  <si>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</si>
  <si>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</si>
  <si>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</si>
  <si>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</si>
  <si>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</si>
  <si>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</si>
  <si>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</si>
  <si>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</si>
  <si>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</si>
  <si>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</si>
  <si>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</si>
  <si>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</si>
  <si>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</si>
  <si>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</si>
  <si>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</si>
  <si>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</si>
  <si>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</si>
  <si>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</si>
  <si>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</si>
  <si>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</si>
  <si>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</si>
  <si>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</si>
  <si>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</si>
  <si>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</si>
  <si>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</si>
  <si>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</si>
  <si>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</si>
  <si>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</si>
  <si>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</si>
  <si>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</si>
  <si>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</si>
  <si>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</si>
  <si>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</si>
  <si>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</si>
  <si>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</si>
  <si>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</si>
  <si>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</si>
  <si>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</si>
  <si>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</si>
  <si>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</si>
  <si>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</si>
  <si>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</si>
  <si>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</si>
  <si>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</si>
  <si>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</si>
  <si>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</si>
  <si>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</si>
  <si>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</si>
  <si>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</si>
  <si>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</si>
  <si>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</si>
  <si>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</si>
  <si>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</si>
  <si>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</si>
  <si>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</si>
  <si>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</si>
  <si>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</si>
  <si>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</si>
  <si>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</si>
  <si>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</si>
  <si>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</si>
  <si>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</si>
  <si>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</si>
  <si>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</si>
  <si>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</si>
  <si>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</si>
  <si>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</si>
  <si>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</si>
  <si>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</si>
  <si>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</si>
  <si>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</si>
  <si>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</si>
  <si>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</si>
  <si>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</si>
  <si>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</si>
  <si>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</si>
  <si>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</si>
  <si>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</si>
  <si>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</si>
  <si>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</si>
  <si>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</si>
  <si>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</si>
  <si>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</si>
  <si>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</si>
  <si>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</si>
  <si>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</si>
  <si>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</si>
  <si>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</si>
  <si>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</si>
  <si>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</si>
  <si>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</si>
  <si>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</si>
  <si>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</si>
  <si>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</si>
  <si>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</si>
  <si>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</si>
  <si>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</si>
  <si>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</si>
  <si>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</si>
  <si>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</si>
  <si>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</si>
  <si>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</si>
  <si>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</si>
  <si>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</si>
  <si>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</si>
  <si>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</si>
  <si>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</si>
  <si>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</si>
  <si>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</si>
  <si>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</si>
  <si>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</si>
  <si>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</si>
  <si>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</si>
  <si>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</si>
  <si>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</si>
  <si>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</si>
  <si>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</si>
  <si>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</si>
  <si>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</si>
  <si>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</si>
  <si>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</si>
  <si>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</si>
  <si>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</si>
  <si>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</si>
  <si>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</si>
  <si>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</si>
  <si>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</si>
  <si>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</si>
  <si>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</si>
  <si>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</si>
  <si>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</si>
  <si>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</si>
  <si>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</si>
  <si>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</si>
  <si>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</si>
  <si>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</si>
  <si>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</si>
  <si>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</si>
  <si>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</si>
  <si>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</si>
  <si>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</si>
  <si>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</si>
  <si>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</si>
  <si>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</si>
  <si>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</si>
  <si>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Phan Đức Hiếu</t>
  </si>
  <si>
    <t>NV Bảo vệ</t>
  </si>
  <si>
    <t>BẢNG THU NHẬP TĂNG THÊM - LƯƠNG THEO HỆ SỐ ĐIỀU CHỈNH THÁNG 05 NĂM 2025</t>
  </si>
  <si>
    <t>BẢNG THU NHẬP TĂNG THÊM - LƯƠNG THEO MỨC XẾP LOẠI THI ĐUA THÁNG 05 NĂM 2025</t>
  </si>
  <si>
    <t>GV vi phạm ra khỏi lớp ngày 20/5/2025, chưa điểm danh SV trên phần mềm</t>
  </si>
  <si>
    <t>KL khiển trách từ 10/4/2025</t>
  </si>
  <si>
    <t xml:space="preserve">Trừ 8 ngày nghỉ không hưởng lương </t>
  </si>
  <si>
    <t>Thành phố Hồ Chí Minh, ngày     tháng    năm 2025</t>
  </si>
  <si>
    <t>Bằng chữ: Một tỷ năm trăm hai mươi hai triệu bảy trăm sáu mươi bảy ngàn chín trăm năm mưới tám đồng.</t>
  </si>
  <si>
    <t>Bằng chữ: Hai trăm chín mươi bốn triệu hai trăm hai mươi ngàn bảy trăm ba mươi chín đồng.</t>
  </si>
  <si>
    <t>Trừ 2 ngày nghỉ phép 23+27/5</t>
  </si>
  <si>
    <t>Trừ 5 ngày nghỉ chế độ vợ sinh từ 12 đến 16/5</t>
  </si>
  <si>
    <t>Trừ 1 ngày nghỉ 21/5</t>
  </si>
  <si>
    <t>Trừ 2 ngày nghỉ phép 19+29/5</t>
  </si>
  <si>
    <t>Trừ 1 ngày nghỉ phép 17/5</t>
  </si>
  <si>
    <t>Trừ 1 ngày nghỉ phép 8/5</t>
  </si>
  <si>
    <t>Trừ 1 ngày nghỉ phép 5/5</t>
  </si>
  <si>
    <t>Trừ 2 ngày nghỉ phép 17+19/5</t>
  </si>
  <si>
    <t>Trừ 2 ngày nghỉ phép 9+19/5</t>
  </si>
  <si>
    <t>Trừ 1 ngày nghỉ phép 10/5</t>
  </si>
  <si>
    <t>Nghỉ hộ sản hưởng chế độ BHXH từ 29/4/2025</t>
  </si>
  <si>
    <t>Trừ 1 ngày nghỉ phép 27/5</t>
  </si>
  <si>
    <t>Trừ 2 ngày nghỉ phép 16+17/5</t>
  </si>
  <si>
    <t>Trừ 2 ngày nghỉ phép 12+13/5</t>
  </si>
  <si>
    <t>Trừ 1/2 ngày nghỉ phép</t>
  </si>
  <si>
    <t>Trừ 1 ngày nghỉ phép 12/5</t>
  </si>
  <si>
    <t>Bằng chữ: Một tỷ tám trăm mười sáu triệu chín trăm tám mươi tám ngàn sáu trăm chín mươi sáu đồng./.</t>
  </si>
  <si>
    <t>Thành phố Hồ Chí Minh, ngày    tháng     năm 2025</t>
  </si>
  <si>
    <t>THÁNG 05 NĂM 2025</t>
  </si>
  <si>
    <t>Thành phố Hồ Chí Minh, ngày       tháng     năm 2025</t>
  </si>
  <si>
    <t>THÁNG 5</t>
  </si>
  <si>
    <t>MỨC XẾP LOẠI 
THÁNG 5</t>
  </si>
  <si>
    <t>Mức thưởng theo xếp loại TĐ T5</t>
  </si>
  <si>
    <t>Giảng viên khoa Điện - 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</si>
</sst>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 numFmtId="188" formatCode="_-* #,##0.0000\ _€_-;\-* #,##0.0000\ _€_-;_-* &quot;-&quot;??\ _€_-;_-@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791">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32" borderId="15" xfId="0" quotePrefix="1" applyNumberFormat="1" applyFont="1" applyFill="1" applyBorder="1" applyAlignment="1">
      <alignment horizontal="center" vertical="center" wrapText="1"/>
    </xf>
    <xf numFmtId="1" fontId="2" fillId="32" borderId="31"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1" fontId="12" fillId="39" borderId="11" xfId="0" quotePrefix="1" applyNumberFormat="1" applyFont="1" applyFill="1" applyBorder="1" applyAlignment="1" applyProtection="1">
      <alignment horizontal="center" vertical="center"/>
      <protection locked="0" hidden="1"/>
    </xf>
    <xf numFmtId="37" fontId="3" fillId="0" borderId="12" xfId="28" quotePrefix="1" applyNumberFormat="1" applyFont="1" applyBorder="1" applyAlignment="1" applyProtection="1">
      <alignment vertical="center"/>
      <protection locked="0" hidden="1"/>
    </xf>
    <xf numFmtId="0" fontId="12" fillId="0" borderId="0" xfId="0" applyFont="1" applyFill="1" applyAlignment="1">
      <alignment horizontal="center"/>
    </xf>
    <xf numFmtId="175" fontId="2" fillId="0" borderId="0" xfId="0" applyNumberFormat="1" applyFont="1" applyFill="1" applyAlignment="1" applyProtection="1">
      <alignment vertical="center" wrapText="1"/>
      <protection locked="0" hidden="1"/>
    </xf>
    <xf numFmtId="0" fontId="12" fillId="46" borderId="11" xfId="0" quotePrefix="1" applyFont="1" applyFill="1" applyBorder="1" applyAlignment="1" applyProtection="1">
      <alignment horizontal="center" vertical="center" wrapText="1"/>
      <protection locked="0" hidden="1"/>
    </xf>
    <xf numFmtId="175" fontId="2" fillId="32" borderId="0" xfId="0" applyNumberFormat="1" applyFont="1" applyFill="1" applyAlignment="1" applyProtection="1">
      <alignment vertical="center" wrapText="1"/>
      <protection locked="0" hidden="1"/>
    </xf>
    <xf numFmtId="0" fontId="2" fillId="39" borderId="11" xfId="0" quotePrefix="1" applyFont="1" applyFill="1" applyBorder="1" applyAlignment="1">
      <alignment horizontal="center" vertical="center" wrapText="1"/>
    </xf>
    <xf numFmtId="3" fontId="2" fillId="39" borderId="11" xfId="0" applyNumberFormat="1" applyFont="1" applyFill="1" applyBorder="1" applyAlignment="1">
      <alignment horizontal="center" vertical="center" wrapText="1"/>
    </xf>
    <xf numFmtId="9" fontId="2" fillId="39" borderId="11" xfId="60" applyFont="1" applyFill="1" applyBorder="1" applyAlignment="1">
      <alignment horizontal="center" vertical="center" wrapText="1"/>
    </xf>
    <xf numFmtId="3" fontId="2" fillId="39" borderId="11" xfId="0" applyNumberFormat="1" applyFont="1" applyFill="1" applyBorder="1" applyAlignment="1" applyProtection="1">
      <alignment horizontal="right" vertical="center" wrapText="1"/>
      <protection hidden="1"/>
    </xf>
    <xf numFmtId="0" fontId="2" fillId="39" borderId="11" xfId="0" applyFont="1" applyFill="1" applyBorder="1" applyAlignment="1" applyProtection="1">
      <alignment horizontal="center" vertical="center" wrapText="1"/>
      <protection hidden="1"/>
    </xf>
    <xf numFmtId="0" fontId="2" fillId="39" borderId="25" xfId="0" applyFont="1" applyFill="1" applyBorder="1" applyAlignment="1" applyProtection="1">
      <alignment horizontal="center" vertical="center" wrapText="1"/>
      <protection hidden="1"/>
    </xf>
    <xf numFmtId="3" fontId="5" fillId="39" borderId="11" xfId="0" applyNumberFormat="1" applyFont="1" applyFill="1" applyBorder="1" applyAlignment="1" applyProtection="1">
      <alignment horizontal="right" vertical="center" wrapText="1"/>
      <protection hidden="1"/>
    </xf>
    <xf numFmtId="0" fontId="2" fillId="39" borderId="16" xfId="0" applyFont="1" applyFill="1" applyBorder="1" applyAlignment="1">
      <alignment vertical="center" wrapText="1"/>
    </xf>
    <xf numFmtId="14" fontId="2" fillId="39" borderId="11" xfId="0" applyNumberFormat="1" applyFont="1" applyFill="1" applyBorder="1" applyAlignment="1">
      <alignment horizontal="center" vertical="center" wrapText="1"/>
    </xf>
    <xf numFmtId="1" fontId="2" fillId="39" borderId="11" xfId="0" applyNumberFormat="1" applyFont="1" applyFill="1" applyBorder="1" applyAlignment="1">
      <alignment horizontal="center" vertical="center" wrapText="1"/>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0" borderId="20" xfId="0" quotePrefix="1"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5" fillId="32" borderId="0" xfId="0" applyFont="1" applyFill="1" applyAlignment="1" applyProtection="1">
      <alignment horizontal="center" vertical="center"/>
      <protection locked="0" hidden="1"/>
    </xf>
    <xf numFmtId="175" fontId="2" fillId="0" borderId="0" xfId="0" applyNumberFormat="1" applyFont="1" applyFill="1" applyAlignment="1" applyProtection="1">
      <alignment vertical="center"/>
      <protection locked="0" hidden="1"/>
    </xf>
    <xf numFmtId="0" fontId="22" fillId="0" borderId="11" xfId="0" applyFont="1" applyBorder="1" applyAlignment="1">
      <alignment horizontal="center" vertical="center" wrapText="1"/>
    </xf>
    <xf numFmtId="188" fontId="3" fillId="32" borderId="11" xfId="28" applyNumberFormat="1" applyFont="1" applyFill="1" applyBorder="1" applyAlignment="1" applyProtection="1">
      <alignment vertical="center" wrapText="1"/>
      <protection locked="0" hidden="1"/>
    </xf>
    <xf numFmtId="188" fontId="4" fillId="0" borderId="10" xfId="28" applyNumberFormat="1" applyFont="1" applyFill="1" applyBorder="1" applyAlignment="1" applyProtection="1">
      <alignment vertical="center" wrapText="1"/>
      <protection locked="0" hidden="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168" fontId="9"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9" fontId="12" fillId="0" borderId="0" xfId="0" applyNumberFormat="1" applyFont="1" applyFill="1" applyAlignment="1">
      <alignment horizontal="center"/>
    </xf>
    <xf numFmtId="0" fontId="45" fillId="0" borderId="0" xfId="0" applyFont="1" applyFill="1" applyAlignment="1">
      <alignment horizontal="center"/>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3" fontId="4" fillId="0" borderId="20" xfId="0" applyNumberFormat="1" applyFont="1" applyFill="1" applyBorder="1" applyAlignment="1" applyProtection="1">
      <alignment horizontal="center" vertical="center" wrapText="1"/>
      <protection locked="0" hidden="1"/>
    </xf>
    <xf numFmtId="3" fontId="4" fillId="0" borderId="21" xfId="0" applyNumberFormat="1" applyFont="1" applyFill="1" applyBorder="1" applyAlignment="1" applyProtection="1">
      <alignment horizontal="center" vertical="center" wrapText="1"/>
      <protection locked="0" hidden="1"/>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xf numFmtId="0" fontId="3" fillId="0" borderId="0" xfId="0" applyFont="1" applyFill="1" applyAlignment="1">
      <alignment horizontal="center"/>
    </xf>
    <xf numFmtId="0" fontId="60" fillId="0" borderId="0" xfId="0" applyFont="1" applyFill="1" applyAlignment="1">
      <alignment horizontal="center"/>
    </xf>
    <xf numFmtId="188" fontId="3" fillId="46" borderId="11" xfId="28" applyNumberFormat="1" applyFont="1" applyFill="1" applyBorder="1" applyAlignment="1" applyProtection="1">
      <alignment vertical="center" wrapText="1"/>
      <protection locked="0" hidden="1"/>
    </xf>
    <xf numFmtId="37" fontId="3" fillId="46" borderId="12" xfId="28" quotePrefix="1" applyNumberFormat="1" applyFont="1" applyFill="1" applyBorder="1" applyAlignment="1" applyProtection="1">
      <alignment vertical="center"/>
      <protection locked="0" hidden="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313">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0.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1648799</xdr:colOff>
      <xdr:row>2</xdr:row>
      <xdr:rowOff>200025</xdr:rowOff>
    </xdr:from>
    <xdr:to>
      <xdr:col>4</xdr:col>
      <xdr:colOff>352439</xdr:colOff>
      <xdr:row>2</xdr:row>
      <xdr:rowOff>200025</xdr:rowOff>
    </xdr:to>
    <xdr:cxnSp macro="">
      <xdr:nvCxnSpPr>
        <xdr:cNvPr id="3" name="Straight Connector 2"/>
        <xdr:cNvCxnSpPr/>
      </xdr:nvCxnSpPr>
      <xdr:spPr>
        <a:xfrm>
          <a:off x="2020274"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246061</xdr:colOff>
      <xdr:row>2</xdr:row>
      <xdr:rowOff>0</xdr:rowOff>
    </xdr:from>
    <xdr:to>
      <xdr:col>14</xdr:col>
      <xdr:colOff>631638</xdr:colOff>
      <xdr:row>2</xdr:row>
      <xdr:rowOff>1</xdr:rowOff>
    </xdr:to>
    <xdr:cxnSp macro="">
      <xdr:nvCxnSpPr>
        <xdr:cNvPr id="7" name="Straight Connector 6"/>
        <xdr:cNvCxnSpPr/>
      </xdr:nvCxnSpPr>
      <xdr:spPr>
        <a:xfrm flipV="1">
          <a:off x="7770811"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246063</xdr:colOff>
      <xdr:row>2</xdr:row>
      <xdr:rowOff>15875</xdr:rowOff>
    </xdr:from>
    <xdr:to>
      <xdr:col>21</xdr:col>
      <xdr:colOff>325438</xdr:colOff>
      <xdr:row>2</xdr:row>
      <xdr:rowOff>31750</xdr:rowOff>
    </xdr:to>
    <xdr:cxnSp macro="">
      <xdr:nvCxnSpPr>
        <xdr:cNvPr id="2" name="Straight Connector 1"/>
        <xdr:cNvCxnSpPr/>
      </xdr:nvCxnSpPr>
      <xdr:spPr>
        <a:xfrm flipV="1">
          <a:off x="6945313" y="396875"/>
          <a:ext cx="1730375"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7</xdr:col>
      <xdr:colOff>359675</xdr:colOff>
      <xdr:row>2</xdr:row>
      <xdr:rowOff>198438</xdr:rowOff>
    </xdr:to>
    <xdr:cxnSp macro="">
      <xdr:nvCxnSpPr>
        <xdr:cNvPr id="4" name="Straight Connector 3"/>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xdr:row>
      <xdr:rowOff>0</xdr:rowOff>
    </xdr:from>
    <xdr:to>
      <xdr:col>5</xdr:col>
      <xdr:colOff>441138</xdr:colOff>
      <xdr:row>2</xdr:row>
      <xdr:rowOff>1</xdr:rowOff>
    </xdr:to>
    <xdr:cxnSp macro="">
      <xdr:nvCxnSpPr>
        <xdr:cNvPr id="3" name="Straight Connector 2"/>
        <xdr:cNvCxnSpPr/>
      </xdr:nvCxnSpPr>
      <xdr:spPr>
        <a:xfrm flipV="1">
          <a:off x="800893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1.2024%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Ket%20qua%20thi%20dua%20thang%205.2025%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ULIEUMAYCU/Quynh%20chung/Quynh%20Exel/2025/Com/Com%20trua%20T05-2025.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v>0</v>
          </cell>
          <cell r="J15">
            <v>27</v>
          </cell>
          <cell r="M15">
            <v>0</v>
          </cell>
        </row>
        <row r="16">
          <cell r="H16" t="str">
            <v>Huỳnh Thị Minh Ly</v>
          </cell>
          <cell r="I16" t="str">
            <v xml:space="preserve"> </v>
          </cell>
          <cell r="J16">
            <v>27</v>
          </cell>
          <cell r="M16">
            <v>0</v>
          </cell>
        </row>
        <row r="17">
          <cell r="H17" t="str">
            <v>Nguyễn Văn Chì</v>
          </cell>
          <cell r="I17">
            <v>0</v>
          </cell>
          <cell r="J17">
            <v>23.5</v>
          </cell>
          <cell r="M17">
            <v>0</v>
          </cell>
        </row>
        <row r="18">
          <cell r="H18" t="str">
            <v>Nguyễn Thị Vân</v>
          </cell>
          <cell r="I18">
            <v>0</v>
          </cell>
          <cell r="J18">
            <v>26</v>
          </cell>
          <cell r="M18">
            <v>0</v>
          </cell>
        </row>
        <row r="19">
          <cell r="H19" t="str">
            <v>Phan Thị Ngọc Phượng</v>
          </cell>
          <cell r="I19">
            <v>0</v>
          </cell>
          <cell r="J19">
            <v>24</v>
          </cell>
          <cell r="M19">
            <v>0</v>
          </cell>
        </row>
        <row r="20">
          <cell r="H20" t="str">
            <v>Trần Thị Ánh Phượng</v>
          </cell>
          <cell r="I20">
            <v>0</v>
          </cell>
          <cell r="J20">
            <v>24.5</v>
          </cell>
          <cell r="M20">
            <v>0</v>
          </cell>
        </row>
        <row r="21">
          <cell r="H21" t="str">
            <v>Thân Thị Nhung</v>
          </cell>
          <cell r="I21">
            <v>0</v>
          </cell>
          <cell r="J21">
            <v>23.5</v>
          </cell>
          <cell r="M21">
            <v>0</v>
          </cell>
        </row>
        <row r="22">
          <cell r="H22" t="str">
            <v>Trần Thị Phương Oanh</v>
          </cell>
          <cell r="I22">
            <v>0</v>
          </cell>
          <cell r="J22">
            <v>23.5</v>
          </cell>
          <cell r="M22">
            <v>0</v>
          </cell>
        </row>
        <row r="23">
          <cell r="H23" t="str">
            <v>Vũ Như Quỳnh</v>
          </cell>
          <cell r="I23">
            <v>0</v>
          </cell>
          <cell r="J23">
            <v>25</v>
          </cell>
          <cell r="M23">
            <v>0</v>
          </cell>
        </row>
        <row r="24">
          <cell r="H24" t="str">
            <v>Nguyễn Thị Bích Liễu</v>
          </cell>
          <cell r="I24">
            <v>0</v>
          </cell>
          <cell r="J24">
            <v>23.5</v>
          </cell>
          <cell r="M24">
            <v>0</v>
          </cell>
        </row>
        <row r="25">
          <cell r="H25" t="str">
            <v>Lê Văn Bình</v>
          </cell>
          <cell r="I25">
            <v>0</v>
          </cell>
          <cell r="J25">
            <v>22</v>
          </cell>
          <cell r="M25">
            <v>0</v>
          </cell>
        </row>
        <row r="26">
          <cell r="H26" t="str">
            <v>Lê Quang Liêm</v>
          </cell>
          <cell r="I26" t="str">
            <v>Phòng QT - DV</v>
          </cell>
          <cell r="J26">
            <v>27</v>
          </cell>
          <cell r="M26">
            <v>0</v>
          </cell>
        </row>
        <row r="27">
          <cell r="H27" t="str">
            <v>Nguyễn Văn Thành</v>
          </cell>
          <cell r="I27">
            <v>0</v>
          </cell>
          <cell r="J27">
            <v>26</v>
          </cell>
          <cell r="M27">
            <v>0</v>
          </cell>
        </row>
        <row r="28">
          <cell r="H28" t="str">
            <v>Phan Đức Long</v>
          </cell>
          <cell r="I28">
            <v>0</v>
          </cell>
          <cell r="J28">
            <v>27</v>
          </cell>
          <cell r="M28">
            <v>0</v>
          </cell>
        </row>
        <row r="29">
          <cell r="H29" t="str">
            <v>Ninh Đỗ Hiệp</v>
          </cell>
          <cell r="I29">
            <v>0</v>
          </cell>
          <cell r="J29">
            <v>23</v>
          </cell>
          <cell r="M29">
            <v>0</v>
          </cell>
        </row>
        <row r="30">
          <cell r="H30" t="str">
            <v>Nguyễn Trọng Phú</v>
          </cell>
          <cell r="I30">
            <v>0</v>
          </cell>
          <cell r="J30">
            <v>23</v>
          </cell>
          <cell r="M30">
            <v>0</v>
          </cell>
        </row>
        <row r="31">
          <cell r="H31" t="str">
            <v>Lê Hồng Anh Tuấn</v>
          </cell>
          <cell r="I31">
            <v>0</v>
          </cell>
          <cell r="J31">
            <v>23</v>
          </cell>
          <cell r="M31">
            <v>0</v>
          </cell>
        </row>
        <row r="32">
          <cell r="H32" t="str">
            <v>Giáp Văn Thịnh</v>
          </cell>
          <cell r="I32">
            <v>0</v>
          </cell>
          <cell r="J32">
            <v>23</v>
          </cell>
          <cell r="M32">
            <v>0</v>
          </cell>
        </row>
        <row r="33">
          <cell r="H33" t="str">
            <v>Vũ Ngọc Quang</v>
          </cell>
          <cell r="I33">
            <v>0</v>
          </cell>
          <cell r="J33">
            <v>23</v>
          </cell>
          <cell r="M33">
            <v>0</v>
          </cell>
        </row>
        <row r="34">
          <cell r="H34" t="str">
            <v>Bùi Thị Dương</v>
          </cell>
          <cell r="I34">
            <v>0</v>
          </cell>
          <cell r="J34">
            <v>27</v>
          </cell>
          <cell r="M34">
            <v>0</v>
          </cell>
        </row>
        <row r="35">
          <cell r="H35" t="str">
            <v>Phan Hữu Tước</v>
          </cell>
          <cell r="I35">
            <v>0</v>
          </cell>
          <cell r="J35">
            <v>27</v>
          </cell>
          <cell r="M35">
            <v>0</v>
          </cell>
        </row>
        <row r="36">
          <cell r="H36" t="str">
            <v>Trang Thị Xuân Uyên</v>
          </cell>
          <cell r="I36" t="str">
            <v>Trung tâm Y tế</v>
          </cell>
          <cell r="J36">
            <v>27</v>
          </cell>
          <cell r="M36">
            <v>0</v>
          </cell>
        </row>
        <row r="37">
          <cell r="H37" t="str">
            <v>Bùi Thị Lan Anh</v>
          </cell>
          <cell r="I37">
            <v>0</v>
          </cell>
          <cell r="J37">
            <v>27</v>
          </cell>
          <cell r="M37">
            <v>0</v>
          </cell>
        </row>
        <row r="38">
          <cell r="H38" t="str">
            <v>Nguyễn Kính</v>
          </cell>
          <cell r="I38" t="str">
            <v xml:space="preserve">Phòng KH - TC </v>
          </cell>
          <cell r="J38">
            <v>29</v>
          </cell>
          <cell r="M38">
            <v>0</v>
          </cell>
        </row>
        <row r="39">
          <cell r="H39" t="str">
            <v>Võ Thị Lệ Trân</v>
          </cell>
          <cell r="I39">
            <v>0</v>
          </cell>
          <cell r="J39">
            <v>27</v>
          </cell>
          <cell r="M39">
            <v>0</v>
          </cell>
        </row>
        <row r="40">
          <cell r="H40" t="str">
            <v>Trần Thị Minh Thoa</v>
          </cell>
          <cell r="I40">
            <v>0</v>
          </cell>
          <cell r="J40">
            <v>27</v>
          </cell>
          <cell r="M40">
            <v>0</v>
          </cell>
        </row>
        <row r="41">
          <cell r="H41" t="str">
            <v>Hồng Mộng Tuyết Dung</v>
          </cell>
          <cell r="I41">
            <v>0</v>
          </cell>
          <cell r="J41">
            <v>27</v>
          </cell>
          <cell r="M41">
            <v>0</v>
          </cell>
        </row>
        <row r="42">
          <cell r="H42" t="str">
            <v>Nguyễn Thị Hồng Thắm</v>
          </cell>
          <cell r="I42">
            <v>0</v>
          </cell>
          <cell r="J42">
            <v>27</v>
          </cell>
          <cell r="M42">
            <v>0</v>
          </cell>
        </row>
        <row r="43">
          <cell r="H43" t="str">
            <v>Nguyễn Văn Chiến</v>
          </cell>
          <cell r="I43" t="str">
            <v>Phòng Thanh tra GD - QHDN</v>
          </cell>
          <cell r="J43">
            <v>27</v>
          </cell>
          <cell r="M43">
            <v>0</v>
          </cell>
        </row>
        <row r="44">
          <cell r="H44" t="str">
            <v>Lê Xuân Thiện</v>
          </cell>
          <cell r="I44">
            <v>0</v>
          </cell>
          <cell r="J44">
            <v>24</v>
          </cell>
          <cell r="M44">
            <v>0</v>
          </cell>
        </row>
        <row r="45">
          <cell r="H45" t="str">
            <v>Nguyễn Tất Thắng</v>
          </cell>
          <cell r="I45">
            <v>0</v>
          </cell>
          <cell r="J45">
            <v>22</v>
          </cell>
          <cell r="M45" t="str">
            <v>Trừ 2 ngày nghỉ phép 1+2/10</v>
          </cell>
        </row>
        <row r="46">
          <cell r="H46" t="str">
            <v>Trần Thị Thu Hà</v>
          </cell>
          <cell r="I46">
            <v>0</v>
          </cell>
          <cell r="J46">
            <v>25</v>
          </cell>
          <cell r="M46">
            <v>0</v>
          </cell>
        </row>
        <row r="47">
          <cell r="H47" t="str">
            <v>Phạm Thị Lê Chi</v>
          </cell>
          <cell r="I47">
            <v>0</v>
          </cell>
          <cell r="J47">
            <v>24</v>
          </cell>
          <cell r="M47">
            <v>0</v>
          </cell>
        </row>
        <row r="48">
          <cell r="H48" t="str">
            <v>Nguyễn Thùy Dương</v>
          </cell>
          <cell r="I48">
            <v>0</v>
          </cell>
          <cell r="J48">
            <v>25</v>
          </cell>
          <cell r="M48">
            <v>0</v>
          </cell>
        </row>
        <row r="49">
          <cell r="H49" t="str">
            <v>Nguyễn Thị Kim Anh</v>
          </cell>
          <cell r="I49">
            <v>0</v>
          </cell>
          <cell r="J49">
            <v>24</v>
          </cell>
          <cell r="M49">
            <v>0</v>
          </cell>
        </row>
        <row r="50">
          <cell r="H50" t="str">
            <v>Mai Thu Hương</v>
          </cell>
          <cell r="I50">
            <v>0</v>
          </cell>
          <cell r="J50">
            <v>24</v>
          </cell>
          <cell r="M50">
            <v>0</v>
          </cell>
        </row>
        <row r="51">
          <cell r="H51" t="str">
            <v>Nguyễn Phương Hà</v>
          </cell>
          <cell r="I51">
            <v>0</v>
          </cell>
          <cell r="J51">
            <v>23</v>
          </cell>
          <cell r="M51">
            <v>0</v>
          </cell>
        </row>
        <row r="52">
          <cell r="H52" t="str">
            <v>Nguyễn Thành Nam</v>
          </cell>
          <cell r="I52" t="str">
            <v>Phòng TS-ĐT</v>
          </cell>
          <cell r="J52">
            <v>24.5</v>
          </cell>
          <cell r="M52">
            <v>0</v>
          </cell>
        </row>
        <row r="53">
          <cell r="H53" t="str">
            <v>Quách Minh Thử</v>
          </cell>
          <cell r="I53">
            <v>0</v>
          </cell>
          <cell r="J53">
            <v>23</v>
          </cell>
          <cell r="M53">
            <v>0</v>
          </cell>
        </row>
        <row r="54">
          <cell r="H54" t="str">
            <v>Võ Thị Xuân Thơ</v>
          </cell>
          <cell r="I54">
            <v>0</v>
          </cell>
          <cell r="J54">
            <v>25</v>
          </cell>
          <cell r="M54">
            <v>0</v>
          </cell>
        </row>
        <row r="55">
          <cell r="H55" t="str">
            <v>Nguyễn Thị Hải Hà</v>
          </cell>
          <cell r="I55">
            <v>0</v>
          </cell>
          <cell r="J55">
            <v>25</v>
          </cell>
          <cell r="M55">
            <v>0</v>
          </cell>
        </row>
        <row r="56">
          <cell r="H56" t="str">
            <v>Nguyễn Thị Thanh Thảo</v>
          </cell>
          <cell r="I56">
            <v>0</v>
          </cell>
          <cell r="J56">
            <v>24.5</v>
          </cell>
          <cell r="M56">
            <v>0</v>
          </cell>
        </row>
        <row r="57">
          <cell r="H57" t="str">
            <v>Thái Thị My Sa</v>
          </cell>
          <cell r="I57">
            <v>0</v>
          </cell>
          <cell r="J57">
            <v>24.5</v>
          </cell>
          <cell r="M57">
            <v>0</v>
          </cell>
        </row>
        <row r="58">
          <cell r="H58" t="str">
            <v>Giáp Thị Vượng</v>
          </cell>
          <cell r="I58">
            <v>0</v>
          </cell>
          <cell r="J58">
            <v>24.5</v>
          </cell>
          <cell r="M58">
            <v>0</v>
          </cell>
        </row>
        <row r="59">
          <cell r="H59" t="str">
            <v>Huỳnh Thị Cẩm Hoa</v>
          </cell>
          <cell r="I59">
            <v>0</v>
          </cell>
          <cell r="J59">
            <v>22.5</v>
          </cell>
          <cell r="M59" t="str">
            <v>Trừ 1 ngày nghỉ phép 28/10</v>
          </cell>
        </row>
        <row r="60">
          <cell r="H60" t="str">
            <v>Nguyễn Thị Thùy</v>
          </cell>
          <cell r="I60">
            <v>0</v>
          </cell>
          <cell r="J60">
            <v>26</v>
          </cell>
          <cell r="M60">
            <v>0</v>
          </cell>
        </row>
        <row r="61">
          <cell r="H61" t="str">
            <v>Nguyễn Thị Ngọc Anh</v>
          </cell>
          <cell r="I61">
            <v>0</v>
          </cell>
          <cell r="J61">
            <v>22.5</v>
          </cell>
          <cell r="M61" t="str">
            <v>Trừ 2 ngày nghỉ phép 4+7/10</v>
          </cell>
        </row>
        <row r="62">
          <cell r="H62" t="str">
            <v>Trịnh Khắc Vũ</v>
          </cell>
          <cell r="I62">
            <v>0</v>
          </cell>
          <cell r="J62">
            <v>22.5</v>
          </cell>
          <cell r="M62">
            <v>0</v>
          </cell>
        </row>
        <row r="63">
          <cell r="H63" t="str">
            <v>Lê Minh Phong</v>
          </cell>
          <cell r="I63">
            <v>0</v>
          </cell>
          <cell r="J63">
            <v>24.5</v>
          </cell>
          <cell r="M63">
            <v>0</v>
          </cell>
        </row>
        <row r="64">
          <cell r="H64" t="str">
            <v>Nguyễn Chí Nhân</v>
          </cell>
          <cell r="I64" t="str">
            <v>Phòng Khảo thí và ĐBCL</v>
          </cell>
          <cell r="J64">
            <v>23</v>
          </cell>
          <cell r="M64">
            <v>0</v>
          </cell>
        </row>
        <row r="65">
          <cell r="H65" t="str">
            <v>Nguyễn Thị Kim Dung</v>
          </cell>
          <cell r="I65">
            <v>0</v>
          </cell>
          <cell r="J65">
            <v>25</v>
          </cell>
          <cell r="M65">
            <v>0</v>
          </cell>
        </row>
        <row r="66">
          <cell r="H66" t="str">
            <v>Nguyễn Thanh Sơn</v>
          </cell>
          <cell r="I66">
            <v>0</v>
          </cell>
          <cell r="J66">
            <v>23</v>
          </cell>
          <cell r="M66">
            <v>0</v>
          </cell>
        </row>
        <row r="67">
          <cell r="H67" t="str">
            <v>Lương Minh Dũng</v>
          </cell>
          <cell r="I67">
            <v>0</v>
          </cell>
          <cell r="J67">
            <v>25</v>
          </cell>
          <cell r="M67">
            <v>0</v>
          </cell>
        </row>
        <row r="68">
          <cell r="H68" t="str">
            <v>Nguyễn Thị Tuyết</v>
          </cell>
          <cell r="I68">
            <v>0</v>
          </cell>
          <cell r="J68">
            <v>26</v>
          </cell>
          <cell r="M68">
            <v>0</v>
          </cell>
        </row>
        <row r="69">
          <cell r="H69" t="str">
            <v>Vũ Thị Thu Thủy</v>
          </cell>
          <cell r="I69">
            <v>0</v>
          </cell>
          <cell r="J69">
            <v>25</v>
          </cell>
          <cell r="M69">
            <v>0</v>
          </cell>
        </row>
        <row r="70">
          <cell r="H70" t="str">
            <v>Mai Nguyễn Hoàng Yến</v>
          </cell>
          <cell r="I70">
            <v>0</v>
          </cell>
          <cell r="J70">
            <v>26</v>
          </cell>
          <cell r="M70">
            <v>0</v>
          </cell>
        </row>
        <row r="71">
          <cell r="H71" t="str">
            <v>Nguyễn Thị Huyền Nga</v>
          </cell>
          <cell r="I71">
            <v>0</v>
          </cell>
          <cell r="J71">
            <v>24</v>
          </cell>
          <cell r="M71">
            <v>0</v>
          </cell>
        </row>
        <row r="72">
          <cell r="H72" t="str">
            <v>Nguyễn Trọng Nghĩa</v>
          </cell>
          <cell r="I72" t="str">
            <v>Phòng KHCN &amp; QHQT</v>
          </cell>
          <cell r="J72">
            <v>24</v>
          </cell>
          <cell r="M72">
            <v>0</v>
          </cell>
        </row>
        <row r="73">
          <cell r="H73" t="str">
            <v>Lê Thị Hải Đăng</v>
          </cell>
          <cell r="I73">
            <v>0</v>
          </cell>
          <cell r="J73">
            <v>24</v>
          </cell>
          <cell r="M73">
            <v>0</v>
          </cell>
        </row>
        <row r="74">
          <cell r="H74" t="str">
            <v>Nguyễn Hữu Thiện</v>
          </cell>
          <cell r="I74" t="str">
            <v>TT. Điều hành &amp; QLDL</v>
          </cell>
          <cell r="J74">
            <v>27</v>
          </cell>
          <cell r="M74">
            <v>0</v>
          </cell>
        </row>
        <row r="75">
          <cell r="H75" t="str">
            <v>Vương Hội Khánh</v>
          </cell>
          <cell r="I75">
            <v>0</v>
          </cell>
          <cell r="J75">
            <v>24</v>
          </cell>
          <cell r="M75">
            <v>0</v>
          </cell>
        </row>
        <row r="76">
          <cell r="H76" t="str">
            <v>Trương Hữu Lộc</v>
          </cell>
          <cell r="I76">
            <v>0</v>
          </cell>
          <cell r="J76">
            <v>23</v>
          </cell>
          <cell r="M76">
            <v>0</v>
          </cell>
        </row>
        <row r="77">
          <cell r="H77" t="str">
            <v>Trương Thị Hồng</v>
          </cell>
          <cell r="I77">
            <v>0</v>
          </cell>
          <cell r="J77">
            <v>27</v>
          </cell>
          <cell r="M77">
            <v>0</v>
          </cell>
        </row>
        <row r="78">
          <cell r="H78" t="str">
            <v>Lương Xuân Thịnh</v>
          </cell>
          <cell r="I78" t="str">
            <v>TT Đào tạo và QLTB</v>
          </cell>
          <cell r="J78">
            <v>31</v>
          </cell>
          <cell r="M78">
            <v>0</v>
          </cell>
        </row>
        <row r="79">
          <cell r="H79" t="str">
            <v>Nguyễn Cao Thắng</v>
          </cell>
          <cell r="I79">
            <v>0</v>
          </cell>
          <cell r="J79">
            <v>29</v>
          </cell>
          <cell r="M79">
            <v>0</v>
          </cell>
        </row>
        <row r="80">
          <cell r="H80" t="str">
            <v>Đỗ Thị Tâm</v>
          </cell>
          <cell r="I80">
            <v>0</v>
          </cell>
          <cell r="J80">
            <v>28</v>
          </cell>
          <cell r="M80">
            <v>0</v>
          </cell>
        </row>
        <row r="81">
          <cell r="H81" t="str">
            <v>Nguyễn Tiến Việt Dũng</v>
          </cell>
          <cell r="I81">
            <v>0</v>
          </cell>
          <cell r="J81">
            <v>24</v>
          </cell>
          <cell r="M81">
            <v>0</v>
          </cell>
        </row>
        <row r="82">
          <cell r="H82" t="str">
            <v>Bùi Đặng Hoàng Tuấn</v>
          </cell>
          <cell r="I82">
            <v>0</v>
          </cell>
          <cell r="J82">
            <v>24</v>
          </cell>
          <cell r="M82">
            <v>0</v>
          </cell>
        </row>
        <row r="83">
          <cell r="H83" t="str">
            <v>Võ Tấn Kiệt</v>
          </cell>
          <cell r="I83">
            <v>0</v>
          </cell>
          <cell r="J83">
            <v>24</v>
          </cell>
          <cell r="M83">
            <v>0</v>
          </cell>
        </row>
        <row r="84">
          <cell r="H84" t="str">
            <v>Hồ Ngọc Chi</v>
          </cell>
          <cell r="I84" t="str">
            <v>TT. Thư viện</v>
          </cell>
          <cell r="J84">
            <v>23</v>
          </cell>
          <cell r="M84">
            <v>0</v>
          </cell>
        </row>
        <row r="85">
          <cell r="H85" t="str">
            <v>Nguyễn Tứ Cảnh</v>
          </cell>
          <cell r="I85">
            <v>0</v>
          </cell>
          <cell r="J85">
            <v>23</v>
          </cell>
          <cell r="M85">
            <v>0</v>
          </cell>
        </row>
        <row r="86">
          <cell r="H86" t="str">
            <v>Đặng Thu Hà</v>
          </cell>
          <cell r="I86">
            <v>0</v>
          </cell>
          <cell r="J86">
            <v>22.5</v>
          </cell>
          <cell r="M86" t="str">
            <v>Trừ 1/2 ngày nghỉ phép 9/10</v>
          </cell>
        </row>
        <row r="87">
          <cell r="H87" t="str">
            <v>Trần Thị Diễm Thúy</v>
          </cell>
          <cell r="I87">
            <v>0</v>
          </cell>
          <cell r="J87">
            <v>23</v>
          </cell>
          <cell r="M87">
            <v>0</v>
          </cell>
        </row>
        <row r="88">
          <cell r="H88" t="str">
            <v>Trịnh Hoàng Hiệp</v>
          </cell>
          <cell r="I88" t="str">
            <v>Khoa Kinh tế</v>
          </cell>
          <cell r="J88">
            <v>23</v>
          </cell>
          <cell r="M88">
            <v>0</v>
          </cell>
        </row>
        <row r="89">
          <cell r="H89" t="str">
            <v>Phạm Quỳnh Như</v>
          </cell>
          <cell r="I89">
            <v>0</v>
          </cell>
          <cell r="J89">
            <v>23</v>
          </cell>
          <cell r="M89">
            <v>0</v>
          </cell>
        </row>
        <row r="90">
          <cell r="H90" t="str">
            <v>Lê Thị Thu Thảo</v>
          </cell>
          <cell r="I90">
            <v>0</v>
          </cell>
          <cell r="J90">
            <v>23</v>
          </cell>
          <cell r="M90">
            <v>0</v>
          </cell>
        </row>
        <row r="91">
          <cell r="H91" t="str">
            <v>Lưu Thị Thúy</v>
          </cell>
          <cell r="I91">
            <v>0</v>
          </cell>
          <cell r="J91">
            <v>23</v>
          </cell>
          <cell r="M91">
            <v>0</v>
          </cell>
        </row>
        <row r="92">
          <cell r="H92" t="str">
            <v>Nguyễn Thị Minh Thùy</v>
          </cell>
          <cell r="I92">
            <v>0</v>
          </cell>
          <cell r="J92">
            <v>23</v>
          </cell>
          <cell r="M92">
            <v>0</v>
          </cell>
        </row>
        <row r="93">
          <cell r="H93" t="str">
            <v>Nguyễn Mỹ Tiên</v>
          </cell>
          <cell r="I93">
            <v>0</v>
          </cell>
          <cell r="J93">
            <v>23</v>
          </cell>
          <cell r="M93">
            <v>0</v>
          </cell>
        </row>
        <row r="94">
          <cell r="H94" t="str">
            <v>Trần Thị Ngọc Dung</v>
          </cell>
          <cell r="I94">
            <v>0</v>
          </cell>
          <cell r="J94">
            <v>23</v>
          </cell>
          <cell r="M94">
            <v>0</v>
          </cell>
        </row>
        <row r="95">
          <cell r="H95" t="str">
            <v>Cao Xuân Giang</v>
          </cell>
          <cell r="I95">
            <v>0</v>
          </cell>
          <cell r="J95">
            <v>23</v>
          </cell>
          <cell r="M95">
            <v>0</v>
          </cell>
        </row>
        <row r="96">
          <cell r="H96" t="str">
            <v>Lê Hồng Ngọc My</v>
          </cell>
          <cell r="I96">
            <v>0</v>
          </cell>
          <cell r="J96">
            <v>23</v>
          </cell>
          <cell r="M96">
            <v>0</v>
          </cell>
        </row>
        <row r="97">
          <cell r="H97" t="str">
            <v>Nguyễn Thị Thanh Hòa</v>
          </cell>
          <cell r="I97">
            <v>0</v>
          </cell>
          <cell r="J97">
            <v>23</v>
          </cell>
          <cell r="M97">
            <v>0</v>
          </cell>
        </row>
        <row r="98">
          <cell r="H98" t="str">
            <v>Huỳnh Kim Liên</v>
          </cell>
          <cell r="I98">
            <v>0</v>
          </cell>
          <cell r="J98">
            <v>23</v>
          </cell>
          <cell r="M98">
            <v>0</v>
          </cell>
        </row>
        <row r="99">
          <cell r="H99" t="str">
            <v>Nguyễn Huỳnh Lưu Phương</v>
          </cell>
          <cell r="I99">
            <v>0</v>
          </cell>
          <cell r="J99">
            <v>0</v>
          </cell>
          <cell r="M99" t="str">
            <v>Nghỉ không hưởng lương từ 01/9/2024 đến hết ngày 31/10/24</v>
          </cell>
        </row>
        <row r="100">
          <cell r="H100" t="str">
            <v>Nguyễn Thụy Nghiêm</v>
          </cell>
          <cell r="I100">
            <v>0</v>
          </cell>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v>0</v>
          </cell>
          <cell r="J102">
            <v>23</v>
          </cell>
          <cell r="M102">
            <v>0</v>
          </cell>
        </row>
        <row r="103">
          <cell r="H103" t="str">
            <v>Phạm Thị Thanh Thúy</v>
          </cell>
          <cell r="I103">
            <v>0</v>
          </cell>
          <cell r="J103">
            <v>23</v>
          </cell>
          <cell r="M103">
            <v>0</v>
          </cell>
        </row>
        <row r="104">
          <cell r="H104" t="str">
            <v>Đinh Thị Trâm</v>
          </cell>
          <cell r="I104">
            <v>0</v>
          </cell>
          <cell r="J104">
            <v>23</v>
          </cell>
          <cell r="M104">
            <v>0</v>
          </cell>
        </row>
        <row r="105">
          <cell r="H105" t="str">
            <v>Lê Thị Thúy Oanh</v>
          </cell>
          <cell r="I105">
            <v>0</v>
          </cell>
          <cell r="J105">
            <v>23</v>
          </cell>
          <cell r="M105">
            <v>0</v>
          </cell>
        </row>
        <row r="106">
          <cell r="H106" t="str">
            <v>Võ Thị Kim Thư</v>
          </cell>
          <cell r="I106">
            <v>0</v>
          </cell>
          <cell r="J106">
            <v>23</v>
          </cell>
          <cell r="M106">
            <v>0</v>
          </cell>
        </row>
        <row r="107">
          <cell r="H107" t="str">
            <v>Nguyễn Hoàng Thanh Ngân</v>
          </cell>
          <cell r="I107">
            <v>0</v>
          </cell>
          <cell r="J107">
            <v>0</v>
          </cell>
          <cell r="M107" t="str">
            <v>Đi du học nước ngoài từ 28/2/2023</v>
          </cell>
        </row>
        <row r="108">
          <cell r="H108" t="str">
            <v>Nguyễn Ngọc Thọ</v>
          </cell>
          <cell r="I108" t="str">
            <v>Khoa May -  TT</v>
          </cell>
          <cell r="J108">
            <v>23</v>
          </cell>
          <cell r="M108">
            <v>0</v>
          </cell>
        </row>
        <row r="109">
          <cell r="H109" t="str">
            <v>Nguyễn Bạch Cẩm Dung</v>
          </cell>
          <cell r="I109">
            <v>0</v>
          </cell>
          <cell r="J109">
            <v>23</v>
          </cell>
          <cell r="M109">
            <v>0</v>
          </cell>
        </row>
        <row r="110">
          <cell r="H110" t="str">
            <v>Lâm Thị Phương Thùy</v>
          </cell>
          <cell r="I110">
            <v>0</v>
          </cell>
          <cell r="J110">
            <v>23</v>
          </cell>
          <cell r="M110">
            <v>0</v>
          </cell>
        </row>
        <row r="111">
          <cell r="H111" t="str">
            <v>Nguyễn Thị Hiền</v>
          </cell>
          <cell r="I111">
            <v>0</v>
          </cell>
          <cell r="J111">
            <v>23</v>
          </cell>
          <cell r="M111">
            <v>0</v>
          </cell>
        </row>
        <row r="112">
          <cell r="H112" t="str">
            <v>Chế Vân Cầm</v>
          </cell>
          <cell r="I112">
            <v>0</v>
          </cell>
          <cell r="J112">
            <v>19</v>
          </cell>
          <cell r="M112" t="str">
            <v>Nghỉ hộ sản hưởng chế độ BHXH từ 28/10/2023</v>
          </cell>
        </row>
        <row r="113">
          <cell r="H113" t="str">
            <v>Trần Hồng Thảo</v>
          </cell>
          <cell r="I113">
            <v>0</v>
          </cell>
          <cell r="J113">
            <v>23</v>
          </cell>
          <cell r="M113">
            <v>0</v>
          </cell>
        </row>
        <row r="114">
          <cell r="H114" t="str">
            <v>Lê Thị Phương Thảo</v>
          </cell>
          <cell r="I114">
            <v>0</v>
          </cell>
          <cell r="J114">
            <v>23</v>
          </cell>
          <cell r="M114">
            <v>0</v>
          </cell>
        </row>
        <row r="115">
          <cell r="H115" t="str">
            <v>Bùi Thị Ngọc Sương</v>
          </cell>
          <cell r="I115">
            <v>0</v>
          </cell>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v>0</v>
          </cell>
          <cell r="J118">
            <v>23</v>
          </cell>
          <cell r="M118">
            <v>0</v>
          </cell>
        </row>
        <row r="119">
          <cell r="H119" t="str">
            <v>Nguyễn Thanh Tú</v>
          </cell>
          <cell r="I119">
            <v>0</v>
          </cell>
          <cell r="J119">
            <v>23</v>
          </cell>
          <cell r="M119">
            <v>0</v>
          </cell>
        </row>
        <row r="120">
          <cell r="H120" t="str">
            <v>Trần Thị Ánh Tuyết</v>
          </cell>
          <cell r="I120">
            <v>0</v>
          </cell>
          <cell r="J120">
            <v>23</v>
          </cell>
          <cell r="M120">
            <v>0</v>
          </cell>
        </row>
        <row r="121">
          <cell r="H121" t="str">
            <v>Phạm Thị Thu Nga</v>
          </cell>
          <cell r="I121" t="str">
            <v>Tổ Toán</v>
          </cell>
          <cell r="J121">
            <v>23</v>
          </cell>
          <cell r="M121">
            <v>0</v>
          </cell>
        </row>
        <row r="122">
          <cell r="H122" t="str">
            <v>Nguyễn Thị Cẩm Thạch</v>
          </cell>
          <cell r="I122">
            <v>0</v>
          </cell>
          <cell r="J122">
            <v>23</v>
          </cell>
          <cell r="M122">
            <v>0</v>
          </cell>
        </row>
        <row r="123">
          <cell r="H123" t="str">
            <v>Hà Như Mai</v>
          </cell>
          <cell r="I123">
            <v>0</v>
          </cell>
          <cell r="J123">
            <v>23</v>
          </cell>
          <cell r="M123">
            <v>0</v>
          </cell>
        </row>
        <row r="124">
          <cell r="H124" t="str">
            <v>Nguyễn Thị Thủy</v>
          </cell>
          <cell r="I124">
            <v>0</v>
          </cell>
          <cell r="J124">
            <v>23</v>
          </cell>
          <cell r="M124">
            <v>0</v>
          </cell>
        </row>
        <row r="125">
          <cell r="H125" t="str">
            <v>Dương Đức Kiên</v>
          </cell>
          <cell r="I125">
            <v>0</v>
          </cell>
          <cell r="J125">
            <v>23</v>
          </cell>
          <cell r="M125">
            <v>0</v>
          </cell>
        </row>
        <row r="126">
          <cell r="H126" t="str">
            <v>Nguyễn Văn Hậu</v>
          </cell>
          <cell r="I126">
            <v>0</v>
          </cell>
          <cell r="J126">
            <v>23</v>
          </cell>
          <cell r="M126">
            <v>0</v>
          </cell>
        </row>
        <row r="127">
          <cell r="H127" t="str">
            <v>Lê Thái Hùng</v>
          </cell>
          <cell r="I127" t="str">
            <v xml:space="preserve">Tổ  Thể chất </v>
          </cell>
          <cell r="J127">
            <v>23</v>
          </cell>
          <cell r="M127">
            <v>0</v>
          </cell>
        </row>
        <row r="128">
          <cell r="H128" t="str">
            <v>Nguyễn Phú Tân</v>
          </cell>
          <cell r="I128">
            <v>0</v>
          </cell>
          <cell r="J128">
            <v>23</v>
          </cell>
          <cell r="M128">
            <v>0</v>
          </cell>
        </row>
        <row r="129">
          <cell r="H129" t="str">
            <v>Nguyễn Mạnh Phương</v>
          </cell>
          <cell r="I129">
            <v>0</v>
          </cell>
          <cell r="J129">
            <v>23</v>
          </cell>
          <cell r="M129">
            <v>0</v>
          </cell>
        </row>
        <row r="130">
          <cell r="H130" t="str">
            <v>Giang Phi Hùng</v>
          </cell>
          <cell r="I130">
            <v>0</v>
          </cell>
          <cell r="J130">
            <v>23</v>
          </cell>
          <cell r="M130">
            <v>0</v>
          </cell>
        </row>
        <row r="131">
          <cell r="H131" t="str">
            <v>Ngô Thanh Điền</v>
          </cell>
          <cell r="I131">
            <v>0</v>
          </cell>
          <cell r="J131">
            <v>23</v>
          </cell>
          <cell r="M131">
            <v>0</v>
          </cell>
        </row>
        <row r="132">
          <cell r="H132" t="str">
            <v>Nguyễn Thị Thu Hà</v>
          </cell>
          <cell r="I132" t="str">
            <v>Khoa Ngoại ngữ</v>
          </cell>
          <cell r="J132">
            <v>23</v>
          </cell>
          <cell r="M132">
            <v>0</v>
          </cell>
        </row>
        <row r="133">
          <cell r="H133" t="str">
            <v>Vương Thanh Thủy</v>
          </cell>
          <cell r="I133">
            <v>0</v>
          </cell>
          <cell r="J133">
            <v>23</v>
          </cell>
          <cell r="M133">
            <v>0</v>
          </cell>
        </row>
        <row r="134">
          <cell r="H134" t="str">
            <v>Nguyễn Thị Bảo Trân</v>
          </cell>
          <cell r="I134">
            <v>0</v>
          </cell>
          <cell r="J134">
            <v>23</v>
          </cell>
          <cell r="M134">
            <v>0</v>
          </cell>
        </row>
        <row r="135">
          <cell r="H135" t="str">
            <v>Nguyễn Thị Thu Tâm</v>
          </cell>
          <cell r="I135">
            <v>0</v>
          </cell>
          <cell r="J135">
            <v>23</v>
          </cell>
          <cell r="M135">
            <v>0</v>
          </cell>
        </row>
        <row r="136">
          <cell r="H136" t="str">
            <v>Nguyễn Thị Thanh Tú</v>
          </cell>
          <cell r="I136">
            <v>0</v>
          </cell>
          <cell r="J136">
            <v>23</v>
          </cell>
          <cell r="M136">
            <v>0</v>
          </cell>
        </row>
        <row r="137">
          <cell r="H137" t="str">
            <v>Võ Thị Hồng Lan</v>
          </cell>
          <cell r="I137">
            <v>0</v>
          </cell>
          <cell r="J137">
            <v>23</v>
          </cell>
          <cell r="M137">
            <v>0</v>
          </cell>
        </row>
        <row r="138">
          <cell r="H138" t="str">
            <v>Lê Nguyễn Mỹ Trâm</v>
          </cell>
          <cell r="I138">
            <v>0</v>
          </cell>
          <cell r="J138">
            <v>23</v>
          </cell>
          <cell r="M138">
            <v>0</v>
          </cell>
        </row>
        <row r="139">
          <cell r="H139" t="str">
            <v>Phạm Thị Thu Hiền</v>
          </cell>
          <cell r="I139">
            <v>0</v>
          </cell>
          <cell r="J139">
            <v>23</v>
          </cell>
          <cell r="M139">
            <v>0</v>
          </cell>
        </row>
        <row r="140">
          <cell r="H140" t="str">
            <v>Nguyễn Thiện Bình</v>
          </cell>
          <cell r="I140">
            <v>0</v>
          </cell>
          <cell r="J140">
            <v>23</v>
          </cell>
          <cell r="M140">
            <v>0</v>
          </cell>
        </row>
        <row r="141">
          <cell r="H141" t="str">
            <v>Trần Thanh Trúc</v>
          </cell>
          <cell r="I141">
            <v>0</v>
          </cell>
          <cell r="J141">
            <v>23</v>
          </cell>
          <cell r="M141">
            <v>0</v>
          </cell>
        </row>
        <row r="142">
          <cell r="H142" t="str">
            <v>Lâm Thị Phương Thảo</v>
          </cell>
          <cell r="I142">
            <v>0</v>
          </cell>
          <cell r="J142">
            <v>13</v>
          </cell>
          <cell r="M142" t="str">
            <v>NGhỉ bệnh hưởng chế độ BHXH từ ngày 2 đến 16/10/2024</v>
          </cell>
        </row>
        <row r="143">
          <cell r="H143" t="str">
            <v>Trần Hà Trang</v>
          </cell>
          <cell r="I143">
            <v>0</v>
          </cell>
          <cell r="J143">
            <v>23</v>
          </cell>
          <cell r="M143">
            <v>0</v>
          </cell>
        </row>
        <row r="144">
          <cell r="H144" t="str">
            <v>Lê Thu Hà</v>
          </cell>
          <cell r="I144">
            <v>0</v>
          </cell>
          <cell r="J144">
            <v>23</v>
          </cell>
          <cell r="M144">
            <v>0</v>
          </cell>
        </row>
        <row r="145">
          <cell r="H145" t="str">
            <v>Ôn Thị Ngọc Thảo</v>
          </cell>
          <cell r="I145">
            <v>0</v>
          </cell>
          <cell r="J145">
            <v>23</v>
          </cell>
          <cell r="M145">
            <v>0</v>
          </cell>
        </row>
        <row r="146">
          <cell r="H146" t="str">
            <v>Nguyễn Huỳnh Khánh Vy</v>
          </cell>
          <cell r="I146">
            <v>0</v>
          </cell>
          <cell r="J146">
            <v>23</v>
          </cell>
          <cell r="M146">
            <v>0</v>
          </cell>
        </row>
        <row r="147">
          <cell r="H147" t="str">
            <v>Đoàn Thanh Long</v>
          </cell>
          <cell r="I147">
            <v>0</v>
          </cell>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v>0</v>
          </cell>
          <cell r="J149">
            <v>23</v>
          </cell>
          <cell r="M149">
            <v>0</v>
          </cell>
        </row>
        <row r="150">
          <cell r="H150" t="str">
            <v>Phan Thị Thùy Trang</v>
          </cell>
          <cell r="I150">
            <v>0</v>
          </cell>
          <cell r="J150">
            <v>23</v>
          </cell>
          <cell r="M150">
            <v>0</v>
          </cell>
        </row>
        <row r="151">
          <cell r="H151" t="str">
            <v>Lê Thị Mai Hường</v>
          </cell>
          <cell r="I151">
            <v>0</v>
          </cell>
          <cell r="J151">
            <v>23</v>
          </cell>
          <cell r="M151">
            <v>0</v>
          </cell>
        </row>
        <row r="152">
          <cell r="H152" t="str">
            <v>Nguyễn Thị Dinh</v>
          </cell>
          <cell r="I152">
            <v>0</v>
          </cell>
          <cell r="J152">
            <v>23</v>
          </cell>
          <cell r="M152">
            <v>0</v>
          </cell>
        </row>
        <row r="153">
          <cell r="H153" t="str">
            <v>Đỗ Thị Ngát</v>
          </cell>
          <cell r="I153">
            <v>0</v>
          </cell>
          <cell r="J153">
            <v>23</v>
          </cell>
          <cell r="M153">
            <v>0</v>
          </cell>
        </row>
        <row r="154">
          <cell r="H154" t="str">
            <v>Nguyễn Anh Kiệt</v>
          </cell>
          <cell r="I154">
            <v>0</v>
          </cell>
          <cell r="J154">
            <v>23</v>
          </cell>
          <cell r="M154">
            <v>0</v>
          </cell>
        </row>
        <row r="155">
          <cell r="H155" t="str">
            <v>Trần Thị Hồng Thu</v>
          </cell>
          <cell r="I155">
            <v>0</v>
          </cell>
          <cell r="J155">
            <v>23</v>
          </cell>
          <cell r="M155">
            <v>0</v>
          </cell>
        </row>
        <row r="156">
          <cell r="H156" t="str">
            <v>Đinh Thị Huyên</v>
          </cell>
          <cell r="I156">
            <v>0</v>
          </cell>
          <cell r="J156">
            <v>23</v>
          </cell>
          <cell r="M156">
            <v>0</v>
          </cell>
        </row>
        <row r="157">
          <cell r="H157" t="str">
            <v>Cao Thị Hồng Thắm</v>
          </cell>
          <cell r="I157">
            <v>0</v>
          </cell>
          <cell r="J157">
            <v>23</v>
          </cell>
          <cell r="M157">
            <v>0</v>
          </cell>
        </row>
        <row r="158">
          <cell r="H158" t="str">
            <v>Đỗ Thị Thơm</v>
          </cell>
          <cell r="I158">
            <v>0</v>
          </cell>
          <cell r="J158">
            <v>23</v>
          </cell>
          <cell r="M158">
            <v>0</v>
          </cell>
        </row>
        <row r="159">
          <cell r="H159" t="str">
            <v>Phạm Thị Vinh</v>
          </cell>
          <cell r="I159">
            <v>0</v>
          </cell>
          <cell r="J159">
            <v>23</v>
          </cell>
          <cell r="M159">
            <v>0</v>
          </cell>
        </row>
        <row r="160">
          <cell r="H160" t="str">
            <v>Hoàng Thị Trang</v>
          </cell>
          <cell r="I160">
            <v>0</v>
          </cell>
          <cell r="J160">
            <v>23</v>
          </cell>
          <cell r="M160">
            <v>0</v>
          </cell>
        </row>
        <row r="161">
          <cell r="H161" t="str">
            <v>Bùi Thành Dũng</v>
          </cell>
          <cell r="I161" t="str">
            <v>Tổ Pháp luật</v>
          </cell>
          <cell r="J161">
            <v>23</v>
          </cell>
          <cell r="M161">
            <v>0</v>
          </cell>
        </row>
        <row r="162">
          <cell r="H162" t="str">
            <v>Trần Văn Lượng</v>
          </cell>
          <cell r="I162">
            <v>0</v>
          </cell>
          <cell r="J162">
            <v>23</v>
          </cell>
          <cell r="M162">
            <v>0</v>
          </cell>
        </row>
        <row r="163">
          <cell r="H163" t="str">
            <v>Trần Việt Khánh</v>
          </cell>
          <cell r="I163" t="str">
            <v>Khoa CNTT</v>
          </cell>
          <cell r="J163">
            <v>24</v>
          </cell>
          <cell r="M163">
            <v>0</v>
          </cell>
        </row>
        <row r="164">
          <cell r="H164" t="str">
            <v>Vũ Thị Thái Linh</v>
          </cell>
          <cell r="I164">
            <v>0</v>
          </cell>
          <cell r="J164">
            <v>23</v>
          </cell>
          <cell r="M164">
            <v>0</v>
          </cell>
        </row>
        <row r="165">
          <cell r="H165" t="str">
            <v>Nguyễn Sanh Cường</v>
          </cell>
          <cell r="I165">
            <v>0</v>
          </cell>
          <cell r="J165">
            <v>23</v>
          </cell>
          <cell r="M165">
            <v>0</v>
          </cell>
        </row>
        <row r="166">
          <cell r="H166" t="str">
            <v>Lê Quý Hưng Quốc</v>
          </cell>
          <cell r="I166">
            <v>0</v>
          </cell>
          <cell r="J166">
            <v>23</v>
          </cell>
          <cell r="M166">
            <v>0</v>
          </cell>
        </row>
        <row r="167">
          <cell r="H167" t="str">
            <v>Nguyễn Văn Minh</v>
          </cell>
          <cell r="I167">
            <v>0</v>
          </cell>
          <cell r="J167">
            <v>23</v>
          </cell>
          <cell r="M167">
            <v>0</v>
          </cell>
        </row>
        <row r="168">
          <cell r="H168" t="str">
            <v>Nguyễn Thị Khánh Thư</v>
          </cell>
          <cell r="I168">
            <v>0</v>
          </cell>
          <cell r="J168">
            <v>23</v>
          </cell>
          <cell r="M168">
            <v>0</v>
          </cell>
        </row>
        <row r="169">
          <cell r="H169" t="str">
            <v>Đỗ Thị Hải Yến</v>
          </cell>
          <cell r="I169">
            <v>0</v>
          </cell>
          <cell r="J169">
            <v>23</v>
          </cell>
          <cell r="M169">
            <v>0</v>
          </cell>
        </row>
        <row r="170">
          <cell r="H170" t="str">
            <v>Lê Hồng Thái</v>
          </cell>
          <cell r="I170">
            <v>0</v>
          </cell>
          <cell r="J170">
            <v>23</v>
          </cell>
          <cell r="M170">
            <v>0</v>
          </cell>
        </row>
        <row r="171">
          <cell r="H171" t="str">
            <v>Đặng Ngọc Đoàn</v>
          </cell>
          <cell r="I171">
            <v>0</v>
          </cell>
          <cell r="J171">
            <v>23</v>
          </cell>
          <cell r="M171">
            <v>0</v>
          </cell>
        </row>
        <row r="172">
          <cell r="H172" t="str">
            <v>Nguyễn Văn Đôn</v>
          </cell>
          <cell r="I172">
            <v>0</v>
          </cell>
          <cell r="J172">
            <v>23</v>
          </cell>
          <cell r="M172">
            <v>0</v>
          </cell>
        </row>
        <row r="173">
          <cell r="H173" t="str">
            <v>Huỳnh Quốc Dũng</v>
          </cell>
          <cell r="I173">
            <v>0</v>
          </cell>
          <cell r="J173">
            <v>23</v>
          </cell>
          <cell r="M173">
            <v>0</v>
          </cell>
        </row>
        <row r="174">
          <cell r="H174" t="str">
            <v>Dương Ngọc Vọng</v>
          </cell>
          <cell r="I174">
            <v>0</v>
          </cell>
          <cell r="J174">
            <v>23</v>
          </cell>
          <cell r="M174">
            <v>0</v>
          </cell>
        </row>
        <row r="175">
          <cell r="H175" t="str">
            <v>Nguyễn Ngọc Tuyên</v>
          </cell>
          <cell r="I175">
            <v>0</v>
          </cell>
          <cell r="J175">
            <v>23</v>
          </cell>
          <cell r="M175">
            <v>0</v>
          </cell>
        </row>
        <row r="176">
          <cell r="H176" t="str">
            <v>Nguyễn Cao Phong</v>
          </cell>
          <cell r="I176">
            <v>0</v>
          </cell>
          <cell r="J176">
            <v>23</v>
          </cell>
          <cell r="M176">
            <v>0</v>
          </cell>
        </row>
        <row r="177">
          <cell r="H177" t="str">
            <v>Mai Chiếm Tuấn</v>
          </cell>
          <cell r="I177">
            <v>0</v>
          </cell>
          <cell r="J177">
            <v>23</v>
          </cell>
          <cell r="M177">
            <v>0</v>
          </cell>
        </row>
        <row r="178">
          <cell r="H178" t="str">
            <v>Đỗ Tuấn Việt</v>
          </cell>
          <cell r="I178">
            <v>0</v>
          </cell>
          <cell r="J178">
            <v>23</v>
          </cell>
          <cell r="M178">
            <v>0</v>
          </cell>
        </row>
        <row r="179">
          <cell r="H179" t="str">
            <v>Trần Vĩnh Xuyên</v>
          </cell>
          <cell r="I179">
            <v>0</v>
          </cell>
          <cell r="J179">
            <v>23</v>
          </cell>
          <cell r="M179">
            <v>0</v>
          </cell>
        </row>
        <row r="180">
          <cell r="H180" t="str">
            <v>Đào Lê Phương Anh</v>
          </cell>
          <cell r="I180">
            <v>0</v>
          </cell>
          <cell r="J180">
            <v>23</v>
          </cell>
          <cell r="M180">
            <v>0</v>
          </cell>
        </row>
        <row r="181">
          <cell r="H181" t="str">
            <v>Nguyễn Duy Lộc</v>
          </cell>
          <cell r="I181">
            <v>0</v>
          </cell>
          <cell r="J181">
            <v>23</v>
          </cell>
          <cell r="M181">
            <v>0</v>
          </cell>
        </row>
        <row r="182">
          <cell r="H182" t="str">
            <v>Chung Trần Thế Vinh</v>
          </cell>
          <cell r="I182" t="str">
            <v>Khoa Cơ khí</v>
          </cell>
          <cell r="J182">
            <v>27</v>
          </cell>
          <cell r="M182">
            <v>0</v>
          </cell>
        </row>
        <row r="183">
          <cell r="H183" t="str">
            <v>Đỗ Thị Phương Khanh</v>
          </cell>
          <cell r="I183">
            <v>0</v>
          </cell>
          <cell r="J183">
            <v>23</v>
          </cell>
          <cell r="M183">
            <v>0</v>
          </cell>
        </row>
        <row r="184">
          <cell r="H184" t="str">
            <v>Trương Thị Phương Hồng</v>
          </cell>
          <cell r="I184">
            <v>0</v>
          </cell>
          <cell r="J184">
            <v>23</v>
          </cell>
          <cell r="M184">
            <v>0</v>
          </cell>
        </row>
        <row r="185">
          <cell r="H185" t="str">
            <v>Dương Minh Chung</v>
          </cell>
          <cell r="I185">
            <v>0</v>
          </cell>
          <cell r="J185">
            <v>23</v>
          </cell>
          <cell r="M185">
            <v>0</v>
          </cell>
        </row>
        <row r="186">
          <cell r="H186" t="str">
            <v>Phan Văn Thành</v>
          </cell>
          <cell r="I186">
            <v>0</v>
          </cell>
          <cell r="J186">
            <v>23</v>
          </cell>
          <cell r="M186">
            <v>0</v>
          </cell>
        </row>
        <row r="187">
          <cell r="H187" t="str">
            <v>Vũ Đức Pháp</v>
          </cell>
          <cell r="I187">
            <v>0</v>
          </cell>
          <cell r="J187">
            <v>23</v>
          </cell>
          <cell r="M187">
            <v>0</v>
          </cell>
        </row>
        <row r="188">
          <cell r="H188" t="str">
            <v>Vũ Quang Khải</v>
          </cell>
          <cell r="I188">
            <v>0</v>
          </cell>
          <cell r="J188">
            <v>23</v>
          </cell>
          <cell r="M188">
            <v>0</v>
          </cell>
        </row>
        <row r="189">
          <cell r="H189" t="str">
            <v>Nguyễn Thanh Vũ</v>
          </cell>
          <cell r="I189">
            <v>0</v>
          </cell>
          <cell r="J189">
            <v>23</v>
          </cell>
          <cell r="M189">
            <v>0</v>
          </cell>
        </row>
        <row r="190">
          <cell r="H190" t="str">
            <v>Phan Thị Xuân Trang</v>
          </cell>
          <cell r="I190">
            <v>0</v>
          </cell>
          <cell r="J190">
            <v>23</v>
          </cell>
          <cell r="M190">
            <v>0</v>
          </cell>
        </row>
        <row r="191">
          <cell r="H191" t="str">
            <v>Trần Đình Khải</v>
          </cell>
          <cell r="I191">
            <v>0</v>
          </cell>
          <cell r="J191">
            <v>23</v>
          </cell>
          <cell r="M191">
            <v>0</v>
          </cell>
        </row>
        <row r="192">
          <cell r="H192" t="str">
            <v>Lư Thị Yến Vũ</v>
          </cell>
          <cell r="I192">
            <v>0</v>
          </cell>
          <cell r="J192">
            <v>23</v>
          </cell>
          <cell r="M192">
            <v>0</v>
          </cell>
        </row>
        <row r="193">
          <cell r="H193" t="str">
            <v>Nguyễn Tiến Dũng</v>
          </cell>
          <cell r="I193">
            <v>0</v>
          </cell>
          <cell r="J193">
            <v>23</v>
          </cell>
          <cell r="M193">
            <v>0</v>
          </cell>
        </row>
        <row r="194">
          <cell r="H194" t="str">
            <v>Nguyễn Thành Long</v>
          </cell>
          <cell r="I194">
            <v>0</v>
          </cell>
          <cell r="J194">
            <v>23</v>
          </cell>
          <cell r="M194">
            <v>0</v>
          </cell>
        </row>
        <row r="195">
          <cell r="H195" t="str">
            <v>Nguyễn Ngọc Quỳnh.</v>
          </cell>
          <cell r="I195">
            <v>0</v>
          </cell>
          <cell r="J195">
            <v>23</v>
          </cell>
          <cell r="M195">
            <v>0</v>
          </cell>
        </row>
        <row r="196">
          <cell r="H196" t="str">
            <v>Nguyễn Duy Hải</v>
          </cell>
          <cell r="I196">
            <v>0</v>
          </cell>
          <cell r="J196">
            <v>23</v>
          </cell>
          <cell r="M196">
            <v>0</v>
          </cell>
        </row>
        <row r="197">
          <cell r="H197" t="str">
            <v>Bùi Anh Tuấn</v>
          </cell>
          <cell r="I197">
            <v>0</v>
          </cell>
          <cell r="J197">
            <v>23</v>
          </cell>
          <cell r="M197">
            <v>0</v>
          </cell>
        </row>
        <row r="198">
          <cell r="H198" t="str">
            <v>Trần Thị Hương</v>
          </cell>
          <cell r="I198">
            <v>0</v>
          </cell>
          <cell r="J198">
            <v>23</v>
          </cell>
          <cell r="M198">
            <v>0</v>
          </cell>
        </row>
        <row r="199">
          <cell r="H199" t="str">
            <v>Trần Minh Thông</v>
          </cell>
          <cell r="I199">
            <v>0</v>
          </cell>
          <cell r="J199">
            <v>23</v>
          </cell>
          <cell r="M199">
            <v>0</v>
          </cell>
        </row>
        <row r="200">
          <cell r="H200" t="str">
            <v>Nguyễn Thanh Vĩnh Phúc</v>
          </cell>
          <cell r="I200">
            <v>0</v>
          </cell>
          <cell r="J200">
            <v>23</v>
          </cell>
          <cell r="M200">
            <v>0</v>
          </cell>
        </row>
        <row r="201">
          <cell r="H201" t="str">
            <v>Dương Thị Hồng</v>
          </cell>
          <cell r="I201">
            <v>0</v>
          </cell>
          <cell r="J201">
            <v>23</v>
          </cell>
          <cell r="M201">
            <v>0</v>
          </cell>
        </row>
        <row r="202">
          <cell r="H202" t="str">
            <v>Nguyễn Thanh Giang</v>
          </cell>
          <cell r="I202">
            <v>0</v>
          </cell>
          <cell r="J202">
            <v>23</v>
          </cell>
          <cell r="M202">
            <v>0</v>
          </cell>
        </row>
        <row r="203">
          <cell r="H203" t="str">
            <v>Nguyễn Hồng Phúc</v>
          </cell>
          <cell r="I203">
            <v>0</v>
          </cell>
          <cell r="J203">
            <v>23</v>
          </cell>
          <cell r="M203">
            <v>0</v>
          </cell>
        </row>
        <row r="204">
          <cell r="H204" t="str">
            <v>Nguyễn Văn Sơn</v>
          </cell>
          <cell r="I204">
            <v>0</v>
          </cell>
          <cell r="J204">
            <v>23</v>
          </cell>
          <cell r="M204">
            <v>0</v>
          </cell>
        </row>
        <row r="205">
          <cell r="H205" t="str">
            <v>Nguyễn Khắc Huy</v>
          </cell>
          <cell r="I205">
            <v>0</v>
          </cell>
          <cell r="J205">
            <v>23</v>
          </cell>
          <cell r="M205">
            <v>0</v>
          </cell>
        </row>
        <row r="206">
          <cell r="H206" t="str">
            <v>Võ Hoài Sơn</v>
          </cell>
          <cell r="I206">
            <v>0</v>
          </cell>
          <cell r="J206">
            <v>23</v>
          </cell>
          <cell r="M206">
            <v>0</v>
          </cell>
        </row>
        <row r="207">
          <cell r="H207" t="str">
            <v>Nguyễn Thị Xuân Chinh</v>
          </cell>
          <cell r="I207">
            <v>0</v>
          </cell>
          <cell r="J207">
            <v>23</v>
          </cell>
          <cell r="M207">
            <v>0</v>
          </cell>
        </row>
        <row r="208">
          <cell r="H208" t="str">
            <v>Nguyễn Duy Tân</v>
          </cell>
          <cell r="I208">
            <v>0</v>
          </cell>
          <cell r="J208">
            <v>23</v>
          </cell>
          <cell r="M208">
            <v>0</v>
          </cell>
        </row>
        <row r="209">
          <cell r="H209" t="str">
            <v>Nguyễn Ngọc Hiệp</v>
          </cell>
          <cell r="I209">
            <v>0</v>
          </cell>
          <cell r="J209">
            <v>23</v>
          </cell>
          <cell r="M209">
            <v>0</v>
          </cell>
        </row>
        <row r="210">
          <cell r="H210" t="str">
            <v>Tạ Minh Cường</v>
          </cell>
          <cell r="I210" t="str">
            <v>Khoa Điện-
Điện tử</v>
          </cell>
          <cell r="J210">
            <v>23</v>
          </cell>
          <cell r="M210">
            <v>0</v>
          </cell>
        </row>
        <row r="211">
          <cell r="H211" t="str">
            <v>Phạm Minh Nghĩa</v>
          </cell>
          <cell r="I211">
            <v>0</v>
          </cell>
          <cell r="J211">
            <v>23</v>
          </cell>
          <cell r="M211">
            <v>0</v>
          </cell>
        </row>
        <row r="212">
          <cell r="H212" t="str">
            <v>Nguyễn Văn Yên</v>
          </cell>
          <cell r="I212">
            <v>0</v>
          </cell>
          <cell r="J212">
            <v>23</v>
          </cell>
          <cell r="M212">
            <v>0</v>
          </cell>
        </row>
        <row r="213">
          <cell r="H213" t="str">
            <v>Nguyễn Minh Đức</v>
          </cell>
          <cell r="I213">
            <v>0</v>
          </cell>
          <cell r="J213">
            <v>23</v>
          </cell>
          <cell r="M213">
            <v>0</v>
          </cell>
        </row>
        <row r="214">
          <cell r="H214" t="str">
            <v>Nguyễn Anh Tăng</v>
          </cell>
          <cell r="I214">
            <v>0</v>
          </cell>
          <cell r="J214">
            <v>23</v>
          </cell>
          <cell r="M214">
            <v>0</v>
          </cell>
        </row>
        <row r="215">
          <cell r="H215" t="str">
            <v>Lê Thế Huân</v>
          </cell>
          <cell r="I215">
            <v>0</v>
          </cell>
          <cell r="J215">
            <v>23</v>
          </cell>
          <cell r="M215">
            <v>0</v>
          </cell>
        </row>
        <row r="216">
          <cell r="H216" t="str">
            <v>Trần Trung Hiếu</v>
          </cell>
          <cell r="I216">
            <v>0</v>
          </cell>
          <cell r="J216">
            <v>23</v>
          </cell>
          <cell r="M216">
            <v>0</v>
          </cell>
        </row>
        <row r="217">
          <cell r="H217" t="str">
            <v>Trần Nguyên Bảo Trân</v>
          </cell>
          <cell r="I217">
            <v>0</v>
          </cell>
          <cell r="J217">
            <v>23</v>
          </cell>
          <cell r="M217">
            <v>0</v>
          </cell>
        </row>
        <row r="218">
          <cell r="H218" t="str">
            <v>Mạnh Lê Hoàn</v>
          </cell>
          <cell r="I218">
            <v>0</v>
          </cell>
          <cell r="J218">
            <v>23</v>
          </cell>
          <cell r="M218">
            <v>0</v>
          </cell>
        </row>
        <row r="219">
          <cell r="H219" t="str">
            <v>Ngô Hoàng Anh</v>
          </cell>
          <cell r="I219">
            <v>0</v>
          </cell>
          <cell r="J219">
            <v>23</v>
          </cell>
          <cell r="M219">
            <v>0</v>
          </cell>
        </row>
        <row r="220">
          <cell r="H220" t="str">
            <v>Nguyễn Thùy Linh</v>
          </cell>
          <cell r="I220">
            <v>0</v>
          </cell>
          <cell r="J220">
            <v>23</v>
          </cell>
          <cell r="M220">
            <v>0</v>
          </cell>
        </row>
        <row r="221">
          <cell r="H221" t="str">
            <v>Vũ Hạnh Chiêu</v>
          </cell>
          <cell r="I221">
            <v>0</v>
          </cell>
          <cell r="J221">
            <v>23</v>
          </cell>
          <cell r="M221">
            <v>0</v>
          </cell>
        </row>
        <row r="222">
          <cell r="H222" t="str">
            <v>Đỗ Huỳnh Thanh Phong</v>
          </cell>
          <cell r="I222">
            <v>0</v>
          </cell>
          <cell r="J222">
            <v>23</v>
          </cell>
          <cell r="M222">
            <v>0</v>
          </cell>
        </row>
        <row r="223">
          <cell r="H223" t="str">
            <v>Nguyễn Minh Đức Cường</v>
          </cell>
          <cell r="I223">
            <v>0</v>
          </cell>
          <cell r="J223">
            <v>23</v>
          </cell>
          <cell r="M223">
            <v>0</v>
          </cell>
        </row>
        <row r="224">
          <cell r="H224" t="str">
            <v>Huỳnh Ngọc Mai</v>
          </cell>
          <cell r="I224">
            <v>0</v>
          </cell>
          <cell r="J224">
            <v>23</v>
          </cell>
          <cell r="M224">
            <v>0</v>
          </cell>
        </row>
        <row r="225">
          <cell r="H225" t="str">
            <v>Nguyễn Hồng Đức</v>
          </cell>
          <cell r="I225">
            <v>0</v>
          </cell>
          <cell r="J225">
            <v>23</v>
          </cell>
          <cell r="M225">
            <v>0</v>
          </cell>
        </row>
        <row r="226">
          <cell r="H226" t="str">
            <v>Trần Công Tiến</v>
          </cell>
          <cell r="I226">
            <v>0</v>
          </cell>
          <cell r="J226">
            <v>23</v>
          </cell>
          <cell r="M226">
            <v>0</v>
          </cell>
        </row>
        <row r="227">
          <cell r="H227" t="str">
            <v>Nguyễn Trần Thanh Nhàn</v>
          </cell>
          <cell r="I227">
            <v>0</v>
          </cell>
          <cell r="J227">
            <v>23</v>
          </cell>
          <cell r="M227">
            <v>0</v>
          </cell>
        </row>
        <row r="228">
          <cell r="H228" t="str">
            <v>Tăng Cẩm Huê</v>
          </cell>
          <cell r="I228">
            <v>0</v>
          </cell>
          <cell r="J228">
            <v>23</v>
          </cell>
          <cell r="M228">
            <v>0</v>
          </cell>
        </row>
        <row r="229">
          <cell r="H229" t="str">
            <v>Trần Hiếu Trinh</v>
          </cell>
          <cell r="I229">
            <v>0</v>
          </cell>
          <cell r="J229">
            <v>23</v>
          </cell>
          <cell r="M229">
            <v>0</v>
          </cell>
        </row>
        <row r="230">
          <cell r="H230" t="str">
            <v>Nguyễn Thị Tố Nga</v>
          </cell>
          <cell r="I230">
            <v>0</v>
          </cell>
          <cell r="J230">
            <v>23</v>
          </cell>
          <cell r="M230">
            <v>0</v>
          </cell>
        </row>
        <row r="231">
          <cell r="H231" t="str">
            <v>Đặng Đức Minh</v>
          </cell>
          <cell r="I231">
            <v>0</v>
          </cell>
          <cell r="J231">
            <v>23</v>
          </cell>
          <cell r="M231">
            <v>0</v>
          </cell>
        </row>
        <row r="232">
          <cell r="H232" t="str">
            <v>Nguyễn Thị Ngọc Hiền</v>
          </cell>
          <cell r="I232">
            <v>0</v>
          </cell>
          <cell r="J232">
            <v>23</v>
          </cell>
          <cell r="M232">
            <v>0</v>
          </cell>
        </row>
        <row r="233">
          <cell r="H233" t="str">
            <v>Ngô Phong Cường</v>
          </cell>
          <cell r="I233">
            <v>0</v>
          </cell>
          <cell r="J233">
            <v>23</v>
          </cell>
          <cell r="M233">
            <v>0</v>
          </cell>
        </row>
        <row r="234">
          <cell r="H234" t="str">
            <v>Cao Văn Tuấn</v>
          </cell>
          <cell r="I234">
            <v>0</v>
          </cell>
          <cell r="J234">
            <v>23</v>
          </cell>
          <cell r="M234">
            <v>0</v>
          </cell>
        </row>
        <row r="235">
          <cell r="H235" t="str">
            <v>Trần Nam Anh</v>
          </cell>
          <cell r="I235">
            <v>0</v>
          </cell>
          <cell r="J235">
            <v>23</v>
          </cell>
          <cell r="M235">
            <v>0</v>
          </cell>
        </row>
        <row r="236">
          <cell r="H236" t="str">
            <v>Trần Giang Nam</v>
          </cell>
          <cell r="I236">
            <v>0</v>
          </cell>
          <cell r="J236">
            <v>23</v>
          </cell>
          <cell r="M236">
            <v>0</v>
          </cell>
        </row>
        <row r="237">
          <cell r="H237" t="str">
            <v>Phan Thanh Hoàng</v>
          </cell>
          <cell r="I237">
            <v>0</v>
          </cell>
          <cell r="J237">
            <v>23</v>
          </cell>
          <cell r="M237">
            <v>0</v>
          </cell>
        </row>
        <row r="238">
          <cell r="H238" t="str">
            <v>Huỳnh Duy An</v>
          </cell>
          <cell r="I238">
            <v>0</v>
          </cell>
          <cell r="J238">
            <v>23</v>
          </cell>
          <cell r="M238">
            <v>0</v>
          </cell>
        </row>
        <row r="239">
          <cell r="H239" t="str">
            <v>Nguyễn Khương Thành</v>
          </cell>
          <cell r="I239">
            <v>0</v>
          </cell>
          <cell r="J239">
            <v>23</v>
          </cell>
          <cell r="M239">
            <v>0</v>
          </cell>
        </row>
        <row r="240">
          <cell r="H240" t="str">
            <v>Nguyễn Anh Tuấn</v>
          </cell>
          <cell r="I240" t="str">
            <v>Khoa Động Lực</v>
          </cell>
          <cell r="J240">
            <v>23</v>
          </cell>
          <cell r="M240">
            <v>0</v>
          </cell>
        </row>
        <row r="241">
          <cell r="H241" t="str">
            <v>Võ Đắc Thịnh</v>
          </cell>
          <cell r="I241">
            <v>0</v>
          </cell>
          <cell r="J241">
            <v>23</v>
          </cell>
          <cell r="M241">
            <v>0</v>
          </cell>
        </row>
        <row r="242">
          <cell r="H242" t="str">
            <v>Nguyễn Hữu Mạnh</v>
          </cell>
          <cell r="I242">
            <v>0</v>
          </cell>
          <cell r="J242">
            <v>23</v>
          </cell>
          <cell r="M242">
            <v>0</v>
          </cell>
        </row>
        <row r="243">
          <cell r="H243" t="str">
            <v>Phan Anh Tuấn Kiệt</v>
          </cell>
          <cell r="I243">
            <v>0</v>
          </cell>
          <cell r="J243">
            <v>23</v>
          </cell>
          <cell r="M243">
            <v>0</v>
          </cell>
        </row>
        <row r="244">
          <cell r="H244" t="str">
            <v>Triệu Phú Nguyên</v>
          </cell>
          <cell r="I244">
            <v>0</v>
          </cell>
          <cell r="J244">
            <v>23</v>
          </cell>
          <cell r="M244">
            <v>0</v>
          </cell>
        </row>
        <row r="245">
          <cell r="H245" t="str">
            <v>Nguyễn Thành Đức</v>
          </cell>
          <cell r="I245">
            <v>0</v>
          </cell>
          <cell r="J245">
            <v>23</v>
          </cell>
          <cell r="M245">
            <v>0</v>
          </cell>
        </row>
        <row r="246">
          <cell r="H246" t="str">
            <v>Nguyễn Minh Thái</v>
          </cell>
          <cell r="I246">
            <v>0</v>
          </cell>
          <cell r="J246">
            <v>23</v>
          </cell>
          <cell r="M246">
            <v>0</v>
          </cell>
        </row>
        <row r="247">
          <cell r="H247" t="str">
            <v>Đặng Thái Sơn</v>
          </cell>
          <cell r="I247">
            <v>0</v>
          </cell>
          <cell r="J247">
            <v>23</v>
          </cell>
          <cell r="M247">
            <v>0</v>
          </cell>
        </row>
        <row r="248">
          <cell r="H248" t="str">
            <v>Nguyễn Thái Bình</v>
          </cell>
          <cell r="I248">
            <v>0</v>
          </cell>
          <cell r="J248">
            <v>23</v>
          </cell>
          <cell r="M248">
            <v>0</v>
          </cell>
        </row>
        <row r="249">
          <cell r="H249" t="str">
            <v>Kiều Trung Tín</v>
          </cell>
          <cell r="I249">
            <v>0</v>
          </cell>
          <cell r="J249">
            <v>23</v>
          </cell>
          <cell r="M249">
            <v>0</v>
          </cell>
        </row>
        <row r="250">
          <cell r="H250" t="str">
            <v>Trần Quốc Duy</v>
          </cell>
          <cell r="I250">
            <v>0</v>
          </cell>
          <cell r="J250">
            <v>23</v>
          </cell>
          <cell r="M250">
            <v>0</v>
          </cell>
        </row>
        <row r="251">
          <cell r="H251" t="str">
            <v>Hồ Văn Hóa</v>
          </cell>
          <cell r="I251">
            <v>0</v>
          </cell>
          <cell r="J251">
            <v>23</v>
          </cell>
          <cell r="M251">
            <v>0</v>
          </cell>
        </row>
        <row r="252">
          <cell r="H252" t="str">
            <v>Nguyễn Thanh Hùng</v>
          </cell>
          <cell r="I252">
            <v>0</v>
          </cell>
          <cell r="J252">
            <v>23</v>
          </cell>
          <cell r="M252">
            <v>0</v>
          </cell>
        </row>
        <row r="253">
          <cell r="H253" t="str">
            <v>Hà Quốc Bảo</v>
          </cell>
          <cell r="I253">
            <v>0</v>
          </cell>
          <cell r="J253">
            <v>23</v>
          </cell>
          <cell r="M253">
            <v>0</v>
          </cell>
        </row>
        <row r="254">
          <cell r="H254" t="str">
            <v>Hoàng Phúc Bảo</v>
          </cell>
          <cell r="I254">
            <v>0</v>
          </cell>
          <cell r="J254">
            <v>23</v>
          </cell>
          <cell r="M254">
            <v>0</v>
          </cell>
        </row>
        <row r="255">
          <cell r="H255" t="str">
            <v>Nguyễn Lương Tâm</v>
          </cell>
          <cell r="I255">
            <v>0</v>
          </cell>
          <cell r="J255">
            <v>23</v>
          </cell>
          <cell r="M255">
            <v>0</v>
          </cell>
        </row>
        <row r="256">
          <cell r="H256" t="str">
            <v>Trần Thế Sơn</v>
          </cell>
          <cell r="I256">
            <v>0</v>
          </cell>
          <cell r="J256">
            <v>23</v>
          </cell>
          <cell r="M256">
            <v>0</v>
          </cell>
        </row>
        <row r="257">
          <cell r="H257" t="str">
            <v>Trần Văn Đông</v>
          </cell>
          <cell r="I257">
            <v>0</v>
          </cell>
          <cell r="J257">
            <v>23</v>
          </cell>
          <cell r="M257">
            <v>0</v>
          </cell>
        </row>
        <row r="258">
          <cell r="H258" t="str">
            <v>Lý Văn Trung</v>
          </cell>
          <cell r="I258">
            <v>0</v>
          </cell>
          <cell r="J258">
            <v>23</v>
          </cell>
          <cell r="M258">
            <v>0</v>
          </cell>
        </row>
        <row r="259">
          <cell r="H259" t="str">
            <v>Nguyễn Hoàng Vinh</v>
          </cell>
          <cell r="I259">
            <v>0</v>
          </cell>
          <cell r="J259">
            <v>23</v>
          </cell>
          <cell r="M259">
            <v>0</v>
          </cell>
        </row>
        <row r="260">
          <cell r="H260" t="str">
            <v>Bùi Trọng Tân</v>
          </cell>
          <cell r="I260">
            <v>0</v>
          </cell>
          <cell r="J260">
            <v>23</v>
          </cell>
          <cell r="M260">
            <v>0</v>
          </cell>
        </row>
        <row r="261">
          <cell r="H261" t="str">
            <v>Giang Văn Tiến</v>
          </cell>
          <cell r="I261">
            <v>0</v>
          </cell>
          <cell r="J261">
            <v>23</v>
          </cell>
          <cell r="M261">
            <v>0</v>
          </cell>
        </row>
        <row r="262">
          <cell r="H262" t="str">
            <v>Nguyễn Hữu Lương</v>
          </cell>
          <cell r="I262">
            <v>0</v>
          </cell>
          <cell r="J262">
            <v>23</v>
          </cell>
          <cell r="M262">
            <v>0</v>
          </cell>
        </row>
        <row r="263">
          <cell r="H263" t="str">
            <v>Huỳnh Đình Văn</v>
          </cell>
          <cell r="I263">
            <v>0</v>
          </cell>
          <cell r="J263">
            <v>23</v>
          </cell>
          <cell r="M263">
            <v>0</v>
          </cell>
        </row>
        <row r="264">
          <cell r="H264" t="str">
            <v>Phạm Quang Vũ</v>
          </cell>
          <cell r="I264" t="str">
            <v>Khoa Xây dựng - Nhiệt lạnh</v>
          </cell>
          <cell r="J264">
            <v>23</v>
          </cell>
          <cell r="M264">
            <v>0</v>
          </cell>
        </row>
        <row r="265">
          <cell r="H265" t="str">
            <v>Trình Minh Phong</v>
          </cell>
          <cell r="I265">
            <v>0</v>
          </cell>
          <cell r="J265">
            <v>23</v>
          </cell>
          <cell r="M265">
            <v>0</v>
          </cell>
        </row>
        <row r="266">
          <cell r="H266" t="str">
            <v>Trần Ngọc Tuấn</v>
          </cell>
          <cell r="I266">
            <v>0</v>
          </cell>
          <cell r="J266">
            <v>23</v>
          </cell>
          <cell r="M266">
            <v>0</v>
          </cell>
        </row>
        <row r="267">
          <cell r="H267" t="str">
            <v>Đinh Đồng Hiệp</v>
          </cell>
          <cell r="I267">
            <v>0</v>
          </cell>
          <cell r="J267">
            <v>23</v>
          </cell>
          <cell r="M267">
            <v>0</v>
          </cell>
        </row>
        <row r="268">
          <cell r="H268" t="str">
            <v>Đặng Thế Huân</v>
          </cell>
          <cell r="I268">
            <v>0</v>
          </cell>
          <cell r="J268">
            <v>23</v>
          </cell>
          <cell r="M268">
            <v>0</v>
          </cell>
        </row>
        <row r="269">
          <cell r="H269" t="str">
            <v>Võ Anh Hào</v>
          </cell>
          <cell r="I269">
            <v>0</v>
          </cell>
          <cell r="J269">
            <v>23</v>
          </cell>
          <cell r="M269">
            <v>0</v>
          </cell>
        </row>
        <row r="270">
          <cell r="H270" t="str">
            <v>Phan Văn Hòa</v>
          </cell>
          <cell r="I270">
            <v>0</v>
          </cell>
          <cell r="J270">
            <v>23</v>
          </cell>
          <cell r="M270">
            <v>0</v>
          </cell>
        </row>
        <row r="271">
          <cell r="H271" t="str">
            <v>Trần Đình Khoa</v>
          </cell>
          <cell r="I271">
            <v>0</v>
          </cell>
          <cell r="J271">
            <v>23</v>
          </cell>
          <cell r="M271">
            <v>0</v>
          </cell>
        </row>
        <row r="272">
          <cell r="H272" t="str">
            <v>Đỗ Trọng Quý</v>
          </cell>
          <cell r="I272">
            <v>0</v>
          </cell>
          <cell r="J272">
            <v>23</v>
          </cell>
          <cell r="M272">
            <v>0</v>
          </cell>
        </row>
        <row r="273">
          <cell r="H273" t="str">
            <v>Nguyễn Vũ Xuân Thì</v>
          </cell>
          <cell r="I273">
            <v>0</v>
          </cell>
          <cell r="J273">
            <v>23</v>
          </cell>
          <cell r="M273">
            <v>0</v>
          </cell>
        </row>
        <row r="274">
          <cell r="H274" t="str">
            <v>Hoàng Văn Viết</v>
          </cell>
          <cell r="I274">
            <v>0</v>
          </cell>
          <cell r="J274">
            <v>23</v>
          </cell>
          <cell r="M274">
            <v>0</v>
          </cell>
        </row>
        <row r="275">
          <cell r="H275" t="str">
            <v>Nguyễn Thanh Dũng</v>
          </cell>
          <cell r="I275">
            <v>0</v>
          </cell>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v>0</v>
          </cell>
          <cell r="J14">
            <v>24</v>
          </cell>
          <cell r="M14">
            <v>0</v>
          </cell>
        </row>
        <row r="15">
          <cell r="H15" t="str">
            <v>Huỳnh Thị Minh Ly</v>
          </cell>
          <cell r="I15" t="str">
            <v xml:space="preserve"> </v>
          </cell>
          <cell r="J15">
            <v>27</v>
          </cell>
          <cell r="M15">
            <v>0</v>
          </cell>
        </row>
        <row r="16">
          <cell r="H16" t="str">
            <v>Nguyễn Văn Chì</v>
          </cell>
          <cell r="I16">
            <v>0</v>
          </cell>
          <cell r="J16">
            <v>21.5</v>
          </cell>
          <cell r="M16">
            <v>0</v>
          </cell>
        </row>
        <row r="17">
          <cell r="H17" t="str">
            <v>Nguyễn Thị Vân</v>
          </cell>
          <cell r="I17">
            <v>0</v>
          </cell>
          <cell r="J17">
            <v>24</v>
          </cell>
          <cell r="M17">
            <v>0</v>
          </cell>
        </row>
        <row r="18">
          <cell r="H18" t="str">
            <v>Phan Thị Ngọc Phượng</v>
          </cell>
          <cell r="I18">
            <v>0</v>
          </cell>
          <cell r="J18">
            <v>23</v>
          </cell>
          <cell r="M18">
            <v>0</v>
          </cell>
        </row>
        <row r="19">
          <cell r="H19" t="str">
            <v>Trần Thị Ánh Phượng</v>
          </cell>
          <cell r="I19">
            <v>0</v>
          </cell>
          <cell r="J19">
            <v>22.5</v>
          </cell>
          <cell r="M19">
            <v>0</v>
          </cell>
        </row>
        <row r="20">
          <cell r="H20" t="str">
            <v>Thân Thị Nhung</v>
          </cell>
          <cell r="I20">
            <v>0</v>
          </cell>
          <cell r="J20">
            <v>22</v>
          </cell>
          <cell r="M20">
            <v>0</v>
          </cell>
        </row>
        <row r="21">
          <cell r="H21" t="str">
            <v>Trần Thị Phương Oanh</v>
          </cell>
          <cell r="I21">
            <v>0</v>
          </cell>
          <cell r="J21">
            <v>22.5</v>
          </cell>
          <cell r="M21">
            <v>0</v>
          </cell>
        </row>
        <row r="22">
          <cell r="H22" t="str">
            <v>Vũ Như Quỳnh</v>
          </cell>
          <cell r="I22">
            <v>0</v>
          </cell>
          <cell r="J22">
            <v>24</v>
          </cell>
          <cell r="M22">
            <v>0</v>
          </cell>
        </row>
        <row r="23">
          <cell r="H23" t="str">
            <v>Nguyễn Thị Bích Liễu</v>
          </cell>
          <cell r="I23">
            <v>0</v>
          </cell>
          <cell r="J23">
            <v>24</v>
          </cell>
          <cell r="M23">
            <v>0</v>
          </cell>
        </row>
        <row r="24">
          <cell r="H24" t="str">
            <v>Lê Văn Bình</v>
          </cell>
          <cell r="I24">
            <v>0</v>
          </cell>
          <cell r="J24">
            <v>21</v>
          </cell>
          <cell r="M24">
            <v>0</v>
          </cell>
        </row>
        <row r="25">
          <cell r="H25" t="str">
            <v>Lê Quang Liêm</v>
          </cell>
          <cell r="I25" t="str">
            <v>Phòng QT - DV</v>
          </cell>
          <cell r="J25">
            <v>27</v>
          </cell>
          <cell r="M25">
            <v>0</v>
          </cell>
        </row>
        <row r="26">
          <cell r="H26" t="str">
            <v>Nguyễn Văn Thành</v>
          </cell>
          <cell r="I26">
            <v>0</v>
          </cell>
          <cell r="J26">
            <v>22</v>
          </cell>
          <cell r="M26">
            <v>0</v>
          </cell>
        </row>
        <row r="27">
          <cell r="H27" t="str">
            <v>Phan Đức Long</v>
          </cell>
          <cell r="I27">
            <v>0</v>
          </cell>
          <cell r="J27">
            <v>26</v>
          </cell>
          <cell r="M27">
            <v>0</v>
          </cell>
        </row>
        <row r="28">
          <cell r="H28" t="str">
            <v>Ninh Đỗ Hiệp</v>
          </cell>
          <cell r="I28">
            <v>0</v>
          </cell>
          <cell r="J28">
            <v>3</v>
          </cell>
          <cell r="M28" t="str">
            <v>Nghỉ bệnh hưởng chế độ BHXH từ ngày 3/11 đến hết 27/11</v>
          </cell>
        </row>
        <row r="29">
          <cell r="H29" t="str">
            <v>Nguyễn Trọng Phú</v>
          </cell>
          <cell r="I29">
            <v>0</v>
          </cell>
          <cell r="J29">
            <v>21</v>
          </cell>
          <cell r="M29">
            <v>0</v>
          </cell>
        </row>
        <row r="30">
          <cell r="H30" t="str">
            <v>Lê Hồng Anh Tuấn</v>
          </cell>
          <cell r="I30">
            <v>0</v>
          </cell>
          <cell r="J30">
            <v>22</v>
          </cell>
          <cell r="M30">
            <v>0</v>
          </cell>
        </row>
        <row r="31">
          <cell r="H31" t="str">
            <v>Giáp Văn Thịnh</v>
          </cell>
          <cell r="I31">
            <v>0</v>
          </cell>
          <cell r="J31">
            <v>21</v>
          </cell>
          <cell r="M31">
            <v>0</v>
          </cell>
        </row>
        <row r="32">
          <cell r="H32" t="str">
            <v>Vũ Ngọc Quang</v>
          </cell>
          <cell r="I32">
            <v>0</v>
          </cell>
          <cell r="J32">
            <v>22</v>
          </cell>
          <cell r="M32">
            <v>0</v>
          </cell>
        </row>
        <row r="33">
          <cell r="H33" t="str">
            <v>Bùi Thị Dương</v>
          </cell>
          <cell r="I33">
            <v>0</v>
          </cell>
          <cell r="J33">
            <v>26</v>
          </cell>
          <cell r="M33">
            <v>0</v>
          </cell>
        </row>
        <row r="34">
          <cell r="H34" t="str">
            <v>Phan Hữu Tước</v>
          </cell>
          <cell r="I34">
            <v>0</v>
          </cell>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v>0</v>
          </cell>
          <cell r="J36">
            <v>25</v>
          </cell>
          <cell r="M36">
            <v>0</v>
          </cell>
        </row>
        <row r="37">
          <cell r="H37" t="str">
            <v>Nguyễn Kính</v>
          </cell>
          <cell r="I37" t="str">
            <v xml:space="preserve">Phòng KH - TC </v>
          </cell>
          <cell r="J37">
            <v>28</v>
          </cell>
          <cell r="M37">
            <v>0</v>
          </cell>
        </row>
        <row r="38">
          <cell r="H38" t="str">
            <v>Võ Thị Lệ Trân</v>
          </cell>
          <cell r="I38">
            <v>0</v>
          </cell>
          <cell r="J38">
            <v>26</v>
          </cell>
          <cell r="M38">
            <v>0</v>
          </cell>
        </row>
        <row r="39">
          <cell r="H39" t="str">
            <v>Trần Thị Minh Thoa</v>
          </cell>
          <cell r="I39">
            <v>0</v>
          </cell>
          <cell r="J39">
            <v>26</v>
          </cell>
          <cell r="M39">
            <v>0</v>
          </cell>
        </row>
        <row r="40">
          <cell r="H40" t="str">
            <v>Hồng Mộng Tuyết Dung</v>
          </cell>
          <cell r="I40">
            <v>0</v>
          </cell>
          <cell r="J40">
            <v>25</v>
          </cell>
          <cell r="M40">
            <v>0</v>
          </cell>
        </row>
        <row r="41">
          <cell r="H41" t="str">
            <v>Nguyễn Thị Hồng Thắm</v>
          </cell>
          <cell r="I41">
            <v>0</v>
          </cell>
          <cell r="J41">
            <v>25</v>
          </cell>
          <cell r="M41">
            <v>0</v>
          </cell>
        </row>
        <row r="42">
          <cell r="H42" t="str">
            <v>Nguyễn Văn Chiến</v>
          </cell>
          <cell r="I42" t="str">
            <v>Phòng Thanh tra GD - QHDN</v>
          </cell>
          <cell r="J42">
            <v>26</v>
          </cell>
          <cell r="M42">
            <v>0</v>
          </cell>
        </row>
        <row r="43">
          <cell r="H43" t="str">
            <v>Lê Xuân Thiện</v>
          </cell>
          <cell r="I43">
            <v>0</v>
          </cell>
          <cell r="J43">
            <v>23</v>
          </cell>
          <cell r="M43">
            <v>0</v>
          </cell>
        </row>
        <row r="44">
          <cell r="H44" t="str">
            <v>Nguyễn Tất Thắng</v>
          </cell>
          <cell r="I44">
            <v>0</v>
          </cell>
          <cell r="J44">
            <v>23</v>
          </cell>
          <cell r="M44">
            <v>0</v>
          </cell>
        </row>
        <row r="45">
          <cell r="H45" t="str">
            <v>Trần Thị Thu Hà</v>
          </cell>
          <cell r="I45">
            <v>0</v>
          </cell>
          <cell r="J45">
            <v>22</v>
          </cell>
          <cell r="M45">
            <v>0</v>
          </cell>
        </row>
        <row r="46">
          <cell r="H46" t="str">
            <v>Phạm Thị Lê Chi</v>
          </cell>
          <cell r="I46">
            <v>0</v>
          </cell>
          <cell r="J46">
            <v>23</v>
          </cell>
          <cell r="M46">
            <v>0</v>
          </cell>
        </row>
        <row r="47">
          <cell r="H47" t="str">
            <v>Nguyễn Thùy Dương</v>
          </cell>
          <cell r="I47">
            <v>0</v>
          </cell>
          <cell r="J47">
            <v>22</v>
          </cell>
          <cell r="M47">
            <v>0</v>
          </cell>
        </row>
        <row r="48">
          <cell r="H48" t="str">
            <v>Nguyễn Thị Kim Anh</v>
          </cell>
          <cell r="I48">
            <v>0</v>
          </cell>
          <cell r="J48">
            <v>24</v>
          </cell>
          <cell r="M48">
            <v>0</v>
          </cell>
        </row>
        <row r="49">
          <cell r="H49" t="str">
            <v>Mai Thu Hương</v>
          </cell>
          <cell r="I49">
            <v>0</v>
          </cell>
          <cell r="J49">
            <v>22</v>
          </cell>
          <cell r="M49">
            <v>0</v>
          </cell>
        </row>
        <row r="50">
          <cell r="H50" t="str">
            <v>Nguyễn Phương Hà</v>
          </cell>
          <cell r="I50">
            <v>0</v>
          </cell>
          <cell r="J50">
            <v>22</v>
          </cell>
          <cell r="M50">
            <v>0</v>
          </cell>
        </row>
        <row r="51">
          <cell r="H51" t="str">
            <v>Nguyễn Thành Nam</v>
          </cell>
          <cell r="I51" t="str">
            <v>Phòng TS-ĐT</v>
          </cell>
          <cell r="J51">
            <v>23</v>
          </cell>
          <cell r="M51">
            <v>0</v>
          </cell>
        </row>
        <row r="52">
          <cell r="H52" t="str">
            <v>Quách Minh Thử</v>
          </cell>
          <cell r="I52">
            <v>0</v>
          </cell>
          <cell r="J52">
            <v>21.5</v>
          </cell>
          <cell r="M52">
            <v>0</v>
          </cell>
        </row>
        <row r="53">
          <cell r="H53" t="str">
            <v>Võ Thị Xuân Thơ</v>
          </cell>
          <cell r="I53">
            <v>0</v>
          </cell>
          <cell r="J53">
            <v>23.5</v>
          </cell>
          <cell r="M53">
            <v>0</v>
          </cell>
        </row>
        <row r="54">
          <cell r="H54" t="str">
            <v>Nguyễn Thị Hải Hà</v>
          </cell>
          <cell r="I54">
            <v>0</v>
          </cell>
          <cell r="J54">
            <v>22.5</v>
          </cell>
          <cell r="M54">
            <v>0</v>
          </cell>
        </row>
        <row r="55">
          <cell r="H55" t="str">
            <v>Nguyễn Thị Thanh Thảo</v>
          </cell>
          <cell r="I55">
            <v>0</v>
          </cell>
          <cell r="J55">
            <v>22</v>
          </cell>
          <cell r="M55">
            <v>0</v>
          </cell>
        </row>
        <row r="56">
          <cell r="H56" t="str">
            <v>Thái Thị My Sa</v>
          </cell>
          <cell r="I56">
            <v>0</v>
          </cell>
          <cell r="J56">
            <v>23</v>
          </cell>
          <cell r="M56">
            <v>0</v>
          </cell>
        </row>
        <row r="57">
          <cell r="H57" t="str">
            <v>Giáp Thị Vượng</v>
          </cell>
          <cell r="I57">
            <v>0</v>
          </cell>
          <cell r="J57">
            <v>22.5</v>
          </cell>
          <cell r="M57">
            <v>0</v>
          </cell>
        </row>
        <row r="58">
          <cell r="H58" t="str">
            <v>Huỳnh Thị Cẩm Hoa</v>
          </cell>
          <cell r="I58">
            <v>0</v>
          </cell>
          <cell r="J58">
            <v>21</v>
          </cell>
          <cell r="M58">
            <v>0</v>
          </cell>
        </row>
        <row r="59">
          <cell r="H59" t="str">
            <v>Nguyễn Thị Thùy</v>
          </cell>
          <cell r="I59">
            <v>0</v>
          </cell>
          <cell r="J59">
            <v>22.5</v>
          </cell>
          <cell r="M59">
            <v>0</v>
          </cell>
        </row>
        <row r="60">
          <cell r="H60" t="str">
            <v>Nguyễn Thị Ngọc Anh</v>
          </cell>
          <cell r="I60">
            <v>0</v>
          </cell>
          <cell r="J60">
            <v>22</v>
          </cell>
          <cell r="M60">
            <v>0</v>
          </cell>
        </row>
        <row r="61">
          <cell r="H61" t="str">
            <v>Trịnh Khắc Vũ</v>
          </cell>
          <cell r="I61">
            <v>0</v>
          </cell>
          <cell r="J61">
            <v>21.5</v>
          </cell>
          <cell r="M61">
            <v>0</v>
          </cell>
        </row>
        <row r="62">
          <cell r="H62" t="str">
            <v>Lê Minh Phong</v>
          </cell>
          <cell r="I62">
            <v>0</v>
          </cell>
          <cell r="J62">
            <v>21.5</v>
          </cell>
          <cell r="M62">
            <v>0</v>
          </cell>
        </row>
        <row r="63">
          <cell r="H63" t="str">
            <v>Nguyễn Chí Nhân</v>
          </cell>
          <cell r="I63" t="str">
            <v>Phòng Khảo thí và ĐBCL</v>
          </cell>
          <cell r="J63">
            <v>22</v>
          </cell>
          <cell r="M63">
            <v>0</v>
          </cell>
        </row>
        <row r="64">
          <cell r="H64" t="str">
            <v>Nguyễn Thị Kim Dung</v>
          </cell>
          <cell r="I64">
            <v>0</v>
          </cell>
          <cell r="J64">
            <v>24</v>
          </cell>
          <cell r="M64">
            <v>0</v>
          </cell>
        </row>
        <row r="65">
          <cell r="H65" t="str">
            <v>Lương Minh Dũng</v>
          </cell>
          <cell r="I65">
            <v>0</v>
          </cell>
          <cell r="J65">
            <v>23</v>
          </cell>
          <cell r="M65">
            <v>0</v>
          </cell>
        </row>
        <row r="66">
          <cell r="H66" t="str">
            <v>Nguyễn Thị Tuyết</v>
          </cell>
          <cell r="I66">
            <v>0</v>
          </cell>
          <cell r="J66">
            <v>23</v>
          </cell>
          <cell r="M66">
            <v>0</v>
          </cell>
        </row>
        <row r="67">
          <cell r="H67" t="str">
            <v>Vũ Thị Thu Thủy</v>
          </cell>
          <cell r="I67">
            <v>0</v>
          </cell>
          <cell r="J67">
            <v>23</v>
          </cell>
          <cell r="M67">
            <v>0</v>
          </cell>
        </row>
        <row r="68">
          <cell r="H68" t="str">
            <v>Mai Nguyễn Hoàng Yến</v>
          </cell>
          <cell r="I68">
            <v>0</v>
          </cell>
          <cell r="J68">
            <v>23</v>
          </cell>
          <cell r="M68">
            <v>0</v>
          </cell>
        </row>
        <row r="69">
          <cell r="H69" t="str">
            <v>Nguyễn Thị Huyền Nga</v>
          </cell>
          <cell r="I69">
            <v>0</v>
          </cell>
          <cell r="J69">
            <v>21</v>
          </cell>
          <cell r="M69">
            <v>0</v>
          </cell>
        </row>
        <row r="70">
          <cell r="H70" t="str">
            <v>Nguyễn Trọng Nghĩa</v>
          </cell>
          <cell r="I70" t="str">
            <v>Phòng KHCN &amp; QHQT</v>
          </cell>
          <cell r="J70">
            <v>20</v>
          </cell>
          <cell r="M70">
            <v>0</v>
          </cell>
        </row>
        <row r="71">
          <cell r="H71" t="str">
            <v>Lê Thị Hải Đăng</v>
          </cell>
          <cell r="I71">
            <v>0</v>
          </cell>
          <cell r="J71">
            <v>20</v>
          </cell>
          <cell r="M71">
            <v>0</v>
          </cell>
        </row>
        <row r="72">
          <cell r="H72" t="str">
            <v>Nguyễn Hữu Thiện</v>
          </cell>
          <cell r="I72" t="str">
            <v>TT. Điều hành &amp; QLDL</v>
          </cell>
          <cell r="J72">
            <v>26</v>
          </cell>
          <cell r="M72">
            <v>0</v>
          </cell>
        </row>
        <row r="73">
          <cell r="H73" t="str">
            <v>Vương Hội Khánh</v>
          </cell>
          <cell r="I73">
            <v>0</v>
          </cell>
          <cell r="J73">
            <v>23</v>
          </cell>
          <cell r="M73">
            <v>0</v>
          </cell>
        </row>
        <row r="74">
          <cell r="H74" t="str">
            <v>Trương Hữu Lộc</v>
          </cell>
          <cell r="I74">
            <v>0</v>
          </cell>
          <cell r="J74">
            <v>24</v>
          </cell>
          <cell r="M74">
            <v>0</v>
          </cell>
        </row>
        <row r="75">
          <cell r="H75" t="str">
            <v>Trương Thị Hồng</v>
          </cell>
          <cell r="I75">
            <v>0</v>
          </cell>
          <cell r="J75">
            <v>25</v>
          </cell>
          <cell r="M75">
            <v>0</v>
          </cell>
        </row>
        <row r="76">
          <cell r="H76" t="str">
            <v>Lương Xuân Thịnh</v>
          </cell>
          <cell r="I76" t="str">
            <v>TT Đào tạo và QLTB</v>
          </cell>
          <cell r="J76">
            <v>30</v>
          </cell>
          <cell r="M76">
            <v>0</v>
          </cell>
        </row>
        <row r="77">
          <cell r="H77" t="str">
            <v>Nguyễn Cao Thắng</v>
          </cell>
          <cell r="I77">
            <v>0</v>
          </cell>
          <cell r="J77">
            <v>30</v>
          </cell>
          <cell r="M77">
            <v>0</v>
          </cell>
        </row>
        <row r="78">
          <cell r="H78" t="str">
            <v>Đỗ Thị Tâm</v>
          </cell>
          <cell r="I78">
            <v>0</v>
          </cell>
          <cell r="J78">
            <v>26</v>
          </cell>
          <cell r="M78">
            <v>0</v>
          </cell>
        </row>
        <row r="79">
          <cell r="H79" t="str">
            <v>Nguyễn Tiến Việt Dũng</v>
          </cell>
          <cell r="I79">
            <v>0</v>
          </cell>
          <cell r="J79">
            <v>23</v>
          </cell>
          <cell r="M79">
            <v>0</v>
          </cell>
        </row>
        <row r="80">
          <cell r="H80" t="str">
            <v>Bùi Đặng Hoàng Tuấn</v>
          </cell>
          <cell r="I80">
            <v>0</v>
          </cell>
          <cell r="J80">
            <v>18</v>
          </cell>
          <cell r="M80" t="str">
            <v>Trừ 4 ngày nghỉ chế độ vợ sinh từ ngày 12 đến 15/11</v>
          </cell>
        </row>
        <row r="81">
          <cell r="H81" t="str">
            <v>Võ Tấn Kiệt</v>
          </cell>
          <cell r="I81">
            <v>0</v>
          </cell>
          <cell r="J81">
            <v>23</v>
          </cell>
          <cell r="M81">
            <v>0</v>
          </cell>
        </row>
        <row r="82">
          <cell r="H82" t="str">
            <v>Hồ Ngọc Chi</v>
          </cell>
          <cell r="I82" t="str">
            <v>TT. Thư viện</v>
          </cell>
          <cell r="J82">
            <v>19</v>
          </cell>
          <cell r="M82" t="str">
            <v>Trừ 1 ngày nghỉ phép 19/11</v>
          </cell>
        </row>
        <row r="83">
          <cell r="H83" t="str">
            <v>Nguyễn Tứ Cảnh</v>
          </cell>
          <cell r="I83">
            <v>0</v>
          </cell>
          <cell r="J83">
            <v>20</v>
          </cell>
          <cell r="M83">
            <v>0</v>
          </cell>
        </row>
        <row r="84">
          <cell r="H84" t="str">
            <v>Đặng Thu Hà</v>
          </cell>
          <cell r="I84">
            <v>0</v>
          </cell>
          <cell r="J84">
            <v>20</v>
          </cell>
          <cell r="M84">
            <v>0</v>
          </cell>
        </row>
        <row r="85">
          <cell r="H85" t="str">
            <v>Trần Thị Diễm Thúy</v>
          </cell>
          <cell r="I85">
            <v>0</v>
          </cell>
          <cell r="J85">
            <v>20</v>
          </cell>
          <cell r="M85">
            <v>0</v>
          </cell>
        </row>
        <row r="86">
          <cell r="H86" t="str">
            <v>Trịnh Hoàng Hiệp</v>
          </cell>
          <cell r="I86" t="str">
            <v>Khoa Kinh tế</v>
          </cell>
          <cell r="J86">
            <v>20</v>
          </cell>
          <cell r="M86">
            <v>0</v>
          </cell>
        </row>
        <row r="87">
          <cell r="H87" t="str">
            <v>Phạm Quỳnh Như</v>
          </cell>
          <cell r="I87">
            <v>0</v>
          </cell>
          <cell r="J87">
            <v>20</v>
          </cell>
          <cell r="M87">
            <v>0</v>
          </cell>
        </row>
        <row r="88">
          <cell r="H88" t="str">
            <v>Lê Thị Thu Thảo</v>
          </cell>
          <cell r="I88">
            <v>0</v>
          </cell>
          <cell r="J88">
            <v>20</v>
          </cell>
          <cell r="M88">
            <v>0</v>
          </cell>
        </row>
        <row r="89">
          <cell r="H89" t="str">
            <v>Lưu Thị Thúy</v>
          </cell>
          <cell r="I89">
            <v>0</v>
          </cell>
          <cell r="J89">
            <v>20</v>
          </cell>
          <cell r="M89">
            <v>0</v>
          </cell>
        </row>
        <row r="90">
          <cell r="H90" t="str">
            <v>Nguyễn Thị Minh Thùy</v>
          </cell>
          <cell r="I90">
            <v>0</v>
          </cell>
          <cell r="J90">
            <v>25</v>
          </cell>
          <cell r="M90" t="str">
            <v>Hỗ trợ phòng KHTC</v>
          </cell>
        </row>
        <row r="91">
          <cell r="H91" t="str">
            <v>Nguyễn Mỹ Tiên</v>
          </cell>
          <cell r="I91">
            <v>0</v>
          </cell>
          <cell r="J91">
            <v>20</v>
          </cell>
          <cell r="M91">
            <v>0</v>
          </cell>
        </row>
        <row r="92">
          <cell r="H92" t="str">
            <v>Trần Thị Ngọc Dung</v>
          </cell>
          <cell r="I92">
            <v>0</v>
          </cell>
          <cell r="J92">
            <v>20</v>
          </cell>
          <cell r="M92">
            <v>0</v>
          </cell>
        </row>
        <row r="93">
          <cell r="H93" t="str">
            <v>Cao Xuân Giang</v>
          </cell>
          <cell r="I93">
            <v>0</v>
          </cell>
          <cell r="J93">
            <v>20</v>
          </cell>
          <cell r="M93">
            <v>0</v>
          </cell>
        </row>
        <row r="94">
          <cell r="H94" t="str">
            <v>Lê Hồng Ngọc My</v>
          </cell>
          <cell r="I94">
            <v>0</v>
          </cell>
          <cell r="J94">
            <v>20</v>
          </cell>
          <cell r="M94">
            <v>0</v>
          </cell>
        </row>
        <row r="95">
          <cell r="H95" t="str">
            <v>Nguyễn Thị Thanh Hòa</v>
          </cell>
          <cell r="I95">
            <v>0</v>
          </cell>
          <cell r="J95">
            <v>20</v>
          </cell>
          <cell r="M95">
            <v>0</v>
          </cell>
        </row>
        <row r="96">
          <cell r="H96" t="str">
            <v>Huỳnh Kim Liên</v>
          </cell>
          <cell r="I96">
            <v>0</v>
          </cell>
          <cell r="J96">
            <v>20</v>
          </cell>
          <cell r="M96">
            <v>0</v>
          </cell>
        </row>
        <row r="97">
          <cell r="H97" t="str">
            <v>Nguyễn Huỳnh Lưu Phương</v>
          </cell>
          <cell r="I97">
            <v>0</v>
          </cell>
          <cell r="J97">
            <v>20</v>
          </cell>
          <cell r="M97" t="str">
            <v>Nghỉ không hưởng lương từ 01/9/2024 đến hết ngày 31/10/24</v>
          </cell>
        </row>
        <row r="98">
          <cell r="H98" t="str">
            <v>Nguyễn Thụy Nghiêm</v>
          </cell>
          <cell r="I98">
            <v>0</v>
          </cell>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v>0</v>
          </cell>
          <cell r="J100">
            <v>21</v>
          </cell>
          <cell r="M100">
            <v>0</v>
          </cell>
        </row>
        <row r="101">
          <cell r="H101" t="str">
            <v>Phạm Thị Thanh Thúy</v>
          </cell>
          <cell r="I101">
            <v>0</v>
          </cell>
          <cell r="J101">
            <v>22</v>
          </cell>
          <cell r="M101">
            <v>0</v>
          </cell>
        </row>
        <row r="102">
          <cell r="H102" t="str">
            <v>Đinh Thị Trâm</v>
          </cell>
          <cell r="I102">
            <v>0</v>
          </cell>
          <cell r="J102">
            <v>22</v>
          </cell>
          <cell r="M102">
            <v>0</v>
          </cell>
        </row>
        <row r="103">
          <cell r="H103" t="str">
            <v>Lê Thị Thúy Oanh</v>
          </cell>
          <cell r="I103">
            <v>0</v>
          </cell>
          <cell r="J103">
            <v>20</v>
          </cell>
          <cell r="M103">
            <v>0</v>
          </cell>
        </row>
        <row r="104">
          <cell r="H104" t="str">
            <v>Võ Thị Kim Thư</v>
          </cell>
          <cell r="I104">
            <v>0</v>
          </cell>
          <cell r="J104">
            <v>21</v>
          </cell>
          <cell r="M104">
            <v>0</v>
          </cell>
        </row>
        <row r="105">
          <cell r="H105" t="str">
            <v>Nguyễn Hoàng Thanh Ngân</v>
          </cell>
          <cell r="I105">
            <v>0</v>
          </cell>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v>0</v>
          </cell>
          <cell r="J107">
            <v>20</v>
          </cell>
          <cell r="M107">
            <v>0</v>
          </cell>
        </row>
        <row r="108">
          <cell r="H108" t="str">
            <v>Lâm Thị Phương Thùy</v>
          </cell>
          <cell r="I108">
            <v>0</v>
          </cell>
          <cell r="J108">
            <v>20</v>
          </cell>
          <cell r="M108">
            <v>0</v>
          </cell>
        </row>
        <row r="109">
          <cell r="H109" t="str">
            <v>Nguyễn Thị Hiền</v>
          </cell>
          <cell r="I109">
            <v>0</v>
          </cell>
          <cell r="J109">
            <v>20</v>
          </cell>
          <cell r="M109">
            <v>0</v>
          </cell>
        </row>
        <row r="110">
          <cell r="H110" t="str">
            <v>Chế Vân Cầm</v>
          </cell>
          <cell r="I110">
            <v>0</v>
          </cell>
          <cell r="J110">
            <v>0</v>
          </cell>
          <cell r="M110" t="str">
            <v>Nghỉ hộ sản hưởng chế độ BHXH từ 28/10/2023</v>
          </cell>
        </row>
        <row r="111">
          <cell r="H111" t="str">
            <v>Trần Hồng Thảo</v>
          </cell>
          <cell r="I111">
            <v>0</v>
          </cell>
          <cell r="J111">
            <v>20</v>
          </cell>
          <cell r="M111">
            <v>0</v>
          </cell>
        </row>
        <row r="112">
          <cell r="H112" t="str">
            <v>Lê Thị Phương Thảo</v>
          </cell>
          <cell r="I112">
            <v>0</v>
          </cell>
          <cell r="J112">
            <v>20</v>
          </cell>
          <cell r="M112">
            <v>0</v>
          </cell>
        </row>
        <row r="113">
          <cell r="H113" t="str">
            <v>Bùi Thị Ngọc Sương</v>
          </cell>
          <cell r="I113">
            <v>0</v>
          </cell>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v>0</v>
          </cell>
          <cell r="J116">
            <v>21</v>
          </cell>
          <cell r="M116">
            <v>0</v>
          </cell>
        </row>
        <row r="117">
          <cell r="H117" t="str">
            <v>Nguyễn Thanh Tú</v>
          </cell>
          <cell r="I117">
            <v>0</v>
          </cell>
          <cell r="J117">
            <v>21</v>
          </cell>
          <cell r="M117">
            <v>0</v>
          </cell>
        </row>
        <row r="118">
          <cell r="H118" t="str">
            <v>Trần Thị Ánh Tuyết</v>
          </cell>
          <cell r="I118">
            <v>0</v>
          </cell>
          <cell r="J118">
            <v>20</v>
          </cell>
          <cell r="M118">
            <v>0</v>
          </cell>
        </row>
        <row r="119">
          <cell r="H119" t="str">
            <v>Phạm Thị Thu Nga</v>
          </cell>
          <cell r="I119" t="str">
            <v>Tổ Toán</v>
          </cell>
          <cell r="J119">
            <v>21</v>
          </cell>
          <cell r="M119">
            <v>0</v>
          </cell>
        </row>
        <row r="120">
          <cell r="H120" t="str">
            <v>Nguyễn Thị Cẩm Thạch</v>
          </cell>
          <cell r="I120">
            <v>0</v>
          </cell>
          <cell r="J120">
            <v>21</v>
          </cell>
          <cell r="M120">
            <v>0</v>
          </cell>
        </row>
        <row r="121">
          <cell r="H121" t="str">
            <v>Hà Như Mai</v>
          </cell>
          <cell r="I121">
            <v>0</v>
          </cell>
          <cell r="J121">
            <v>21</v>
          </cell>
          <cell r="M121">
            <v>0</v>
          </cell>
        </row>
        <row r="122">
          <cell r="H122" t="str">
            <v>Nguyễn Thị Thủy</v>
          </cell>
          <cell r="I122">
            <v>0</v>
          </cell>
          <cell r="J122">
            <v>21</v>
          </cell>
          <cell r="M122">
            <v>0</v>
          </cell>
        </row>
        <row r="123">
          <cell r="H123" t="str">
            <v>Dương Đức Kiên</v>
          </cell>
          <cell r="I123">
            <v>0</v>
          </cell>
          <cell r="J123">
            <v>21</v>
          </cell>
          <cell r="M123">
            <v>0</v>
          </cell>
        </row>
        <row r="124">
          <cell r="H124" t="str">
            <v>Nguyễn Văn Hậu</v>
          </cell>
          <cell r="I124">
            <v>0</v>
          </cell>
          <cell r="J124">
            <v>21</v>
          </cell>
          <cell r="M124">
            <v>0</v>
          </cell>
        </row>
        <row r="125">
          <cell r="H125" t="str">
            <v>Lê Thái Hùng</v>
          </cell>
          <cell r="I125" t="str">
            <v xml:space="preserve">Tổ  Thể chất </v>
          </cell>
          <cell r="J125">
            <v>20</v>
          </cell>
          <cell r="M125">
            <v>0</v>
          </cell>
        </row>
        <row r="126">
          <cell r="H126" t="str">
            <v>Nguyễn Phú Tân</v>
          </cell>
          <cell r="I126">
            <v>0</v>
          </cell>
          <cell r="J126">
            <v>21</v>
          </cell>
          <cell r="M126">
            <v>0</v>
          </cell>
        </row>
        <row r="127">
          <cell r="H127" t="str">
            <v>Nguyễn Mạnh Phương</v>
          </cell>
          <cell r="I127">
            <v>0</v>
          </cell>
          <cell r="J127">
            <v>20</v>
          </cell>
          <cell r="M127">
            <v>0</v>
          </cell>
        </row>
        <row r="128">
          <cell r="H128" t="str">
            <v>Giang Phi Hùng</v>
          </cell>
          <cell r="I128">
            <v>0</v>
          </cell>
          <cell r="J128">
            <v>21</v>
          </cell>
          <cell r="M128">
            <v>0</v>
          </cell>
        </row>
        <row r="129">
          <cell r="H129" t="str">
            <v>Ngô Thanh Điền</v>
          </cell>
          <cell r="I129">
            <v>0</v>
          </cell>
          <cell r="J129">
            <v>21</v>
          </cell>
          <cell r="M129">
            <v>0</v>
          </cell>
        </row>
        <row r="130">
          <cell r="H130" t="str">
            <v>Nguyễn Thị Thu Hà</v>
          </cell>
          <cell r="I130" t="str">
            <v>Khoa Ngoại ngữ</v>
          </cell>
          <cell r="J130">
            <v>20</v>
          </cell>
          <cell r="M130">
            <v>0</v>
          </cell>
        </row>
        <row r="131">
          <cell r="H131" t="str">
            <v>Vương Thanh Thủy</v>
          </cell>
          <cell r="I131">
            <v>0</v>
          </cell>
          <cell r="J131">
            <v>20</v>
          </cell>
          <cell r="M131">
            <v>0</v>
          </cell>
        </row>
        <row r="132">
          <cell r="H132" t="str">
            <v>Nguyễn Thị Bảo Trân</v>
          </cell>
          <cell r="I132">
            <v>0</v>
          </cell>
          <cell r="J132">
            <v>20</v>
          </cell>
          <cell r="M132">
            <v>0</v>
          </cell>
        </row>
        <row r="133">
          <cell r="H133" t="str">
            <v>Nguyễn Thị Thu Tâm</v>
          </cell>
          <cell r="I133">
            <v>0</v>
          </cell>
          <cell r="J133">
            <v>20</v>
          </cell>
          <cell r="M133">
            <v>0</v>
          </cell>
        </row>
        <row r="134">
          <cell r="H134" t="str">
            <v>Nguyễn Thị Thanh Tú</v>
          </cell>
          <cell r="I134">
            <v>0</v>
          </cell>
          <cell r="J134">
            <v>20</v>
          </cell>
          <cell r="M134">
            <v>0</v>
          </cell>
        </row>
        <row r="135">
          <cell r="H135" t="str">
            <v>Võ Thị Hồng Lan</v>
          </cell>
          <cell r="I135">
            <v>0</v>
          </cell>
          <cell r="J135">
            <v>20</v>
          </cell>
          <cell r="M135">
            <v>0</v>
          </cell>
        </row>
        <row r="136">
          <cell r="H136" t="str">
            <v>Lê Nguyễn Mỹ Trâm</v>
          </cell>
          <cell r="I136">
            <v>0</v>
          </cell>
          <cell r="J136">
            <v>20</v>
          </cell>
          <cell r="M136">
            <v>0</v>
          </cell>
        </row>
        <row r="137">
          <cell r="H137" t="str">
            <v>Phạm Thị Thu Hiền</v>
          </cell>
          <cell r="I137">
            <v>0</v>
          </cell>
          <cell r="J137">
            <v>20</v>
          </cell>
          <cell r="M137">
            <v>0</v>
          </cell>
        </row>
        <row r="138">
          <cell r="H138" t="str">
            <v>Nguyễn Thiện Bình</v>
          </cell>
          <cell r="I138">
            <v>0</v>
          </cell>
          <cell r="J138">
            <v>20</v>
          </cell>
          <cell r="M138">
            <v>0</v>
          </cell>
        </row>
        <row r="139">
          <cell r="H139" t="str">
            <v>Trần Thanh Trúc</v>
          </cell>
          <cell r="I139">
            <v>0</v>
          </cell>
          <cell r="J139">
            <v>20</v>
          </cell>
          <cell r="M139">
            <v>0</v>
          </cell>
        </row>
        <row r="140">
          <cell r="H140" t="str">
            <v>Lâm Thị Phương Thảo</v>
          </cell>
          <cell r="I140">
            <v>0</v>
          </cell>
          <cell r="J140">
            <v>20</v>
          </cell>
          <cell r="M140">
            <v>0</v>
          </cell>
        </row>
        <row r="141">
          <cell r="H141" t="str">
            <v>Trần Hà Trang</v>
          </cell>
          <cell r="I141">
            <v>0</v>
          </cell>
          <cell r="J141">
            <v>10</v>
          </cell>
          <cell r="M141" t="str">
            <v>Nghỉ hộ sản hưởng chế độ BHXH từ 18/11/2024</v>
          </cell>
        </row>
        <row r="142">
          <cell r="H142" t="str">
            <v>Lê Thu Hà</v>
          </cell>
          <cell r="I142">
            <v>0</v>
          </cell>
          <cell r="J142">
            <v>20</v>
          </cell>
          <cell r="M142">
            <v>0</v>
          </cell>
        </row>
        <row r="143">
          <cell r="H143" t="str">
            <v>Ôn Thị Ngọc Thảo</v>
          </cell>
          <cell r="I143">
            <v>0</v>
          </cell>
          <cell r="J143">
            <v>20</v>
          </cell>
          <cell r="M143">
            <v>0</v>
          </cell>
        </row>
        <row r="144">
          <cell r="H144" t="str">
            <v>Nguyễn Huỳnh Khánh Vy</v>
          </cell>
          <cell r="I144">
            <v>0</v>
          </cell>
          <cell r="J144">
            <v>20</v>
          </cell>
          <cell r="M144">
            <v>0</v>
          </cell>
        </row>
        <row r="145">
          <cell r="H145" t="str">
            <v>Đoàn Thanh Long</v>
          </cell>
          <cell r="I145">
            <v>0</v>
          </cell>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v>0</v>
          </cell>
          <cell r="J147">
            <v>21</v>
          </cell>
          <cell r="M147">
            <v>0</v>
          </cell>
        </row>
        <row r="148">
          <cell r="H148" t="str">
            <v>Phan Thị Thùy Trang</v>
          </cell>
          <cell r="I148">
            <v>0</v>
          </cell>
          <cell r="J148">
            <v>21</v>
          </cell>
          <cell r="M148">
            <v>0</v>
          </cell>
        </row>
        <row r="149">
          <cell r="H149" t="str">
            <v>Lê Thị Mai Hường</v>
          </cell>
          <cell r="I149">
            <v>0</v>
          </cell>
          <cell r="J149">
            <v>21</v>
          </cell>
          <cell r="M149">
            <v>0</v>
          </cell>
        </row>
        <row r="150">
          <cell r="H150" t="str">
            <v>Nguyễn Thị Dinh</v>
          </cell>
          <cell r="I150">
            <v>0</v>
          </cell>
          <cell r="J150">
            <v>21</v>
          </cell>
          <cell r="M150">
            <v>0</v>
          </cell>
        </row>
        <row r="151">
          <cell r="H151" t="str">
            <v>Đỗ Thị Ngát</v>
          </cell>
          <cell r="I151">
            <v>0</v>
          </cell>
          <cell r="J151">
            <v>20</v>
          </cell>
          <cell r="M151">
            <v>0</v>
          </cell>
        </row>
        <row r="152">
          <cell r="H152" t="str">
            <v>Nguyễn Anh Kiệt</v>
          </cell>
          <cell r="I152">
            <v>0</v>
          </cell>
          <cell r="J152">
            <v>20</v>
          </cell>
          <cell r="M152">
            <v>0</v>
          </cell>
        </row>
        <row r="153">
          <cell r="H153" t="str">
            <v>Trần Thị Hồng Thu</v>
          </cell>
          <cell r="I153">
            <v>0</v>
          </cell>
          <cell r="J153">
            <v>21</v>
          </cell>
          <cell r="M153">
            <v>0</v>
          </cell>
        </row>
        <row r="154">
          <cell r="H154" t="str">
            <v>Đinh Thị Huyên</v>
          </cell>
          <cell r="I154">
            <v>0</v>
          </cell>
          <cell r="J154">
            <v>21</v>
          </cell>
          <cell r="M154">
            <v>0</v>
          </cell>
        </row>
        <row r="155">
          <cell r="H155" t="str">
            <v>Cao Thị Hồng Thắm</v>
          </cell>
          <cell r="I155">
            <v>0</v>
          </cell>
          <cell r="J155">
            <v>21</v>
          </cell>
          <cell r="M155">
            <v>0</v>
          </cell>
        </row>
        <row r="156">
          <cell r="H156" t="str">
            <v>Đỗ Thị Thơm</v>
          </cell>
          <cell r="I156">
            <v>0</v>
          </cell>
          <cell r="J156">
            <v>21</v>
          </cell>
          <cell r="M156">
            <v>0</v>
          </cell>
        </row>
        <row r="157">
          <cell r="H157" t="str">
            <v>Phạm Thị Vinh</v>
          </cell>
          <cell r="I157">
            <v>0</v>
          </cell>
          <cell r="J157">
            <v>21</v>
          </cell>
          <cell r="M157">
            <v>0</v>
          </cell>
        </row>
        <row r="158">
          <cell r="H158" t="str">
            <v>Hoàng Thị Trang</v>
          </cell>
          <cell r="I158">
            <v>0</v>
          </cell>
          <cell r="J158">
            <v>21</v>
          </cell>
          <cell r="M158">
            <v>0</v>
          </cell>
        </row>
        <row r="159">
          <cell r="H159" t="str">
            <v>Bùi Thành Dũng</v>
          </cell>
          <cell r="I159" t="str">
            <v>Tổ Pháp luật</v>
          </cell>
          <cell r="J159">
            <v>20</v>
          </cell>
          <cell r="M159">
            <v>0</v>
          </cell>
        </row>
        <row r="160">
          <cell r="H160" t="str">
            <v>Trần Văn Lượng</v>
          </cell>
          <cell r="I160">
            <v>0</v>
          </cell>
          <cell r="J160">
            <v>20</v>
          </cell>
          <cell r="M160">
            <v>0</v>
          </cell>
        </row>
        <row r="161">
          <cell r="H161" t="str">
            <v>Trần Việt Khánh</v>
          </cell>
          <cell r="I161" t="str">
            <v>Khoa CNTT</v>
          </cell>
          <cell r="J161">
            <v>20</v>
          </cell>
          <cell r="M161">
            <v>0</v>
          </cell>
        </row>
        <row r="162">
          <cell r="H162" t="str">
            <v>Vũ Thị Thái Linh</v>
          </cell>
          <cell r="I162">
            <v>0</v>
          </cell>
          <cell r="J162">
            <v>20</v>
          </cell>
          <cell r="M162">
            <v>0</v>
          </cell>
        </row>
        <row r="163">
          <cell r="H163" t="str">
            <v>Nguyễn Sanh Cường</v>
          </cell>
          <cell r="I163">
            <v>0</v>
          </cell>
          <cell r="J163">
            <v>20</v>
          </cell>
          <cell r="M163">
            <v>0</v>
          </cell>
        </row>
        <row r="164">
          <cell r="H164" t="str">
            <v>Lê Quý Hưng Quốc</v>
          </cell>
          <cell r="I164">
            <v>0</v>
          </cell>
          <cell r="J164">
            <v>20</v>
          </cell>
          <cell r="M164">
            <v>0</v>
          </cell>
        </row>
        <row r="165">
          <cell r="H165" t="str">
            <v>Nguyễn Văn Minh</v>
          </cell>
          <cell r="I165">
            <v>0</v>
          </cell>
          <cell r="J165">
            <v>20</v>
          </cell>
          <cell r="M165">
            <v>0</v>
          </cell>
        </row>
        <row r="166">
          <cell r="H166" t="str">
            <v>Nguyễn Thị Khánh Thư</v>
          </cell>
          <cell r="I166">
            <v>0</v>
          </cell>
          <cell r="J166">
            <v>20</v>
          </cell>
          <cell r="M166">
            <v>0</v>
          </cell>
        </row>
        <row r="167">
          <cell r="H167" t="str">
            <v>Đỗ Thị Hải Yến</v>
          </cell>
          <cell r="I167">
            <v>0</v>
          </cell>
          <cell r="J167">
            <v>20</v>
          </cell>
          <cell r="M167">
            <v>0</v>
          </cell>
        </row>
        <row r="168">
          <cell r="H168" t="str">
            <v>Lê Hồng Thái</v>
          </cell>
          <cell r="I168">
            <v>0</v>
          </cell>
          <cell r="J168">
            <v>20</v>
          </cell>
          <cell r="M168">
            <v>0</v>
          </cell>
        </row>
        <row r="169">
          <cell r="H169" t="str">
            <v>Đặng Ngọc Đoàn</v>
          </cell>
          <cell r="I169">
            <v>0</v>
          </cell>
          <cell r="J169">
            <v>20</v>
          </cell>
          <cell r="M169">
            <v>0</v>
          </cell>
        </row>
        <row r="170">
          <cell r="H170" t="str">
            <v>Nguyễn Văn Đôn</v>
          </cell>
          <cell r="I170">
            <v>0</v>
          </cell>
          <cell r="J170">
            <v>20</v>
          </cell>
          <cell r="M170">
            <v>0</v>
          </cell>
        </row>
        <row r="171">
          <cell r="H171" t="str">
            <v>Huỳnh Quốc Dũng</v>
          </cell>
          <cell r="I171">
            <v>0</v>
          </cell>
          <cell r="J171">
            <v>20</v>
          </cell>
          <cell r="M171">
            <v>0</v>
          </cell>
        </row>
        <row r="172">
          <cell r="H172" t="str">
            <v>Dương Ngọc Vọng</v>
          </cell>
          <cell r="I172">
            <v>0</v>
          </cell>
          <cell r="J172">
            <v>20</v>
          </cell>
          <cell r="M172">
            <v>0</v>
          </cell>
        </row>
        <row r="173">
          <cell r="H173" t="str">
            <v>Nguyễn Ngọc Tuyên</v>
          </cell>
          <cell r="I173">
            <v>0</v>
          </cell>
          <cell r="J173">
            <v>20</v>
          </cell>
          <cell r="M173">
            <v>0</v>
          </cell>
        </row>
        <row r="174">
          <cell r="H174" t="str">
            <v>Nguyễn Cao Phong</v>
          </cell>
          <cell r="I174">
            <v>0</v>
          </cell>
          <cell r="J174">
            <v>20</v>
          </cell>
          <cell r="M174">
            <v>0</v>
          </cell>
        </row>
        <row r="175">
          <cell r="H175" t="str">
            <v>Mai Chiếm Tuấn</v>
          </cell>
          <cell r="I175">
            <v>0</v>
          </cell>
          <cell r="J175">
            <v>20</v>
          </cell>
          <cell r="M175">
            <v>0</v>
          </cell>
        </row>
        <row r="176">
          <cell r="H176" t="str">
            <v>Đỗ Tuấn Việt</v>
          </cell>
          <cell r="I176">
            <v>0</v>
          </cell>
          <cell r="J176">
            <v>20</v>
          </cell>
          <cell r="M176">
            <v>0</v>
          </cell>
        </row>
        <row r="177">
          <cell r="H177" t="str">
            <v>Trần Vĩnh Xuyên</v>
          </cell>
          <cell r="I177">
            <v>0</v>
          </cell>
          <cell r="J177">
            <v>20</v>
          </cell>
          <cell r="M177">
            <v>0</v>
          </cell>
        </row>
        <row r="178">
          <cell r="H178" t="str">
            <v>Đào Lê Phương Anh</v>
          </cell>
          <cell r="I178">
            <v>0</v>
          </cell>
          <cell r="J178">
            <v>20</v>
          </cell>
          <cell r="M178">
            <v>0</v>
          </cell>
        </row>
        <row r="179">
          <cell r="H179" t="str">
            <v>Nguyễn Duy Lộc</v>
          </cell>
          <cell r="I179">
            <v>0</v>
          </cell>
          <cell r="J179">
            <v>20</v>
          </cell>
          <cell r="M179">
            <v>0</v>
          </cell>
        </row>
        <row r="180">
          <cell r="H180" t="str">
            <v>Chung Trần Thế Vinh</v>
          </cell>
          <cell r="I180" t="str">
            <v>Khoa Cơ khí</v>
          </cell>
          <cell r="J180">
            <v>25</v>
          </cell>
          <cell r="M180">
            <v>0</v>
          </cell>
        </row>
        <row r="181">
          <cell r="H181" t="str">
            <v>Đỗ Thị Phương Khanh</v>
          </cell>
          <cell r="I181">
            <v>0</v>
          </cell>
          <cell r="J181">
            <v>22</v>
          </cell>
          <cell r="M181" t="str">
            <v>Cộng 1 ngày tham gia ẩm thực 3 miền 17/11</v>
          </cell>
        </row>
        <row r="182">
          <cell r="H182" t="str">
            <v>Trương Thị Phương Hồng</v>
          </cell>
          <cell r="I182">
            <v>0</v>
          </cell>
          <cell r="J182">
            <v>20</v>
          </cell>
          <cell r="M182">
            <v>0</v>
          </cell>
        </row>
        <row r="183">
          <cell r="H183" t="str">
            <v>Dương Minh Chung</v>
          </cell>
          <cell r="I183">
            <v>0</v>
          </cell>
          <cell r="J183">
            <v>20</v>
          </cell>
          <cell r="M183">
            <v>0</v>
          </cell>
        </row>
        <row r="184">
          <cell r="H184" t="str">
            <v>Phan Văn Thành</v>
          </cell>
          <cell r="I184">
            <v>0</v>
          </cell>
          <cell r="J184">
            <v>20</v>
          </cell>
          <cell r="M184">
            <v>0</v>
          </cell>
        </row>
        <row r="185">
          <cell r="H185" t="str">
            <v>Vũ Đức Pháp</v>
          </cell>
          <cell r="I185">
            <v>0</v>
          </cell>
          <cell r="J185">
            <v>20</v>
          </cell>
          <cell r="M185">
            <v>0</v>
          </cell>
        </row>
        <row r="186">
          <cell r="H186" t="str">
            <v>Vũ Quang Khải</v>
          </cell>
          <cell r="I186">
            <v>0</v>
          </cell>
          <cell r="J186">
            <v>20</v>
          </cell>
          <cell r="M186">
            <v>0</v>
          </cell>
        </row>
        <row r="187">
          <cell r="H187" t="str">
            <v>Nguyễn Thanh Vũ</v>
          </cell>
          <cell r="I187">
            <v>0</v>
          </cell>
          <cell r="J187">
            <v>20</v>
          </cell>
          <cell r="M187">
            <v>0</v>
          </cell>
        </row>
        <row r="188">
          <cell r="H188" t="str">
            <v>Phan Thị Xuân Trang</v>
          </cell>
          <cell r="I188">
            <v>0</v>
          </cell>
          <cell r="J188">
            <v>20</v>
          </cell>
          <cell r="M188">
            <v>0</v>
          </cell>
        </row>
        <row r="189">
          <cell r="H189" t="str">
            <v>Trần Đình Khải</v>
          </cell>
          <cell r="I189">
            <v>0</v>
          </cell>
          <cell r="J189">
            <v>20</v>
          </cell>
          <cell r="M189">
            <v>0</v>
          </cell>
        </row>
        <row r="190">
          <cell r="H190" t="str">
            <v>Lư Thị Yến Vũ</v>
          </cell>
          <cell r="I190">
            <v>0</v>
          </cell>
          <cell r="J190">
            <v>20</v>
          </cell>
          <cell r="M190">
            <v>0</v>
          </cell>
        </row>
        <row r="191">
          <cell r="H191" t="str">
            <v>Nguyễn Tiến Dũng</v>
          </cell>
          <cell r="I191">
            <v>0</v>
          </cell>
          <cell r="J191">
            <v>20</v>
          </cell>
          <cell r="M191">
            <v>0</v>
          </cell>
        </row>
        <row r="192">
          <cell r="H192" t="str">
            <v>Nguyễn Thành Long</v>
          </cell>
          <cell r="I192">
            <v>0</v>
          </cell>
          <cell r="J192">
            <v>20</v>
          </cell>
          <cell r="M192">
            <v>0</v>
          </cell>
        </row>
        <row r="193">
          <cell r="H193" t="str">
            <v>Nguyễn Ngọc Quỳnh.</v>
          </cell>
          <cell r="I193">
            <v>0</v>
          </cell>
          <cell r="J193">
            <v>21</v>
          </cell>
          <cell r="M193">
            <v>0</v>
          </cell>
        </row>
        <row r="194">
          <cell r="H194" t="str">
            <v>Nguyễn Duy Hải</v>
          </cell>
          <cell r="I194">
            <v>0</v>
          </cell>
          <cell r="J194">
            <v>21</v>
          </cell>
          <cell r="M194">
            <v>0</v>
          </cell>
        </row>
        <row r="195">
          <cell r="H195" t="str">
            <v>Bùi Anh Tuấn</v>
          </cell>
          <cell r="I195">
            <v>0</v>
          </cell>
          <cell r="J195">
            <v>20</v>
          </cell>
          <cell r="M195">
            <v>0</v>
          </cell>
        </row>
        <row r="196">
          <cell r="H196" t="str">
            <v>Trần Thị Hương</v>
          </cell>
          <cell r="I196">
            <v>0</v>
          </cell>
          <cell r="J196">
            <v>20</v>
          </cell>
          <cell r="M196">
            <v>0</v>
          </cell>
        </row>
        <row r="197">
          <cell r="H197" t="str">
            <v>Trần Minh Thông</v>
          </cell>
          <cell r="I197">
            <v>0</v>
          </cell>
          <cell r="J197">
            <v>21</v>
          </cell>
          <cell r="M197">
            <v>0</v>
          </cell>
        </row>
        <row r="198">
          <cell r="H198" t="str">
            <v>Nguyễn Thanh Vĩnh Phúc</v>
          </cell>
          <cell r="I198">
            <v>0</v>
          </cell>
          <cell r="J198">
            <v>21</v>
          </cell>
          <cell r="M198">
            <v>0</v>
          </cell>
        </row>
        <row r="199">
          <cell r="H199" t="str">
            <v>Dương Thị Hồng</v>
          </cell>
          <cell r="I199">
            <v>0</v>
          </cell>
          <cell r="J199">
            <v>21</v>
          </cell>
          <cell r="M199">
            <v>0</v>
          </cell>
        </row>
        <row r="200">
          <cell r="H200" t="str">
            <v>Nguyễn Thanh Giang</v>
          </cell>
          <cell r="I200">
            <v>0</v>
          </cell>
          <cell r="J200">
            <v>21</v>
          </cell>
          <cell r="M200">
            <v>0</v>
          </cell>
        </row>
        <row r="201">
          <cell r="H201" t="str">
            <v>Nguyễn Hồng Phúc</v>
          </cell>
          <cell r="I201">
            <v>0</v>
          </cell>
          <cell r="J201">
            <v>20</v>
          </cell>
          <cell r="M201">
            <v>0</v>
          </cell>
        </row>
        <row r="202">
          <cell r="H202" t="str">
            <v>Nguyễn Văn Sơn</v>
          </cell>
          <cell r="I202">
            <v>0</v>
          </cell>
          <cell r="J202">
            <v>20</v>
          </cell>
          <cell r="M202">
            <v>0</v>
          </cell>
        </row>
        <row r="203">
          <cell r="H203" t="str">
            <v>Nguyễn Khắc Huy</v>
          </cell>
          <cell r="I203">
            <v>0</v>
          </cell>
          <cell r="J203">
            <v>20</v>
          </cell>
          <cell r="M203">
            <v>0</v>
          </cell>
        </row>
        <row r="204">
          <cell r="H204" t="str">
            <v>Võ Hoài Sơn</v>
          </cell>
          <cell r="I204">
            <v>0</v>
          </cell>
          <cell r="J204">
            <v>21</v>
          </cell>
          <cell r="M204">
            <v>0</v>
          </cell>
        </row>
        <row r="205">
          <cell r="H205" t="str">
            <v>Nguyễn Thị Xuân Chinh</v>
          </cell>
          <cell r="I205">
            <v>0</v>
          </cell>
          <cell r="J205">
            <v>21</v>
          </cell>
          <cell r="M205">
            <v>0</v>
          </cell>
        </row>
        <row r="206">
          <cell r="H206" t="str">
            <v>Nguyễn Duy Tân</v>
          </cell>
          <cell r="I206">
            <v>0</v>
          </cell>
          <cell r="J206">
            <v>21</v>
          </cell>
          <cell r="M206">
            <v>0</v>
          </cell>
        </row>
        <row r="207">
          <cell r="H207" t="str">
            <v>Nguyễn Ngọc Hiệp</v>
          </cell>
          <cell r="I207">
            <v>0</v>
          </cell>
          <cell r="J207">
            <v>20</v>
          </cell>
          <cell r="M207">
            <v>0</v>
          </cell>
        </row>
        <row r="208">
          <cell r="H208" t="str">
            <v>Tạ Minh Cường</v>
          </cell>
          <cell r="I208" t="str">
            <v>Khoa Điện-
Điện tử</v>
          </cell>
          <cell r="J208">
            <v>20</v>
          </cell>
          <cell r="M208">
            <v>0</v>
          </cell>
        </row>
        <row r="209">
          <cell r="H209" t="str">
            <v>Phạm Minh Nghĩa</v>
          </cell>
          <cell r="I209">
            <v>0</v>
          </cell>
          <cell r="J209">
            <v>20</v>
          </cell>
          <cell r="M209">
            <v>0</v>
          </cell>
        </row>
        <row r="210">
          <cell r="H210" t="str">
            <v>Nguyễn Văn Yên</v>
          </cell>
          <cell r="I210">
            <v>0</v>
          </cell>
          <cell r="J210">
            <v>20</v>
          </cell>
          <cell r="M210">
            <v>0</v>
          </cell>
        </row>
        <row r="211">
          <cell r="H211" t="str">
            <v>Nguyễn Minh Đức</v>
          </cell>
          <cell r="I211">
            <v>0</v>
          </cell>
          <cell r="J211">
            <v>20</v>
          </cell>
          <cell r="M211">
            <v>0</v>
          </cell>
        </row>
        <row r="212">
          <cell r="H212" t="str">
            <v>Nguyễn Anh Tăng</v>
          </cell>
          <cell r="I212">
            <v>0</v>
          </cell>
          <cell r="J212">
            <v>20</v>
          </cell>
          <cell r="M212">
            <v>0</v>
          </cell>
        </row>
        <row r="213">
          <cell r="H213" t="str">
            <v>Lê Thế Huân</v>
          </cell>
          <cell r="I213">
            <v>0</v>
          </cell>
          <cell r="J213">
            <v>20</v>
          </cell>
          <cell r="M213">
            <v>0</v>
          </cell>
        </row>
        <row r="214">
          <cell r="H214" t="str">
            <v>Trần Trung Hiếu</v>
          </cell>
          <cell r="I214">
            <v>0</v>
          </cell>
          <cell r="J214">
            <v>20</v>
          </cell>
          <cell r="M214">
            <v>0</v>
          </cell>
        </row>
        <row r="215">
          <cell r="H215" t="str">
            <v>Trần Nguyên Bảo Trân</v>
          </cell>
          <cell r="I215">
            <v>0</v>
          </cell>
          <cell r="J215">
            <v>20</v>
          </cell>
          <cell r="M215">
            <v>0</v>
          </cell>
        </row>
        <row r="216">
          <cell r="H216" t="str">
            <v>Mạnh Lê Hoàn</v>
          </cell>
          <cell r="I216">
            <v>0</v>
          </cell>
          <cell r="J216">
            <v>20</v>
          </cell>
          <cell r="M216">
            <v>0</v>
          </cell>
        </row>
        <row r="217">
          <cell r="H217" t="str">
            <v>Ngô Hoàng Anh</v>
          </cell>
          <cell r="I217">
            <v>0</v>
          </cell>
          <cell r="J217">
            <v>20</v>
          </cell>
          <cell r="M217">
            <v>0</v>
          </cell>
        </row>
        <row r="218">
          <cell r="H218" t="str">
            <v>Nguyễn Thùy Linh</v>
          </cell>
          <cell r="I218">
            <v>0</v>
          </cell>
          <cell r="J218">
            <v>20</v>
          </cell>
          <cell r="M218">
            <v>0</v>
          </cell>
        </row>
        <row r="219">
          <cell r="H219" t="str">
            <v>Vũ Hạnh Chiêu</v>
          </cell>
          <cell r="I219">
            <v>0</v>
          </cell>
          <cell r="J219">
            <v>20</v>
          </cell>
          <cell r="M219">
            <v>0</v>
          </cell>
        </row>
        <row r="220">
          <cell r="H220" t="str">
            <v>Đỗ Huỳnh Thanh Phong</v>
          </cell>
          <cell r="I220">
            <v>0</v>
          </cell>
          <cell r="J220">
            <v>20</v>
          </cell>
          <cell r="M220">
            <v>0</v>
          </cell>
        </row>
        <row r="221">
          <cell r="H221" t="str">
            <v>Nguyễn Minh Đức Cường</v>
          </cell>
          <cell r="I221">
            <v>0</v>
          </cell>
          <cell r="J221">
            <v>20</v>
          </cell>
          <cell r="M221">
            <v>0</v>
          </cell>
        </row>
        <row r="222">
          <cell r="H222" t="str">
            <v>Huỳnh Ngọc Mai</v>
          </cell>
          <cell r="I222">
            <v>0</v>
          </cell>
          <cell r="J222">
            <v>20</v>
          </cell>
          <cell r="M222">
            <v>0</v>
          </cell>
        </row>
        <row r="223">
          <cell r="H223" t="str">
            <v>Nguyễn Hồng Đức</v>
          </cell>
          <cell r="I223">
            <v>0</v>
          </cell>
          <cell r="J223">
            <v>20</v>
          </cell>
          <cell r="M223">
            <v>0</v>
          </cell>
        </row>
        <row r="224">
          <cell r="H224" t="str">
            <v>Trần Công Tiến</v>
          </cell>
          <cell r="I224">
            <v>0</v>
          </cell>
          <cell r="J224">
            <v>20</v>
          </cell>
          <cell r="M224">
            <v>0</v>
          </cell>
        </row>
        <row r="225">
          <cell r="H225" t="str">
            <v>Nguyễn Trần Thanh Nhàn</v>
          </cell>
          <cell r="I225">
            <v>0</v>
          </cell>
          <cell r="J225">
            <v>20</v>
          </cell>
          <cell r="M225">
            <v>0</v>
          </cell>
        </row>
        <row r="226">
          <cell r="H226" t="str">
            <v>Tăng Cẩm Huê</v>
          </cell>
          <cell r="I226">
            <v>0</v>
          </cell>
          <cell r="J226">
            <v>20</v>
          </cell>
          <cell r="M226">
            <v>0</v>
          </cell>
        </row>
        <row r="227">
          <cell r="H227" t="str">
            <v>Trần Hiếu Trinh</v>
          </cell>
          <cell r="I227">
            <v>0</v>
          </cell>
          <cell r="J227">
            <v>20</v>
          </cell>
          <cell r="M227">
            <v>0</v>
          </cell>
        </row>
        <row r="228">
          <cell r="H228" t="str">
            <v>Nguyễn Thị Tố Nga</v>
          </cell>
          <cell r="I228">
            <v>0</v>
          </cell>
          <cell r="J228">
            <v>20</v>
          </cell>
          <cell r="M228">
            <v>0</v>
          </cell>
        </row>
        <row r="229">
          <cell r="H229" t="str">
            <v>Đặng Đức Minh</v>
          </cell>
          <cell r="I229">
            <v>0</v>
          </cell>
          <cell r="J229">
            <v>20</v>
          </cell>
          <cell r="M229">
            <v>0</v>
          </cell>
        </row>
        <row r="230">
          <cell r="H230" t="str">
            <v>Nguyễn Thị Ngọc Hiền</v>
          </cell>
          <cell r="I230">
            <v>0</v>
          </cell>
          <cell r="J230">
            <v>20</v>
          </cell>
          <cell r="M230">
            <v>0</v>
          </cell>
        </row>
        <row r="231">
          <cell r="H231" t="str">
            <v>Ngô Phong Cường</v>
          </cell>
          <cell r="I231">
            <v>0</v>
          </cell>
          <cell r="J231">
            <v>20</v>
          </cell>
          <cell r="M231">
            <v>0</v>
          </cell>
        </row>
        <row r="232">
          <cell r="H232" t="str">
            <v>Cao Văn Tuấn</v>
          </cell>
          <cell r="I232">
            <v>0</v>
          </cell>
          <cell r="J232">
            <v>20</v>
          </cell>
          <cell r="M232">
            <v>0</v>
          </cell>
        </row>
        <row r="233">
          <cell r="H233" t="str">
            <v>Trần Nam Anh</v>
          </cell>
          <cell r="I233">
            <v>0</v>
          </cell>
          <cell r="J233">
            <v>20</v>
          </cell>
          <cell r="M233">
            <v>0</v>
          </cell>
        </row>
        <row r="234">
          <cell r="H234" t="str">
            <v>Trần Giang Nam</v>
          </cell>
          <cell r="I234">
            <v>0</v>
          </cell>
          <cell r="J234">
            <v>20</v>
          </cell>
          <cell r="M234">
            <v>0</v>
          </cell>
        </row>
        <row r="235">
          <cell r="H235" t="str">
            <v>Phan Thanh Hoàng</v>
          </cell>
          <cell r="I235">
            <v>0</v>
          </cell>
          <cell r="J235">
            <v>20</v>
          </cell>
          <cell r="M235">
            <v>0</v>
          </cell>
        </row>
        <row r="236">
          <cell r="H236" t="str">
            <v>Huỳnh Duy An</v>
          </cell>
          <cell r="I236">
            <v>0</v>
          </cell>
          <cell r="J236">
            <v>20</v>
          </cell>
          <cell r="M236">
            <v>0</v>
          </cell>
        </row>
        <row r="237">
          <cell r="H237" t="str">
            <v>Nguyễn Khương Thành</v>
          </cell>
          <cell r="I237">
            <v>0</v>
          </cell>
          <cell r="J237">
            <v>20</v>
          </cell>
          <cell r="M237">
            <v>0</v>
          </cell>
        </row>
        <row r="238">
          <cell r="H238" t="str">
            <v>Nguyễn Anh Tuấn</v>
          </cell>
          <cell r="I238" t="str">
            <v>Khoa Động Lực</v>
          </cell>
          <cell r="J238">
            <v>20</v>
          </cell>
          <cell r="M238">
            <v>0</v>
          </cell>
        </row>
        <row r="239">
          <cell r="H239" t="str">
            <v>Võ Đắc Thịnh</v>
          </cell>
          <cell r="I239">
            <v>0</v>
          </cell>
          <cell r="J239">
            <v>20</v>
          </cell>
          <cell r="M239">
            <v>0</v>
          </cell>
        </row>
        <row r="240">
          <cell r="H240" t="str">
            <v>Nguyễn Hữu Mạnh</v>
          </cell>
          <cell r="I240">
            <v>0</v>
          </cell>
          <cell r="J240">
            <v>20</v>
          </cell>
          <cell r="M240">
            <v>0</v>
          </cell>
        </row>
        <row r="241">
          <cell r="H241" t="str">
            <v>Phan Anh Tuấn Kiệt</v>
          </cell>
          <cell r="I241">
            <v>0</v>
          </cell>
          <cell r="J241">
            <v>20</v>
          </cell>
          <cell r="M241">
            <v>0</v>
          </cell>
        </row>
        <row r="242">
          <cell r="H242" t="str">
            <v>Triệu Phú Nguyên</v>
          </cell>
          <cell r="I242">
            <v>0</v>
          </cell>
          <cell r="J242">
            <v>20</v>
          </cell>
          <cell r="M242">
            <v>0</v>
          </cell>
        </row>
        <row r="243">
          <cell r="H243" t="str">
            <v>Nguyễn Thành Đức</v>
          </cell>
          <cell r="I243">
            <v>0</v>
          </cell>
          <cell r="J243">
            <v>20</v>
          </cell>
          <cell r="M243">
            <v>0</v>
          </cell>
        </row>
        <row r="244">
          <cell r="H244" t="str">
            <v>Nguyễn Minh Thái</v>
          </cell>
          <cell r="I244">
            <v>0</v>
          </cell>
          <cell r="J244">
            <v>20</v>
          </cell>
          <cell r="M244">
            <v>0</v>
          </cell>
        </row>
        <row r="245">
          <cell r="H245" t="str">
            <v>Đặng Thái Sơn</v>
          </cell>
          <cell r="I245">
            <v>0</v>
          </cell>
          <cell r="J245">
            <v>20</v>
          </cell>
          <cell r="M245">
            <v>0</v>
          </cell>
        </row>
        <row r="246">
          <cell r="H246" t="str">
            <v>Nguyễn Thái Bình</v>
          </cell>
          <cell r="I246">
            <v>0</v>
          </cell>
          <cell r="J246">
            <v>20</v>
          </cell>
          <cell r="M246">
            <v>0</v>
          </cell>
        </row>
        <row r="247">
          <cell r="H247" t="str">
            <v>Kiều Trung Tín</v>
          </cell>
          <cell r="I247">
            <v>0</v>
          </cell>
          <cell r="J247">
            <v>20</v>
          </cell>
          <cell r="M247">
            <v>0</v>
          </cell>
        </row>
        <row r="248">
          <cell r="H248" t="str">
            <v>Trần Quốc Duy</v>
          </cell>
          <cell r="I248">
            <v>0</v>
          </cell>
          <cell r="J248">
            <v>20</v>
          </cell>
          <cell r="M248">
            <v>0</v>
          </cell>
        </row>
        <row r="249">
          <cell r="H249" t="str">
            <v>Hồ Văn Hóa</v>
          </cell>
          <cell r="I249">
            <v>0</v>
          </cell>
          <cell r="J249">
            <v>20</v>
          </cell>
          <cell r="M249">
            <v>0</v>
          </cell>
        </row>
        <row r="250">
          <cell r="H250" t="str">
            <v>Nguyễn Thanh Hùng</v>
          </cell>
          <cell r="I250">
            <v>0</v>
          </cell>
          <cell r="J250">
            <v>20</v>
          </cell>
          <cell r="M250">
            <v>0</v>
          </cell>
        </row>
        <row r="251">
          <cell r="H251" t="str">
            <v>Hà Quốc Bảo</v>
          </cell>
          <cell r="I251">
            <v>0</v>
          </cell>
          <cell r="J251">
            <v>20</v>
          </cell>
          <cell r="M251">
            <v>0</v>
          </cell>
        </row>
        <row r="252">
          <cell r="H252" t="str">
            <v>Hoàng Phúc Bảo</v>
          </cell>
          <cell r="I252">
            <v>0</v>
          </cell>
          <cell r="J252">
            <v>20</v>
          </cell>
          <cell r="M252">
            <v>0</v>
          </cell>
        </row>
        <row r="253">
          <cell r="H253" t="str">
            <v>Nguyễn Lương Tâm</v>
          </cell>
          <cell r="I253">
            <v>0</v>
          </cell>
          <cell r="J253">
            <v>20</v>
          </cell>
          <cell r="M253">
            <v>0</v>
          </cell>
        </row>
        <row r="254">
          <cell r="H254" t="str">
            <v>Trần Thế Sơn</v>
          </cell>
          <cell r="I254">
            <v>0</v>
          </cell>
          <cell r="J254">
            <v>20</v>
          </cell>
          <cell r="M254">
            <v>0</v>
          </cell>
        </row>
        <row r="255">
          <cell r="H255" t="str">
            <v>Trần Văn Đông</v>
          </cell>
          <cell r="I255">
            <v>0</v>
          </cell>
          <cell r="J255">
            <v>20</v>
          </cell>
          <cell r="M255">
            <v>0</v>
          </cell>
        </row>
        <row r="256">
          <cell r="H256" t="str">
            <v>Lý Văn Trung</v>
          </cell>
          <cell r="I256">
            <v>0</v>
          </cell>
          <cell r="J256">
            <v>21</v>
          </cell>
          <cell r="M256" t="str">
            <v>Cộng 1 ngày tham gia ẩm thực 3 miền 17/11</v>
          </cell>
        </row>
        <row r="257">
          <cell r="H257" t="str">
            <v>Nguyễn Hoàng Vinh</v>
          </cell>
          <cell r="I257">
            <v>0</v>
          </cell>
          <cell r="J257">
            <v>20</v>
          </cell>
          <cell r="M257">
            <v>0</v>
          </cell>
        </row>
        <row r="258">
          <cell r="H258" t="str">
            <v>Bùi Trọng Tân</v>
          </cell>
          <cell r="I258">
            <v>0</v>
          </cell>
          <cell r="J258">
            <v>20</v>
          </cell>
          <cell r="M258">
            <v>0</v>
          </cell>
        </row>
        <row r="259">
          <cell r="H259" t="str">
            <v>Giang Văn Tiến</v>
          </cell>
          <cell r="I259">
            <v>0</v>
          </cell>
          <cell r="J259">
            <v>20</v>
          </cell>
          <cell r="M259">
            <v>0</v>
          </cell>
        </row>
        <row r="260">
          <cell r="H260" t="str">
            <v>Nguyễn Hữu Lương</v>
          </cell>
          <cell r="I260">
            <v>0</v>
          </cell>
          <cell r="J260">
            <v>20</v>
          </cell>
          <cell r="M260">
            <v>0</v>
          </cell>
        </row>
        <row r="261">
          <cell r="H261" t="str">
            <v>Huỳnh Đình Văn</v>
          </cell>
          <cell r="I261">
            <v>0</v>
          </cell>
          <cell r="J261">
            <v>20</v>
          </cell>
          <cell r="M261">
            <v>0</v>
          </cell>
        </row>
        <row r="262">
          <cell r="H262" t="str">
            <v>Phạm Quang Vũ</v>
          </cell>
          <cell r="I262" t="str">
            <v>Khoa Xây dựng - Nhiệt lạnh</v>
          </cell>
          <cell r="J262">
            <v>20</v>
          </cell>
          <cell r="M262">
            <v>0</v>
          </cell>
        </row>
        <row r="263">
          <cell r="H263" t="str">
            <v>Trình Minh Phong</v>
          </cell>
          <cell r="I263">
            <v>0</v>
          </cell>
          <cell r="J263">
            <v>20</v>
          </cell>
          <cell r="M263">
            <v>0</v>
          </cell>
        </row>
        <row r="264">
          <cell r="H264" t="str">
            <v>Trần Ngọc Tuấn</v>
          </cell>
          <cell r="I264">
            <v>0</v>
          </cell>
          <cell r="J264">
            <v>20</v>
          </cell>
          <cell r="M264">
            <v>0</v>
          </cell>
        </row>
        <row r="265">
          <cell r="H265" t="str">
            <v>Đinh Đồng Hiệp</v>
          </cell>
          <cell r="I265">
            <v>0</v>
          </cell>
          <cell r="J265">
            <v>20</v>
          </cell>
          <cell r="M265">
            <v>0</v>
          </cell>
        </row>
        <row r="266">
          <cell r="H266" t="str">
            <v>Đặng Thế Huân</v>
          </cell>
          <cell r="I266">
            <v>0</v>
          </cell>
          <cell r="J266">
            <v>20</v>
          </cell>
          <cell r="M266">
            <v>0</v>
          </cell>
        </row>
        <row r="267">
          <cell r="H267" t="str">
            <v>Võ Anh Hào</v>
          </cell>
          <cell r="I267">
            <v>0</v>
          </cell>
          <cell r="J267">
            <v>20</v>
          </cell>
          <cell r="M267">
            <v>0</v>
          </cell>
        </row>
        <row r="268">
          <cell r="H268" t="str">
            <v>Phan Văn Hòa</v>
          </cell>
          <cell r="I268">
            <v>0</v>
          </cell>
          <cell r="J268">
            <v>20</v>
          </cell>
          <cell r="M268">
            <v>0</v>
          </cell>
        </row>
        <row r="269">
          <cell r="H269" t="str">
            <v>Trần Đình Khoa</v>
          </cell>
          <cell r="I269">
            <v>0</v>
          </cell>
          <cell r="J269">
            <v>20</v>
          </cell>
          <cell r="M269">
            <v>0</v>
          </cell>
        </row>
        <row r="270">
          <cell r="H270" t="str">
            <v>Đỗ Trọng Quý</v>
          </cell>
          <cell r="I270">
            <v>0</v>
          </cell>
          <cell r="J270">
            <v>20</v>
          </cell>
          <cell r="M270">
            <v>0</v>
          </cell>
        </row>
        <row r="271">
          <cell r="H271" t="str">
            <v>Nguyễn Vũ Xuân Thì</v>
          </cell>
          <cell r="I271">
            <v>0</v>
          </cell>
          <cell r="J271">
            <v>20</v>
          </cell>
          <cell r="M271">
            <v>0</v>
          </cell>
        </row>
        <row r="272">
          <cell r="H272" t="str">
            <v>Hoàng Văn Viết</v>
          </cell>
          <cell r="I272">
            <v>0</v>
          </cell>
          <cell r="J272">
            <v>20</v>
          </cell>
          <cell r="M272">
            <v>0</v>
          </cell>
        </row>
        <row r="273">
          <cell r="H273" t="str">
            <v>Nguyễn Thanh Dũng</v>
          </cell>
          <cell r="I273">
            <v>0</v>
          </cell>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E14">
            <v>9</v>
          </cell>
        </row>
        <row r="15">
          <cell r="B15" t="str">
            <v>Viên chức</v>
          </cell>
          <cell r="E15">
            <v>6</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A1</v>
          </cell>
          <cell r="E18" t="str">
            <v>A1</v>
          </cell>
        </row>
        <row r="19">
          <cell r="B19" t="str">
            <v>Võ Thị Lệ Trân</v>
          </cell>
          <cell r="C19" t="str">
            <v>01023004</v>
          </cell>
          <cell r="D19" t="str">
            <v>A1</v>
          </cell>
          <cell r="E19" t="str">
            <v>A1</v>
          </cell>
        </row>
        <row r="20">
          <cell r="B20" t="str">
            <v>Nguyễn Thị Minh Thùy</v>
          </cell>
          <cell r="C20" t="str">
            <v>01003013</v>
          </cell>
          <cell r="D20" t="str">
            <v>A DN</v>
          </cell>
          <cell r="E20" t="str">
            <v>A DN</v>
          </cell>
        </row>
        <row r="21">
          <cell r="B21" t="str">
            <v>Nguyễn Thị Hồng Thắm</v>
          </cell>
          <cell r="C21" t="str">
            <v>01003007</v>
          </cell>
          <cell r="D21" t="str">
            <v>A DN</v>
          </cell>
          <cell r="E21" t="str">
            <v>A DN</v>
          </cell>
        </row>
        <row r="22">
          <cell r="B22" t="str">
            <v>Hợp đồng trường</v>
          </cell>
          <cell r="E22">
            <v>3</v>
          </cell>
        </row>
        <row r="23">
          <cell r="B23" t="str">
            <v>Trần Thị Thảo Vân</v>
          </cell>
          <cell r="C23" t="str">
            <v>01003008</v>
          </cell>
          <cell r="D23" t="str">
            <v>A1</v>
          </cell>
          <cell r="E23" t="str">
            <v>A1</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E26">
            <v>16</v>
          </cell>
        </row>
        <row r="27">
          <cell r="B27" t="str">
            <v>Viên chức</v>
          </cell>
          <cell r="E27">
            <v>10</v>
          </cell>
        </row>
        <row r="28">
          <cell r="B28" t="str">
            <v>Nguyễn Thành Nam</v>
          </cell>
          <cell r="C28" t="str">
            <v>01005007</v>
          </cell>
          <cell r="D28" t="str">
            <v>A1</v>
          </cell>
          <cell r="E28" t="str">
            <v>A1</v>
          </cell>
        </row>
        <row r="29">
          <cell r="B29" t="str">
            <v>Quách Minh Thử</v>
          </cell>
          <cell r="C29" t="str">
            <v>01014007</v>
          </cell>
          <cell r="D29" t="str">
            <v>A1</v>
          </cell>
          <cell r="E29" t="str">
            <v>A1</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A2</v>
          </cell>
          <cell r="E32" t="str">
            <v>A2</v>
          </cell>
        </row>
        <row r="33">
          <cell r="B33" t="str">
            <v>Huỳnh Thị Cẩm Hoa</v>
          </cell>
          <cell r="C33" t="str">
            <v>01005009</v>
          </cell>
          <cell r="D33" t="str">
            <v>A2</v>
          </cell>
          <cell r="E33" t="str">
            <v>A1</v>
          </cell>
        </row>
        <row r="34">
          <cell r="B34" t="str">
            <v>Giáp Thị Vượng</v>
          </cell>
          <cell r="C34" t="str">
            <v>01004009</v>
          </cell>
          <cell r="D34" t="str">
            <v>A2</v>
          </cell>
          <cell r="E34" t="str">
            <v>A2</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A1</v>
          </cell>
          <cell r="E37" t="str">
            <v>A1</v>
          </cell>
        </row>
        <row r="38">
          <cell r="B38" t="str">
            <v>Hợp đồng trường</v>
          </cell>
          <cell r="E38">
            <v>6</v>
          </cell>
        </row>
        <row r="39">
          <cell r="B39" t="str">
            <v>Trần Nhật Thịnh</v>
          </cell>
          <cell r="C39" t="str">
            <v>01004020</v>
          </cell>
          <cell r="D39" t="str">
            <v>A1</v>
          </cell>
          <cell r="E39" t="str">
            <v>A1</v>
          </cell>
        </row>
        <row r="40">
          <cell r="B40" t="str">
            <v>Sỹ Thị Chung</v>
          </cell>
          <cell r="C40" t="str">
            <v>01011017</v>
          </cell>
          <cell r="D40" t="str">
            <v>A1</v>
          </cell>
          <cell r="E40" t="str">
            <v>A1</v>
          </cell>
        </row>
        <row r="41">
          <cell r="B41" t="str">
            <v>Nguyễn Thị Tất</v>
          </cell>
          <cell r="C41" t="str">
            <v>01022059</v>
          </cell>
          <cell r="D41" t="str">
            <v>A1</v>
          </cell>
          <cell r="E41" t="str">
            <v>A1</v>
          </cell>
        </row>
        <row r="42">
          <cell r="B42" t="str">
            <v>Nguyễn Thị Nhung</v>
          </cell>
          <cell r="C42" t="str">
            <v>01018006</v>
          </cell>
          <cell r="D42" t="str">
            <v>A1</v>
          </cell>
          <cell r="E42" t="str">
            <v>A1</v>
          </cell>
        </row>
        <row r="43">
          <cell r="B43" t="str">
            <v>Võ Thị Mỹ Ngọc</v>
          </cell>
          <cell r="C43" t="str">
            <v>01004021</v>
          </cell>
          <cell r="D43" t="str">
            <v>A1</v>
          </cell>
          <cell r="E43" t="str">
            <v>A1</v>
          </cell>
        </row>
        <row r="44">
          <cell r="B44" t="str">
            <v>Nguyễn Việt Tiến</v>
          </cell>
          <cell r="C44" t="str">
            <v>01004013</v>
          </cell>
          <cell r="D44" t="str">
            <v>A2</v>
          </cell>
          <cell r="E44" t="str">
            <v>A1</v>
          </cell>
        </row>
        <row r="45">
          <cell r="B45" t="str">
            <v>P. TỔ CHỨC - HÀNH CHÍNH - TỔNG HỢP</v>
          </cell>
          <cell r="E45">
            <v>23</v>
          </cell>
        </row>
        <row r="46">
          <cell r="B46" t="str">
            <v xml:space="preserve">Viên chức </v>
          </cell>
          <cell r="E46">
            <v>9</v>
          </cell>
        </row>
        <row r="47">
          <cell r="B47" t="str">
            <v>Lưu Hoàng Hải Yến</v>
          </cell>
          <cell r="C47" t="str">
            <v>01002019</v>
          </cell>
          <cell r="D47" t="str">
            <v>A1</v>
          </cell>
          <cell r="E47" t="str">
            <v>A1</v>
          </cell>
        </row>
        <row r="48">
          <cell r="B48" t="str">
            <v>Huỳnh Thị Minh Ly</v>
          </cell>
          <cell r="C48" t="str">
            <v>01004007</v>
          </cell>
          <cell r="D48" t="str">
            <v>A1</v>
          </cell>
          <cell r="E48" t="str">
            <v>A1</v>
          </cell>
        </row>
        <row r="49">
          <cell r="B49" t="str">
            <v>Vũ Như Quỳnh</v>
          </cell>
          <cell r="C49" t="str">
            <v>01002017</v>
          </cell>
          <cell r="D49" t="str">
            <v>A3</v>
          </cell>
          <cell r="E49" t="str">
            <v>A3</v>
          </cell>
        </row>
        <row r="50">
          <cell r="B50" t="str">
            <v>Phan Thị Ngọc Phượng</v>
          </cell>
          <cell r="C50" t="str">
            <v>01002018</v>
          </cell>
          <cell r="D50" t="str">
            <v>A2</v>
          </cell>
          <cell r="E50" t="str">
            <v>A2</v>
          </cell>
        </row>
        <row r="51">
          <cell r="B51" t="str">
            <v>Nguyễn Thị Bích Liễu</v>
          </cell>
          <cell r="C51" t="str">
            <v>01002005</v>
          </cell>
          <cell r="D51" t="str">
            <v>A3</v>
          </cell>
          <cell r="E51" t="str">
            <v>A3</v>
          </cell>
        </row>
        <row r="52">
          <cell r="B52" t="str">
            <v>Nguyễn Văn Chì</v>
          </cell>
          <cell r="C52" t="str">
            <v>01023001</v>
          </cell>
          <cell r="D52" t="str">
            <v>A3</v>
          </cell>
          <cell r="E52" t="str">
            <v>A3</v>
          </cell>
        </row>
        <row r="53">
          <cell r="B53" t="str">
            <v>Trần Thị Ánh Phượng</v>
          </cell>
          <cell r="C53" t="str">
            <v>01017006</v>
          </cell>
          <cell r="D53" t="str">
            <v>A2</v>
          </cell>
          <cell r="E53" t="str">
            <v>A2</v>
          </cell>
        </row>
        <row r="54">
          <cell r="B54" t="str">
            <v>Nguyễn Thị Vân</v>
          </cell>
          <cell r="C54" t="str">
            <v>01002032</v>
          </cell>
          <cell r="D54" t="str">
            <v>A1</v>
          </cell>
          <cell r="E54" t="str">
            <v>A1</v>
          </cell>
        </row>
        <row r="55">
          <cell r="B55" t="str">
            <v>Trần Thị Phương Oanh</v>
          </cell>
          <cell r="C55" t="str">
            <v>01007007</v>
          </cell>
          <cell r="D55" t="str">
            <v>A3</v>
          </cell>
          <cell r="E55" t="str">
            <v>A3</v>
          </cell>
        </row>
        <row r="56">
          <cell r="B56" t="str">
            <v>Hợp đồng trường</v>
          </cell>
          <cell r="E56">
            <v>14</v>
          </cell>
        </row>
        <row r="57">
          <cell r="B57" t="str">
            <v>Huỳnh Thị Xuân Mai</v>
          </cell>
          <cell r="C57" t="str">
            <v>01007006</v>
          </cell>
          <cell r="D57" t="str">
            <v>A3</v>
          </cell>
          <cell r="E57" t="str">
            <v>A3</v>
          </cell>
        </row>
        <row r="58">
          <cell r="B58" t="str">
            <v>Trần Văn Cu Anh</v>
          </cell>
          <cell r="C58" t="str">
            <v>01002007</v>
          </cell>
          <cell r="D58" t="str">
            <v>A3</v>
          </cell>
          <cell r="E58" t="str">
            <v>A3</v>
          </cell>
        </row>
        <row r="59">
          <cell r="B59" t="str">
            <v>Nguyễn Hữu Xuân Vũ</v>
          </cell>
          <cell r="C59" t="str">
            <v>01002010</v>
          </cell>
          <cell r="D59" t="str">
            <v>A3</v>
          </cell>
          <cell r="E59" t="str">
            <v>A3</v>
          </cell>
        </row>
        <row r="60">
          <cell r="B60" t="str">
            <v>Lê Hồng Phúc</v>
          </cell>
          <cell r="C60" t="str">
            <v>01002012</v>
          </cell>
          <cell r="D60" t="str">
            <v>A3</v>
          </cell>
          <cell r="E60" t="str">
            <v>A3</v>
          </cell>
        </row>
        <row r="61">
          <cell r="B61" t="str">
            <v>Phạm Hữu Thành Phú</v>
          </cell>
          <cell r="C61" t="str">
            <v>01002028</v>
          </cell>
          <cell r="D61" t="str">
            <v>A3</v>
          </cell>
          <cell r="E61" t="str">
            <v>A3</v>
          </cell>
        </row>
        <row r="62">
          <cell r="B62" t="str">
            <v>Huỳnh Thanh Nhàn</v>
          </cell>
          <cell r="C62" t="str">
            <v>01002027</v>
          </cell>
          <cell r="D62" t="str">
            <v>A4</v>
          </cell>
          <cell r="E62" t="str">
            <v>A4</v>
          </cell>
        </row>
        <row r="63">
          <cell r="B63" t="str">
            <v>Đồng Anh Tuấn</v>
          </cell>
          <cell r="C63" t="str">
            <v>01002013</v>
          </cell>
          <cell r="D63" t="str">
            <v>A4</v>
          </cell>
          <cell r="E63" t="str">
            <v>A4</v>
          </cell>
        </row>
        <row r="64">
          <cell r="B64" t="str">
            <v>Nguyễn Thanh Hiền</v>
          </cell>
          <cell r="C64" t="str">
            <v>01002033</v>
          </cell>
          <cell r="D64" t="str">
            <v>A4</v>
          </cell>
          <cell r="E64" t="str">
            <v>A4</v>
          </cell>
        </row>
        <row r="65">
          <cell r="B65" t="str">
            <v>Phạm Quang Tùng</v>
          </cell>
          <cell r="C65" t="str">
            <v>01010068</v>
          </cell>
          <cell r="D65" t="str">
            <v>A4</v>
          </cell>
          <cell r="E65" t="str">
            <v>A4</v>
          </cell>
        </row>
        <row r="66">
          <cell r="B66" t="str">
            <v>Trần Thanh Cường</v>
          </cell>
          <cell r="C66" t="str">
            <v>01002040</v>
          </cell>
          <cell r="D66" t="str">
            <v>A3</v>
          </cell>
          <cell r="E66" t="str">
            <v>A3</v>
          </cell>
        </row>
        <row r="67">
          <cell r="B67" t="str">
            <v>Vũ Anh Hiếu</v>
          </cell>
          <cell r="C67" t="str">
            <v>01002041</v>
          </cell>
          <cell r="D67" t="str">
            <v>A3</v>
          </cell>
          <cell r="E67" t="str">
            <v>A3</v>
          </cell>
        </row>
        <row r="68">
          <cell r="B68" t="str">
            <v>Phan Đức Hiếu</v>
          </cell>
          <cell r="C68" t="str">
            <v>01002042</v>
          </cell>
          <cell r="D68" t="str">
            <v>A3</v>
          </cell>
          <cell r="E68" t="str">
            <v>A3</v>
          </cell>
        </row>
        <row r="69">
          <cell r="B69" t="str">
            <v>Dương Văn Tâm</v>
          </cell>
          <cell r="C69" t="str">
            <v>01002035</v>
          </cell>
          <cell r="D69" t="str">
            <v>A3</v>
          </cell>
          <cell r="E69" t="str">
            <v>A3</v>
          </cell>
        </row>
        <row r="70">
          <cell r="B70" t="str">
            <v>Huỳnh Ngọc Liên</v>
          </cell>
          <cell r="C70" t="str">
            <v>01002036</v>
          </cell>
          <cell r="D70" t="str">
            <v>A3</v>
          </cell>
          <cell r="E70" t="str">
            <v>A3</v>
          </cell>
        </row>
        <row r="71">
          <cell r="B71" t="str">
            <v>PHÒNG TTGD-QHDN</v>
          </cell>
          <cell r="E71">
            <v>15</v>
          </cell>
        </row>
        <row r="72">
          <cell r="B72" t="str">
            <v>Viên chức</v>
          </cell>
          <cell r="E72">
            <v>7</v>
          </cell>
        </row>
        <row r="73">
          <cell r="B73" t="str">
            <v>Nguyễn Văn Chiến</v>
          </cell>
          <cell r="C73" t="str">
            <v>01007008</v>
          </cell>
          <cell r="D73" t="str">
            <v>A2</v>
          </cell>
          <cell r="E73" t="str">
            <v>A1</v>
          </cell>
        </row>
        <row r="74">
          <cell r="B74" t="str">
            <v>Nguyễn Thị Kim Anh</v>
          </cell>
          <cell r="C74" t="str">
            <v>01009018</v>
          </cell>
          <cell r="D74" t="str">
            <v>A3</v>
          </cell>
          <cell r="E74" t="str">
            <v>A3</v>
          </cell>
        </row>
        <row r="75">
          <cell r="B75" t="str">
            <v>Phạm Thị Lê Chi</v>
          </cell>
          <cell r="C75" t="str">
            <v>01009010</v>
          </cell>
          <cell r="D75" t="str">
            <v>A2</v>
          </cell>
          <cell r="E75" t="str">
            <v>A2</v>
          </cell>
        </row>
        <row r="76">
          <cell r="B76" t="str">
            <v>Trần Thị Thu Hà</v>
          </cell>
          <cell r="C76" t="str">
            <v>01002004</v>
          </cell>
          <cell r="D76" t="str">
            <v>A1</v>
          </cell>
          <cell r="E76" t="str">
            <v>A1</v>
          </cell>
        </row>
        <row r="77">
          <cell r="B77" t="str">
            <v>Nguyễn Tất Thắng</v>
          </cell>
          <cell r="C77" t="str">
            <v>01009008</v>
          </cell>
          <cell r="D77" t="str">
            <v>A3</v>
          </cell>
          <cell r="E77" t="str">
            <v>A3</v>
          </cell>
        </row>
        <row r="78">
          <cell r="B78" t="str">
            <v>Mai Thu Hương</v>
          </cell>
          <cell r="C78" t="str">
            <v>01007004</v>
          </cell>
          <cell r="D78" t="str">
            <v>A4</v>
          </cell>
          <cell r="E78" t="str">
            <v>A4</v>
          </cell>
        </row>
        <row r="79">
          <cell r="B79" t="str">
            <v>Nguyễn Thùy Dương</v>
          </cell>
          <cell r="C79" t="str">
            <v>01014012</v>
          </cell>
          <cell r="D79" t="str">
            <v>A3</v>
          </cell>
          <cell r="E79" t="str">
            <v>A3</v>
          </cell>
        </row>
        <row r="80">
          <cell r="B80" t="str">
            <v>Hợp đồng trường</v>
          </cell>
          <cell r="E80">
            <v>8</v>
          </cell>
        </row>
        <row r="81">
          <cell r="B81" t="str">
            <v>Nguyễn Trung Dũng</v>
          </cell>
          <cell r="C81" t="str">
            <v>01002008</v>
          </cell>
          <cell r="D81" t="str">
            <v>A3</v>
          </cell>
          <cell r="E81" t="str">
            <v>A3</v>
          </cell>
        </row>
        <row r="82">
          <cell r="B82" t="str">
            <v>Huỳnh Văn Hiếu</v>
          </cell>
          <cell r="C82" t="str">
            <v>01009019</v>
          </cell>
          <cell r="D82" t="str">
            <v>A4</v>
          </cell>
          <cell r="E82" t="str">
            <v>A4</v>
          </cell>
        </row>
        <row r="83">
          <cell r="B83" t="str">
            <v>Phạm Huy Hoàng</v>
          </cell>
          <cell r="C83" t="str">
            <v>01009011</v>
          </cell>
          <cell r="D83" t="str">
            <v>A2</v>
          </cell>
          <cell r="E83" t="str">
            <v>A2</v>
          </cell>
        </row>
        <row r="84">
          <cell r="B84" t="str">
            <v>Trần Anh Mỹ</v>
          </cell>
          <cell r="C84" t="str">
            <v>01009028</v>
          </cell>
          <cell r="D84" t="str">
            <v>A3</v>
          </cell>
          <cell r="E84" t="str">
            <v>A3</v>
          </cell>
        </row>
        <row r="85">
          <cell r="B85" t="str">
            <v>Bùi Đức Phước</v>
          </cell>
          <cell r="C85" t="str">
            <v>01009026</v>
          </cell>
          <cell r="D85" t="str">
            <v>A4</v>
          </cell>
          <cell r="E85" t="str">
            <v>A4</v>
          </cell>
        </row>
        <row r="86">
          <cell r="B86" t="str">
            <v>Nguyễn Thị Thảo</v>
          </cell>
          <cell r="C86" t="str">
            <v>01007003</v>
          </cell>
          <cell r="D86" t="str">
            <v>A4</v>
          </cell>
          <cell r="E86" t="str">
            <v>A4</v>
          </cell>
        </row>
        <row r="87">
          <cell r="B87" t="str">
            <v>Lưu Hoàng Bảo Châu</v>
          </cell>
          <cell r="C87" t="str">
            <v>01009029</v>
          </cell>
          <cell r="D87" t="str">
            <v>A DN</v>
          </cell>
          <cell r="E87" t="str">
            <v>A DN</v>
          </cell>
        </row>
        <row r="88">
          <cell r="B88" t="str">
            <v>Trần Việt Anh</v>
          </cell>
          <cell r="C88" t="str">
            <v>01002038</v>
          </cell>
          <cell r="D88" t="str">
            <v>A3</v>
          </cell>
          <cell r="E88" t="str">
            <v>A3</v>
          </cell>
        </row>
        <row r="89">
          <cell r="B89" t="str">
            <v>PHÒNG KHẢO THÍ VÀ ĐBCL</v>
          </cell>
          <cell r="E89">
            <v>8</v>
          </cell>
        </row>
        <row r="90">
          <cell r="B90" t="str">
            <v>Viên chức</v>
          </cell>
          <cell r="E90">
            <v>7</v>
          </cell>
        </row>
        <row r="91">
          <cell r="B91" t="str">
            <v>Nguyễn Chí Nhân</v>
          </cell>
          <cell r="C91" t="str">
            <v>01009009</v>
          </cell>
          <cell r="D91" t="str">
            <v>A3</v>
          </cell>
          <cell r="E91" t="str">
            <v>A1</v>
          </cell>
        </row>
        <row r="92">
          <cell r="B92" t="str">
            <v>Nguyễn Thị Kim Dung</v>
          </cell>
          <cell r="C92" t="str">
            <v>01003002</v>
          </cell>
          <cell r="D92" t="str">
            <v>A2</v>
          </cell>
          <cell r="E92" t="str">
            <v>A2</v>
          </cell>
        </row>
        <row r="93">
          <cell r="B93" t="str">
            <v>Vũ Thị Thu Thủy</v>
          </cell>
          <cell r="C93" t="str">
            <v>01013032</v>
          </cell>
          <cell r="D93" t="str">
            <v>A3</v>
          </cell>
          <cell r="E93" t="str">
            <v>A3</v>
          </cell>
        </row>
        <row r="94">
          <cell r="B94" t="str">
            <v>Nguyễn Thị Tuyết</v>
          </cell>
          <cell r="C94" t="str">
            <v>01022061</v>
          </cell>
          <cell r="D94" t="str">
            <v>A2</v>
          </cell>
          <cell r="E94" t="str">
            <v>A2</v>
          </cell>
        </row>
        <row r="95">
          <cell r="B95" t="str">
            <v>Lương Minh Dũng</v>
          </cell>
          <cell r="C95" t="str">
            <v>01015027</v>
          </cell>
          <cell r="D95" t="str">
            <v>A1</v>
          </cell>
          <cell r="E95" t="str">
            <v>A1</v>
          </cell>
        </row>
        <row r="96">
          <cell r="B96" t="str">
            <v>Mai Nguyễn Hoàng Yến</v>
          </cell>
          <cell r="C96" t="str">
            <v>01010038</v>
          </cell>
          <cell r="D96" t="str">
            <v>A3</v>
          </cell>
          <cell r="E96" t="str">
            <v>A3</v>
          </cell>
        </row>
        <row r="97">
          <cell r="B97" t="str">
            <v>Lê Xuân Thiện</v>
          </cell>
          <cell r="C97" t="str">
            <v>01002002</v>
          </cell>
          <cell r="D97" t="str">
            <v>A3</v>
          </cell>
          <cell r="E97" t="str">
            <v>A3</v>
          </cell>
        </row>
        <row r="98">
          <cell r="B98" t="str">
            <v>Hợp đồng trường</v>
          </cell>
          <cell r="E98">
            <v>1</v>
          </cell>
        </row>
        <row r="99">
          <cell r="B99" t="str">
            <v>Nguyễn Yến Nhi</v>
          </cell>
          <cell r="C99" t="str">
            <v>01006006</v>
          </cell>
          <cell r="D99" t="str">
            <v>A3</v>
          </cell>
          <cell r="E99" t="str">
            <v>A3</v>
          </cell>
        </row>
        <row r="100">
          <cell r="B100" t="str">
            <v>PHÒNG QLKH-HTQT</v>
          </cell>
          <cell r="E100">
            <v>4</v>
          </cell>
        </row>
        <row r="101">
          <cell r="B101" t="str">
            <v>Viên chức</v>
          </cell>
          <cell r="E101">
            <v>2</v>
          </cell>
        </row>
        <row r="102">
          <cell r="B102" t="str">
            <v>Nguyễn Trọng Nghĩa</v>
          </cell>
          <cell r="C102" t="str">
            <v>01025001</v>
          </cell>
          <cell r="D102" t="str">
            <v>A1</v>
          </cell>
          <cell r="E102" t="str">
            <v>A1</v>
          </cell>
        </row>
        <row r="103">
          <cell r="B103" t="str">
            <v>Lê Thị Hải Đăng</v>
          </cell>
          <cell r="C103" t="str">
            <v>01002039</v>
          </cell>
          <cell r="D103" t="str">
            <v>A2</v>
          </cell>
          <cell r="E103" t="str">
            <v>A2</v>
          </cell>
        </row>
        <row r="104">
          <cell r="B104" t="str">
            <v>Hợp đồng trường</v>
          </cell>
          <cell r="E104">
            <v>2</v>
          </cell>
        </row>
        <row r="105">
          <cell r="B105" t="str">
            <v>Lê Tiến Dũng</v>
          </cell>
          <cell r="C105" t="str">
            <v>01005003</v>
          </cell>
          <cell r="D105" t="str">
            <v>A1</v>
          </cell>
          <cell r="E105" t="str">
            <v>A1</v>
          </cell>
        </row>
        <row r="106">
          <cell r="B106" t="str">
            <v>Lê Trần Thanh Nga</v>
          </cell>
          <cell r="C106" t="str">
            <v>01005011</v>
          </cell>
          <cell r="D106" t="str">
            <v>A3</v>
          </cell>
          <cell r="E106" t="str">
            <v>A3</v>
          </cell>
        </row>
        <row r="107">
          <cell r="B107" t="str">
            <v>PHÒNG QUẢN TRỊ - DỊCH VỤ</v>
          </cell>
          <cell r="E107">
            <v>28</v>
          </cell>
        </row>
        <row r="108">
          <cell r="B108" t="str">
            <v>Viên chức</v>
          </cell>
          <cell r="E108">
            <v>10</v>
          </cell>
        </row>
        <row r="109">
          <cell r="B109" t="str">
            <v>Lê Quang Liêm</v>
          </cell>
          <cell r="C109" t="str">
            <v>01008028</v>
          </cell>
          <cell r="D109" t="str">
            <v>A1</v>
          </cell>
          <cell r="E109" t="str">
            <v>A1</v>
          </cell>
        </row>
        <row r="110">
          <cell r="B110" t="str">
            <v>Nguyễn Văn Thành</v>
          </cell>
          <cell r="C110" t="str">
            <v>01008002</v>
          </cell>
          <cell r="D110" t="str">
            <v>A1</v>
          </cell>
          <cell r="E110" t="str">
            <v>A1</v>
          </cell>
        </row>
        <row r="111">
          <cell r="B111" t="str">
            <v>Phan Hữu Tước</v>
          </cell>
          <cell r="C111" t="str">
            <v>01008049</v>
          </cell>
          <cell r="D111" t="str">
            <v>A1</v>
          </cell>
          <cell r="E111" t="str">
            <v>A1</v>
          </cell>
        </row>
        <row r="112">
          <cell r="B112" t="str">
            <v>Nguyễn Trọng Phú</v>
          </cell>
          <cell r="C112" t="str">
            <v>01008004</v>
          </cell>
          <cell r="D112" t="str">
            <v>A1</v>
          </cell>
          <cell r="E112" t="str">
            <v>A1</v>
          </cell>
        </row>
        <row r="113">
          <cell r="B113" t="str">
            <v>Phan Đức Long</v>
          </cell>
          <cell r="C113" t="str">
            <v>01009007</v>
          </cell>
          <cell r="D113" t="str">
            <v>A2</v>
          </cell>
          <cell r="E113" t="str">
            <v>A2</v>
          </cell>
        </row>
        <row r="114">
          <cell r="B114" t="str">
            <v>Giáp Văn Thịnh</v>
          </cell>
          <cell r="C114" t="str">
            <v>01008008</v>
          </cell>
          <cell r="D114" t="str">
            <v>A1</v>
          </cell>
          <cell r="E114" t="str">
            <v>A1</v>
          </cell>
        </row>
        <row r="115">
          <cell r="B115" t="str">
            <v>Vũ Ngọc Quang</v>
          </cell>
          <cell r="C115" t="str">
            <v>01008006</v>
          </cell>
          <cell r="D115" t="str">
            <v>A1</v>
          </cell>
          <cell r="E115" t="str">
            <v>A1</v>
          </cell>
        </row>
        <row r="116">
          <cell r="B116" t="str">
            <v>Ninh Đỗ Hiệp</v>
          </cell>
          <cell r="C116" t="str">
            <v>01017009</v>
          </cell>
          <cell r="D116" t="str">
            <v>A4</v>
          </cell>
          <cell r="E116" t="str">
            <v>A4</v>
          </cell>
        </row>
        <row r="117">
          <cell r="B117" t="str">
            <v>Lê Hồng Anh Tuấn</v>
          </cell>
          <cell r="C117" t="str">
            <v>01008005</v>
          </cell>
          <cell r="D117" t="str">
            <v>A1</v>
          </cell>
          <cell r="E117" t="str">
            <v>A1</v>
          </cell>
        </row>
        <row r="118">
          <cell r="B118" t="str">
            <v>Bùi Thị Dương</v>
          </cell>
          <cell r="C118" t="str">
            <v>01009014</v>
          </cell>
          <cell r="D118" t="str">
            <v>A3</v>
          </cell>
          <cell r="E118" t="str">
            <v>A4</v>
          </cell>
        </row>
        <row r="119">
          <cell r="B119" t="str">
            <v>Hợp đồng trường</v>
          </cell>
          <cell r="E119">
            <v>18</v>
          </cell>
        </row>
        <row r="120">
          <cell r="B120" t="str">
            <v>Trần Thị Thu</v>
          </cell>
          <cell r="C120" t="str">
            <v>01008021</v>
          </cell>
          <cell r="D120" t="str">
            <v>A3</v>
          </cell>
          <cell r="E120" t="str">
            <v>A2</v>
          </cell>
        </row>
        <row r="121">
          <cell r="B121" t="str">
            <v>Dương Thị Thủy</v>
          </cell>
          <cell r="C121" t="str">
            <v>01008009</v>
          </cell>
          <cell r="D121" t="str">
            <v>A2</v>
          </cell>
          <cell r="E121" t="str">
            <v>A2</v>
          </cell>
        </row>
        <row r="122">
          <cell r="B122" t="str">
            <v>Đỗ Thị Bích Thủy</v>
          </cell>
          <cell r="C122" t="str">
            <v>01008031</v>
          </cell>
          <cell r="D122" t="str">
            <v>A4</v>
          </cell>
          <cell r="E122" t="str">
            <v>A4</v>
          </cell>
        </row>
        <row r="123">
          <cell r="B123" t="str">
            <v>Trần Kim Tươi</v>
          </cell>
          <cell r="C123" t="str">
            <v>01008039</v>
          </cell>
          <cell r="D123" t="str">
            <v>A4</v>
          </cell>
          <cell r="E123" t="str">
            <v>A4</v>
          </cell>
        </row>
        <row r="124">
          <cell r="B124" t="str">
            <v>Trương Thị Bắc</v>
          </cell>
          <cell r="C124" t="str">
            <v>01008040</v>
          </cell>
          <cell r="D124" t="str">
            <v>A4</v>
          </cell>
          <cell r="E124" t="str">
            <v>A4</v>
          </cell>
        </row>
        <row r="125">
          <cell r="B125" t="str">
            <v>Trương Thị Định</v>
          </cell>
          <cell r="C125" t="str">
            <v>01008041</v>
          </cell>
          <cell r="D125" t="str">
            <v>A4</v>
          </cell>
          <cell r="E125" t="str">
            <v>A4</v>
          </cell>
        </row>
        <row r="126">
          <cell r="B126" t="str">
            <v>Giáp Đức Nhận</v>
          </cell>
          <cell r="C126" t="str">
            <v>01012027</v>
          </cell>
          <cell r="D126" t="str">
            <v>A3</v>
          </cell>
          <cell r="E126" t="str">
            <v>A2</v>
          </cell>
        </row>
        <row r="127">
          <cell r="B127" t="str">
            <v>Tạ Quốc Tấn</v>
          </cell>
          <cell r="C127" t="str">
            <v>01008012</v>
          </cell>
          <cell r="D127" t="str">
            <v>A3</v>
          </cell>
          <cell r="E127" t="str">
            <v>A2</v>
          </cell>
        </row>
        <row r="128">
          <cell r="B128" t="str">
            <v>Huỳnh Bá Triết</v>
          </cell>
          <cell r="C128" t="str">
            <v>01008033</v>
          </cell>
          <cell r="D128" t="str">
            <v>A2</v>
          </cell>
          <cell r="E128" t="str">
            <v>A1</v>
          </cell>
        </row>
        <row r="129">
          <cell r="B129" t="str">
            <v>Võ Thị Tuyết</v>
          </cell>
          <cell r="C129" t="str">
            <v>01013033</v>
          </cell>
          <cell r="D129" t="str">
            <v>A4</v>
          </cell>
          <cell r="E129" t="str">
            <v>A4</v>
          </cell>
        </row>
        <row r="130">
          <cell r="B130" t="str">
            <v>Trịnh Tuấn Vũ</v>
          </cell>
          <cell r="C130" t="str">
            <v>01009015</v>
          </cell>
          <cell r="D130" t="str">
            <v>A4</v>
          </cell>
          <cell r="E130" t="str">
            <v>A4</v>
          </cell>
        </row>
        <row r="131">
          <cell r="B131" t="str">
            <v>Võ Tấn Đức</v>
          </cell>
          <cell r="C131" t="str">
            <v>01008042</v>
          </cell>
          <cell r="D131" t="str">
            <v>A3</v>
          </cell>
          <cell r="E131" t="str">
            <v>A3</v>
          </cell>
        </row>
        <row r="132">
          <cell r="B132" t="str">
            <v>Ngô Ngọc Của</v>
          </cell>
          <cell r="C132" t="str">
            <v>01008044</v>
          </cell>
          <cell r="D132" t="str">
            <v>A4</v>
          </cell>
          <cell r="E132" t="str">
            <v>A4</v>
          </cell>
        </row>
        <row r="133">
          <cell r="B133" t="str">
            <v>Phạm Thị Hoàng Diễm</v>
          </cell>
          <cell r="C133" t="str">
            <v>01008045</v>
          </cell>
          <cell r="D133" t="str">
            <v>A4</v>
          </cell>
          <cell r="E133" t="str">
            <v>A4</v>
          </cell>
        </row>
        <row r="134">
          <cell r="B134" t="str">
            <v>Nguyễn Văn Hiển</v>
          </cell>
          <cell r="C134" t="str">
            <v>01008048</v>
          </cell>
          <cell r="D134" t="str">
            <v>A2</v>
          </cell>
          <cell r="E134" t="str">
            <v>A1</v>
          </cell>
        </row>
        <row r="135">
          <cell r="B135" t="str">
            <v>Trần Thanh Phương</v>
          </cell>
          <cell r="C135" t="str">
            <v>01002034</v>
          </cell>
          <cell r="D135" t="str">
            <v>A1</v>
          </cell>
          <cell r="E135" t="str">
            <v>A1</v>
          </cell>
        </row>
        <row r="136">
          <cell r="B136" t="str">
            <v>Lâm Võ Hữu Duy</v>
          </cell>
          <cell r="C136" t="str">
            <v>01008050</v>
          </cell>
          <cell r="D136" t="str">
            <v>A3</v>
          </cell>
          <cell r="E136" t="str">
            <v>A3</v>
          </cell>
        </row>
        <row r="137">
          <cell r="B137" t="str">
            <v>Võ Lạc Tân</v>
          </cell>
          <cell r="C137" t="str">
            <v>01008051</v>
          </cell>
          <cell r="D137" t="str">
            <v>A3</v>
          </cell>
          <cell r="E137" t="str">
            <v>A3</v>
          </cell>
        </row>
        <row r="138">
          <cell r="B138" t="str">
            <v>KHOA KHOA HỌC CƠ BẢN</v>
          </cell>
          <cell r="E138">
            <v>21</v>
          </cell>
        </row>
        <row r="139">
          <cell r="B139" t="str">
            <v>Viên chức</v>
          </cell>
          <cell r="E139">
            <v>21</v>
          </cell>
        </row>
        <row r="140">
          <cell r="B140" t="str">
            <v>Nguyễn Thị Nhuận</v>
          </cell>
          <cell r="C140" t="str">
            <v>01022003</v>
          </cell>
          <cell r="D140" t="str">
            <v>A3</v>
          </cell>
          <cell r="E140" t="str">
            <v>A2</v>
          </cell>
        </row>
        <row r="141">
          <cell r="B141" t="str">
            <v>Phạm Thị Thu Nga</v>
          </cell>
          <cell r="C141" t="str">
            <v>01010007</v>
          </cell>
          <cell r="D141" t="str">
            <v>A2</v>
          </cell>
          <cell r="E141" t="str">
            <v>A2</v>
          </cell>
        </row>
        <row r="142">
          <cell r="B142" t="str">
            <v>Nguyễn Văn Hậu</v>
          </cell>
          <cell r="C142" t="str">
            <v>01010033</v>
          </cell>
          <cell r="D142" t="str">
            <v>A4</v>
          </cell>
          <cell r="E142" t="str">
            <v>A4</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A3</v>
          </cell>
          <cell r="E149" t="str">
            <v>A3</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A3</v>
          </cell>
          <cell r="E152" t="str">
            <v>A3</v>
          </cell>
        </row>
        <row r="153">
          <cell r="B153" t="str">
            <v>Lê Minh Phong</v>
          </cell>
          <cell r="C153" t="str">
            <v>01022048</v>
          </cell>
          <cell r="D153" t="str">
            <v>A4</v>
          </cell>
          <cell r="E153" t="str">
            <v>A4</v>
          </cell>
        </row>
        <row r="154">
          <cell r="B154" t="str">
            <v>Nguyễn Thị Huyền Nga</v>
          </cell>
          <cell r="C154" t="str">
            <v>01010006</v>
          </cell>
          <cell r="D154" t="str">
            <v>A3</v>
          </cell>
          <cell r="E154" t="str">
            <v>A3</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A1</v>
          </cell>
          <cell r="E157" t="str">
            <v>A1</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A3</v>
          </cell>
          <cell r="E160" t="str">
            <v>A3</v>
          </cell>
        </row>
        <row r="161">
          <cell r="B161" t="str">
            <v>KHOA NGOẠI NGỮ</v>
          </cell>
          <cell r="E161">
            <v>16</v>
          </cell>
        </row>
        <row r="162">
          <cell r="B162" t="str">
            <v>Viên chức</v>
          </cell>
          <cell r="E162">
            <v>16</v>
          </cell>
        </row>
        <row r="163">
          <cell r="B163" t="str">
            <v>Nguyễn Thị Thu Hà</v>
          </cell>
          <cell r="C163" t="str">
            <v>01010039</v>
          </cell>
          <cell r="D163" t="str">
            <v>A3</v>
          </cell>
          <cell r="E163" t="str">
            <v>A2</v>
          </cell>
        </row>
        <row r="164">
          <cell r="B164" t="str">
            <v>Phạm Thị Thu Hiền</v>
          </cell>
          <cell r="C164" t="str">
            <v>01010040</v>
          </cell>
          <cell r="D164" t="str">
            <v>A DN</v>
          </cell>
          <cell r="E164" t="str">
            <v>A DN</v>
          </cell>
        </row>
        <row r="165">
          <cell r="B165" t="str">
            <v>Lê Nguyễn Mỹ Trâm</v>
          </cell>
          <cell r="C165" t="str">
            <v>01010009</v>
          </cell>
          <cell r="D165" t="str">
            <v>A3</v>
          </cell>
          <cell r="E165" t="str">
            <v>A3</v>
          </cell>
        </row>
        <row r="166">
          <cell r="B166" t="str">
            <v>Nguyễn Thị Bảo Trân</v>
          </cell>
          <cell r="C166" t="str">
            <v>01010020</v>
          </cell>
          <cell r="D166" t="str">
            <v>A3</v>
          </cell>
          <cell r="E166" t="str">
            <v>A3</v>
          </cell>
        </row>
        <row r="167">
          <cell r="B167" t="str">
            <v>Vương Thanh Thủy</v>
          </cell>
          <cell r="C167" t="str">
            <v>01010018</v>
          </cell>
          <cell r="D167" t="str">
            <v>A3</v>
          </cell>
          <cell r="E167" t="str">
            <v>A3</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A3</v>
          </cell>
          <cell r="E171" t="str">
            <v>A3</v>
          </cell>
        </row>
        <row r="172">
          <cell r="B172" t="str">
            <v>Nguyễn Thiện Bình</v>
          </cell>
          <cell r="C172" t="str">
            <v>01010162</v>
          </cell>
          <cell r="D172" t="str">
            <v>A3</v>
          </cell>
          <cell r="E172" t="str">
            <v>A3</v>
          </cell>
        </row>
        <row r="173">
          <cell r="B173" t="str">
            <v>Lâm Thị Phương Thảo</v>
          </cell>
          <cell r="C173" t="str">
            <v>01010141</v>
          </cell>
          <cell r="D173" t="str">
            <v>A4</v>
          </cell>
          <cell r="E173" t="str">
            <v>A4</v>
          </cell>
        </row>
        <row r="174">
          <cell r="B174" t="str">
            <v>Trần Hà Trang</v>
          </cell>
          <cell r="C174" t="str">
            <v>01010254</v>
          </cell>
          <cell r="D174" t="str">
            <v>A4</v>
          </cell>
          <cell r="E174" t="str">
            <v>A4</v>
          </cell>
        </row>
        <row r="175">
          <cell r="B175" t="str">
            <v>Lê Thu Hà</v>
          </cell>
          <cell r="C175" t="str">
            <v>01010260</v>
          </cell>
          <cell r="D175" t="str">
            <v>A3</v>
          </cell>
          <cell r="E175" t="str">
            <v>A3</v>
          </cell>
        </row>
        <row r="176">
          <cell r="B176" t="str">
            <v>Ôn Thị Ngọc Thảo</v>
          </cell>
          <cell r="C176" t="str">
            <v>01010288</v>
          </cell>
          <cell r="D176" t="str">
            <v>A3</v>
          </cell>
          <cell r="E176" t="str">
            <v>A2</v>
          </cell>
        </row>
        <row r="177">
          <cell r="B177" t="str">
            <v>Nguyễn Huỳnh Khánh Vy</v>
          </cell>
          <cell r="C177" t="str">
            <v>01027013</v>
          </cell>
          <cell r="D177" t="str">
            <v>A3</v>
          </cell>
          <cell r="E177" t="str">
            <v>A3</v>
          </cell>
        </row>
        <row r="178">
          <cell r="B178" t="str">
            <v>Đoàn Thanh Long</v>
          </cell>
          <cell r="C178" t="str">
            <v>01027003</v>
          </cell>
          <cell r="D178" t="str">
            <v>A3</v>
          </cell>
          <cell r="E178" t="str">
            <v>A3</v>
          </cell>
        </row>
        <row r="179">
          <cell r="B179" t="str">
            <v>KHOA LÝ LUẬN CHÍNH TRỊ</v>
          </cell>
          <cell r="E179">
            <v>14</v>
          </cell>
        </row>
        <row r="180">
          <cell r="B180" t="str">
            <v>Viên chức</v>
          </cell>
          <cell r="E180">
            <v>14</v>
          </cell>
        </row>
        <row r="181">
          <cell r="B181" t="str">
            <v>Lê Thị Hồng Vân</v>
          </cell>
          <cell r="C181" t="str">
            <v>01011002</v>
          </cell>
          <cell r="D181" t="str">
            <v>A3</v>
          </cell>
          <cell r="E181" t="str">
            <v>A2</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B1</v>
          </cell>
          <cell r="E184" t="str">
            <v>A3</v>
          </cell>
        </row>
        <row r="185">
          <cell r="B185" t="str">
            <v>Lê Thị Mai Hường</v>
          </cell>
          <cell r="C185" t="str">
            <v>01011013</v>
          </cell>
          <cell r="D185" t="str">
            <v>A1</v>
          </cell>
          <cell r="E185" t="str">
            <v>A1</v>
          </cell>
        </row>
        <row r="186">
          <cell r="B186" t="str">
            <v>Đinh Thị Huyên</v>
          </cell>
          <cell r="C186" t="str">
            <v>01011009</v>
          </cell>
          <cell r="D186" t="str">
            <v>A1</v>
          </cell>
          <cell r="E186" t="str">
            <v>A1</v>
          </cell>
        </row>
        <row r="187">
          <cell r="B187" t="str">
            <v>Nguyễn Anh Kiệt</v>
          </cell>
          <cell r="C187" t="str">
            <v>01011001</v>
          </cell>
          <cell r="D187" t="str">
            <v>A4</v>
          </cell>
          <cell r="E187" t="str">
            <v>A4</v>
          </cell>
        </row>
        <row r="188">
          <cell r="B188" t="str">
            <v>Đỗ Thị Ngát</v>
          </cell>
          <cell r="C188" t="str">
            <v>01011016</v>
          </cell>
          <cell r="D188" t="str">
            <v>A3</v>
          </cell>
          <cell r="E188" t="str">
            <v>A2</v>
          </cell>
        </row>
        <row r="189">
          <cell r="B189" t="str">
            <v>Cao Thị Hồng Thắm</v>
          </cell>
          <cell r="C189" t="str">
            <v>01011007</v>
          </cell>
          <cell r="D189" t="str">
            <v>A2</v>
          </cell>
          <cell r="E189" t="str">
            <v>A2</v>
          </cell>
        </row>
        <row r="190">
          <cell r="B190" t="str">
            <v>Đỗ Thị Thơm</v>
          </cell>
          <cell r="C190" t="str">
            <v>01011008</v>
          </cell>
          <cell r="D190" t="str">
            <v>A3</v>
          </cell>
          <cell r="E190" t="str">
            <v>A3</v>
          </cell>
        </row>
        <row r="191">
          <cell r="B191" t="str">
            <v>Trần Thị Hồng Thu</v>
          </cell>
          <cell r="C191" t="str">
            <v>01011015</v>
          </cell>
          <cell r="D191" t="str">
            <v>A1</v>
          </cell>
          <cell r="E191" t="str">
            <v>A1</v>
          </cell>
        </row>
        <row r="192">
          <cell r="B192" t="str">
            <v>Phan Thị Thùy Trang</v>
          </cell>
          <cell r="C192" t="str">
            <v>01011010</v>
          </cell>
          <cell r="D192" t="str">
            <v>A3</v>
          </cell>
          <cell r="E192" t="str">
            <v>A3</v>
          </cell>
        </row>
        <row r="193">
          <cell r="B193" t="str">
            <v>Hoàng Thị Trang</v>
          </cell>
          <cell r="C193" t="str">
            <v>01011018</v>
          </cell>
          <cell r="D193" t="str">
            <v>A1</v>
          </cell>
          <cell r="E193" t="str">
            <v>A1</v>
          </cell>
        </row>
        <row r="194">
          <cell r="B194" t="str">
            <v>Phạm Thị Vinh</v>
          </cell>
          <cell r="C194" t="str">
            <v>01011006</v>
          </cell>
          <cell r="D194" t="str">
            <v>A3</v>
          </cell>
          <cell r="E194" t="str">
            <v>A3</v>
          </cell>
        </row>
        <row r="195">
          <cell r="B195" t="str">
            <v>KHOA CƠ KHÍ</v>
          </cell>
          <cell r="E195">
            <v>28</v>
          </cell>
        </row>
        <row r="196">
          <cell r="B196" t="str">
            <v>Viên chức</v>
          </cell>
          <cell r="E196">
            <v>28</v>
          </cell>
        </row>
        <row r="197">
          <cell r="B197" t="str">
            <v>Chung Trần Thế Vinh</v>
          </cell>
          <cell r="C197" t="str">
            <v>01012003</v>
          </cell>
          <cell r="D197" t="str">
            <v>A2</v>
          </cell>
          <cell r="E197" t="str">
            <v>A2</v>
          </cell>
        </row>
        <row r="198">
          <cell r="B198" t="str">
            <v>Trần Đình Khải</v>
          </cell>
          <cell r="C198" t="str">
            <v>01012008</v>
          </cell>
          <cell r="D198" t="str">
            <v>A3</v>
          </cell>
          <cell r="E198" t="str">
            <v>A3</v>
          </cell>
        </row>
        <row r="199">
          <cell r="B199" t="str">
            <v>Vũ Quang Khải</v>
          </cell>
          <cell r="C199" t="str">
            <v>01012007</v>
          </cell>
          <cell r="D199" t="str">
            <v>A3</v>
          </cell>
          <cell r="E199" t="str">
            <v>A3</v>
          </cell>
        </row>
        <row r="200">
          <cell r="B200" t="str">
            <v>Vũ Đức Pháp</v>
          </cell>
          <cell r="C200" t="str">
            <v>01012013</v>
          </cell>
          <cell r="D200" t="str">
            <v>A3</v>
          </cell>
          <cell r="E200" t="str">
            <v>A2</v>
          </cell>
        </row>
        <row r="201">
          <cell r="B201" t="str">
            <v>Bùi Anh Tuấn</v>
          </cell>
          <cell r="C201" t="str">
            <v>01012023</v>
          </cell>
          <cell r="D201" t="str">
            <v>A1</v>
          </cell>
          <cell r="E201" t="str">
            <v>A1</v>
          </cell>
        </row>
        <row r="202">
          <cell r="B202" t="str">
            <v>Dương Minh Chung</v>
          </cell>
          <cell r="C202" t="str">
            <v>01012014</v>
          </cell>
          <cell r="D202" t="str">
            <v>A3</v>
          </cell>
          <cell r="E202" t="str">
            <v>A3</v>
          </cell>
        </row>
        <row r="203">
          <cell r="B203" t="str">
            <v>Đỗ Thị Phương Khanh</v>
          </cell>
          <cell r="C203" t="str">
            <v>01012005</v>
          </cell>
          <cell r="D203" t="str">
            <v>A4</v>
          </cell>
          <cell r="E203" t="str">
            <v>A4</v>
          </cell>
        </row>
        <row r="204">
          <cell r="B204" t="str">
            <v>Trương Thị Phương Hồng</v>
          </cell>
          <cell r="C204" t="str">
            <v>01012006</v>
          </cell>
          <cell r="D204" t="str">
            <v>A3</v>
          </cell>
          <cell r="E204" t="str">
            <v>A3</v>
          </cell>
        </row>
        <row r="205">
          <cell r="B205" t="str">
            <v>Phan Văn Thành</v>
          </cell>
          <cell r="C205" t="str">
            <v>01012004</v>
          </cell>
          <cell r="D205" t="str">
            <v>A4</v>
          </cell>
          <cell r="E205" t="str">
            <v>A4</v>
          </cell>
        </row>
        <row r="206">
          <cell r="B206" t="str">
            <v>Phan Thị Xuân Trang</v>
          </cell>
          <cell r="C206" t="str">
            <v>01012012</v>
          </cell>
          <cell r="D206" t="str">
            <v>A4</v>
          </cell>
          <cell r="E206" t="str">
            <v>A4</v>
          </cell>
        </row>
        <row r="207">
          <cell r="B207" t="str">
            <v>Lư Thị Yến Vũ</v>
          </cell>
          <cell r="C207" t="str">
            <v>01012016</v>
          </cell>
          <cell r="D207" t="str">
            <v>A1</v>
          </cell>
          <cell r="E207" t="str">
            <v>A1</v>
          </cell>
        </row>
        <row r="208">
          <cell r="B208" t="str">
            <v>Nguyễn Thanh Vũ</v>
          </cell>
          <cell r="C208" t="str">
            <v>01012015</v>
          </cell>
          <cell r="D208" t="str">
            <v>A3</v>
          </cell>
          <cell r="E208" t="str">
            <v>A3</v>
          </cell>
        </row>
        <row r="209">
          <cell r="B209" t="str">
            <v>Nguyễn Tiến Dũng</v>
          </cell>
          <cell r="C209" t="str">
            <v>01012019</v>
          </cell>
          <cell r="D209" t="str">
            <v>A3</v>
          </cell>
          <cell r="E209" t="str">
            <v>A3</v>
          </cell>
        </row>
        <row r="210">
          <cell r="B210" t="str">
            <v>Nguyễn Thành Long</v>
          </cell>
          <cell r="C210" t="str">
            <v>01012018</v>
          </cell>
          <cell r="D210" t="str">
            <v>A4</v>
          </cell>
          <cell r="E210" t="str">
            <v>A4</v>
          </cell>
        </row>
        <row r="211">
          <cell r="B211" t="str">
            <v>Nguyễn Ngọc Quỳnh.</v>
          </cell>
          <cell r="C211" t="str">
            <v>01012017</v>
          </cell>
          <cell r="D211" t="str">
            <v>A4</v>
          </cell>
          <cell r="E211" t="str">
            <v>A4</v>
          </cell>
        </row>
        <row r="212">
          <cell r="B212" t="str">
            <v>Nguyễn Duy Hải</v>
          </cell>
          <cell r="C212" t="str">
            <v>01012022</v>
          </cell>
          <cell r="D212" t="str">
            <v>A4</v>
          </cell>
          <cell r="E212" t="str">
            <v>A4</v>
          </cell>
        </row>
        <row r="213">
          <cell r="B213" t="str">
            <v>Trần Minh Thông</v>
          </cell>
          <cell r="C213" t="str">
            <v>01012020</v>
          </cell>
          <cell r="D213" t="str">
            <v>A3</v>
          </cell>
          <cell r="E213" t="str">
            <v>A3</v>
          </cell>
        </row>
        <row r="214">
          <cell r="B214" t="str">
            <v>Trần Thị Hương</v>
          </cell>
          <cell r="C214" t="str">
            <v>01012021</v>
          </cell>
          <cell r="D214" t="str">
            <v>A4</v>
          </cell>
          <cell r="E214" t="str">
            <v>A4</v>
          </cell>
        </row>
        <row r="215">
          <cell r="B215" t="str">
            <v>Nguyễn Thanh Vĩnh Phúc</v>
          </cell>
          <cell r="C215" t="str">
            <v>01012011</v>
          </cell>
          <cell r="D215" t="str">
            <v>A4</v>
          </cell>
          <cell r="E215" t="str">
            <v>A4</v>
          </cell>
        </row>
        <row r="216">
          <cell r="B216" t="str">
            <v>Dương Thị Hồng</v>
          </cell>
          <cell r="C216" t="str">
            <v>01012028</v>
          </cell>
          <cell r="D216" t="str">
            <v>A1</v>
          </cell>
          <cell r="E216" t="str">
            <v>A1</v>
          </cell>
        </row>
        <row r="217">
          <cell r="B217" t="str">
            <v>Nguyễn Thanh Giang</v>
          </cell>
          <cell r="C217" t="str">
            <v>01012032</v>
          </cell>
          <cell r="D217" t="str">
            <v>A4</v>
          </cell>
          <cell r="E217" t="str">
            <v>A4</v>
          </cell>
        </row>
        <row r="218">
          <cell r="B218" t="str">
            <v>Nguyễn Hồng Phúc</v>
          </cell>
          <cell r="C218" t="str">
            <v>01025017</v>
          </cell>
          <cell r="D218" t="str">
            <v>A3</v>
          </cell>
          <cell r="E218" t="str">
            <v>A3</v>
          </cell>
        </row>
        <row r="219">
          <cell r="B219" t="str">
            <v>Nguyễn Văn Sơn</v>
          </cell>
          <cell r="C219" t="str">
            <v>01006004</v>
          </cell>
          <cell r="D219" t="str">
            <v>A4</v>
          </cell>
          <cell r="E219" t="str">
            <v>A4</v>
          </cell>
        </row>
        <row r="220">
          <cell r="B220" t="str">
            <v>Nguyễn Khắc Huy</v>
          </cell>
          <cell r="C220" t="str">
            <v>01013068</v>
          </cell>
          <cell r="D220" t="str">
            <v>A3</v>
          </cell>
          <cell r="E220" t="str">
            <v>A2</v>
          </cell>
        </row>
        <row r="221">
          <cell r="B221" t="str">
            <v>Võ Hoài Sơn</v>
          </cell>
          <cell r="C221" t="str">
            <v>01012048</v>
          </cell>
          <cell r="D221" t="str">
            <v>A3</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A3</v>
          </cell>
          <cell r="E223" t="str">
            <v>A3</v>
          </cell>
        </row>
        <row r="224">
          <cell r="B224" t="str">
            <v>Nguyễn Duy Tân</v>
          </cell>
          <cell r="C224" t="str">
            <v>01012050</v>
          </cell>
          <cell r="D224" t="str">
            <v>A3</v>
          </cell>
          <cell r="E224" t="str">
            <v>A3</v>
          </cell>
        </row>
        <row r="225">
          <cell r="B225" t="str">
            <v>KHOA CÔNG NGHỆ THÔNG TIN</v>
          </cell>
          <cell r="E225">
            <v>19</v>
          </cell>
        </row>
        <row r="226">
          <cell r="B226" t="str">
            <v>Viên chức</v>
          </cell>
          <cell r="E226">
            <v>19</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Huỳnh Quốc Dũng</v>
          </cell>
          <cell r="C231" t="str">
            <v>01015041</v>
          </cell>
          <cell r="D231" t="str">
            <v>A4</v>
          </cell>
          <cell r="E231" t="str">
            <v>A4</v>
          </cell>
        </row>
        <row r="232">
          <cell r="B232" t="str">
            <v>Vũ Thị Thái Linh</v>
          </cell>
          <cell r="C232" t="str">
            <v>01015013</v>
          </cell>
          <cell r="D232" t="str">
            <v>A4</v>
          </cell>
          <cell r="E232" t="str">
            <v>A4</v>
          </cell>
        </row>
        <row r="233">
          <cell r="B233" t="str">
            <v>Nguyễn Văn Minh</v>
          </cell>
          <cell r="C233" t="str">
            <v>01015006</v>
          </cell>
          <cell r="D233" t="str">
            <v>A3</v>
          </cell>
          <cell r="E233" t="str">
            <v>A3</v>
          </cell>
        </row>
        <row r="234">
          <cell r="B234" t="str">
            <v>Nguyễn Cao Phong</v>
          </cell>
          <cell r="C234" t="str">
            <v>01018001</v>
          </cell>
          <cell r="D234" t="str">
            <v>A4</v>
          </cell>
          <cell r="E234" t="str">
            <v>A4</v>
          </cell>
        </row>
        <row r="235">
          <cell r="B235" t="str">
            <v>Lê Quý Hưng Quốc</v>
          </cell>
          <cell r="C235" t="str">
            <v>01015004</v>
          </cell>
          <cell r="D235" t="str">
            <v>A3</v>
          </cell>
          <cell r="E235" t="str">
            <v>A3</v>
          </cell>
        </row>
        <row r="236">
          <cell r="B236" t="str">
            <v>Lê Hồng Thái</v>
          </cell>
          <cell r="C236" t="str">
            <v>01015017</v>
          </cell>
          <cell r="D236" t="str">
            <v>A3</v>
          </cell>
          <cell r="E236" t="str">
            <v>A3</v>
          </cell>
        </row>
        <row r="237">
          <cell r="B237" t="str">
            <v>Nguyễn Thị Khánh Thư</v>
          </cell>
          <cell r="C237" t="str">
            <v>01015016</v>
          </cell>
          <cell r="D237" t="str">
            <v>A3</v>
          </cell>
          <cell r="E237" t="str">
            <v>A3</v>
          </cell>
        </row>
        <row r="238">
          <cell r="B238" t="str">
            <v>Mai Chiếm Tuấn</v>
          </cell>
          <cell r="C238" t="str">
            <v>01015031</v>
          </cell>
          <cell r="D238" t="str">
            <v>A3</v>
          </cell>
          <cell r="E238" t="str">
            <v>A3</v>
          </cell>
        </row>
        <row r="239">
          <cell r="B239" t="str">
            <v>Nguyễn Ngọc Tuyên</v>
          </cell>
          <cell r="C239" t="str">
            <v>01015025</v>
          </cell>
          <cell r="D239" t="str">
            <v>A4</v>
          </cell>
          <cell r="E239" t="str">
            <v>A4</v>
          </cell>
        </row>
        <row r="240">
          <cell r="B240" t="str">
            <v>Đỗ Tuấn Việt</v>
          </cell>
          <cell r="C240" t="str">
            <v>01017001</v>
          </cell>
          <cell r="D240" t="str">
            <v>A4</v>
          </cell>
          <cell r="E240" t="str">
            <v>A4</v>
          </cell>
        </row>
        <row r="241">
          <cell r="B241" t="str">
            <v>Dương Ngọc Vọng</v>
          </cell>
          <cell r="C241" t="str">
            <v>01015012</v>
          </cell>
          <cell r="D241" t="str">
            <v>A3</v>
          </cell>
          <cell r="E241" t="str">
            <v>A3</v>
          </cell>
        </row>
        <row r="242">
          <cell r="B242" t="str">
            <v>Trần Vĩnh Xuyên</v>
          </cell>
          <cell r="C242" t="str">
            <v>01015008</v>
          </cell>
          <cell r="D242" t="str">
            <v>A4</v>
          </cell>
          <cell r="E242" t="str">
            <v>A4</v>
          </cell>
        </row>
        <row r="243">
          <cell r="B243" t="str">
            <v>Đỗ Thị Hải Yến</v>
          </cell>
          <cell r="C243" t="str">
            <v>01015021</v>
          </cell>
          <cell r="D243" t="str">
            <v>B1</v>
          </cell>
          <cell r="E243" t="str">
            <v>B1</v>
          </cell>
        </row>
        <row r="244">
          <cell r="B244" t="str">
            <v>Đào Lê Phương Anh</v>
          </cell>
          <cell r="C244" t="str">
            <v>01015108</v>
          </cell>
          <cell r="D244" t="str">
            <v>A3</v>
          </cell>
          <cell r="E244" t="str">
            <v>A3</v>
          </cell>
        </row>
        <row r="245">
          <cell r="B245" t="str">
            <v>Nguyễn Duy Lộc</v>
          </cell>
          <cell r="C245" t="str">
            <v>01015142</v>
          </cell>
          <cell r="D245" t="str">
            <v>A3</v>
          </cell>
          <cell r="E245" t="str">
            <v>A3</v>
          </cell>
        </row>
        <row r="246">
          <cell r="B246" t="str">
            <v>KHOA ĐỘNG LỰC</v>
          </cell>
          <cell r="E246">
            <v>25</v>
          </cell>
        </row>
        <row r="247">
          <cell r="B247" t="str">
            <v>Viên chức</v>
          </cell>
          <cell r="E247">
            <v>24</v>
          </cell>
        </row>
        <row r="248">
          <cell r="B248" t="str">
            <v>Nguyễn Anh Tuấn</v>
          </cell>
          <cell r="C248" t="str">
            <v>01013003</v>
          </cell>
          <cell r="D248" t="str">
            <v>A1</v>
          </cell>
          <cell r="E248" t="str">
            <v>A1</v>
          </cell>
        </row>
        <row r="249">
          <cell r="B249" t="str">
            <v>Võ Đắc Thịnh</v>
          </cell>
          <cell r="C249" t="str">
            <v>01013002</v>
          </cell>
          <cell r="D249" t="str">
            <v>A3</v>
          </cell>
          <cell r="E249" t="str">
            <v>A2</v>
          </cell>
        </row>
        <row r="250">
          <cell r="B250" t="str">
            <v>Nguyễn Hữu Mạnh</v>
          </cell>
          <cell r="C250" t="str">
            <v>01013004</v>
          </cell>
          <cell r="D250" t="str">
            <v>A3</v>
          </cell>
          <cell r="E250" t="str">
            <v>A3</v>
          </cell>
        </row>
        <row r="251">
          <cell r="B251" t="str">
            <v>Hà Quốc Bảo</v>
          </cell>
          <cell r="C251" t="str">
            <v>01013021</v>
          </cell>
          <cell r="D251" t="str">
            <v>A3</v>
          </cell>
          <cell r="E251" t="str">
            <v>A3</v>
          </cell>
        </row>
        <row r="252">
          <cell r="B252" t="str">
            <v>Triệu Phú Nguyên</v>
          </cell>
          <cell r="C252" t="str">
            <v>01013006</v>
          </cell>
          <cell r="D252" t="str">
            <v>A3</v>
          </cell>
          <cell r="E252" t="str">
            <v>A3</v>
          </cell>
        </row>
        <row r="253">
          <cell r="B253" t="str">
            <v>Nguyễn Thành Đức</v>
          </cell>
          <cell r="C253" t="str">
            <v>01013018</v>
          </cell>
          <cell r="D253" t="str">
            <v>A4</v>
          </cell>
          <cell r="E253" t="str">
            <v>A4</v>
          </cell>
        </row>
        <row r="254">
          <cell r="B254" t="str">
            <v>Nguyễn Minh Thái</v>
          </cell>
          <cell r="C254" t="str">
            <v>01013019</v>
          </cell>
          <cell r="D254" t="str">
            <v>A4</v>
          </cell>
          <cell r="E254" t="str">
            <v>A4</v>
          </cell>
        </row>
        <row r="255">
          <cell r="B255" t="str">
            <v>Đặng Thái Sơn</v>
          </cell>
          <cell r="C255" t="str">
            <v>01013016</v>
          </cell>
          <cell r="D255" t="str">
            <v>A4</v>
          </cell>
          <cell r="E255" t="str">
            <v>A4</v>
          </cell>
        </row>
        <row r="256">
          <cell r="B256" t="str">
            <v>Nguyễn Thái Bình</v>
          </cell>
          <cell r="C256" t="str">
            <v>01013017</v>
          </cell>
          <cell r="D256" t="str">
            <v>A4</v>
          </cell>
          <cell r="E256" t="str">
            <v>A4</v>
          </cell>
        </row>
        <row r="257">
          <cell r="B257" t="str">
            <v>Kiều Trung Tín</v>
          </cell>
          <cell r="C257" t="str">
            <v>01013027</v>
          </cell>
          <cell r="D257" t="str">
            <v>A4</v>
          </cell>
          <cell r="E257" t="str">
            <v>A4</v>
          </cell>
        </row>
        <row r="258">
          <cell r="B258" t="str">
            <v>Trần Quốc Duy</v>
          </cell>
          <cell r="C258" t="str">
            <v>01013026</v>
          </cell>
          <cell r="D258" t="str">
            <v>A4</v>
          </cell>
          <cell r="E258" t="str">
            <v>A4</v>
          </cell>
        </row>
        <row r="259">
          <cell r="B259" t="str">
            <v>Hồ Văn Hóa</v>
          </cell>
          <cell r="C259" t="str">
            <v>01013029</v>
          </cell>
          <cell r="D259" t="str">
            <v>A4</v>
          </cell>
          <cell r="E259" t="str">
            <v>A4</v>
          </cell>
        </row>
        <row r="260">
          <cell r="B260" t="str">
            <v>Nguyễn Thanh Hùng</v>
          </cell>
          <cell r="C260" t="str">
            <v>01013028</v>
          </cell>
          <cell r="D260" t="str">
            <v>A4</v>
          </cell>
          <cell r="E260" t="str">
            <v>A4</v>
          </cell>
        </row>
        <row r="261">
          <cell r="B261" t="str">
            <v>Phan Anh Tuấn Kiệt</v>
          </cell>
          <cell r="C261" t="str">
            <v>01013005</v>
          </cell>
          <cell r="D261" t="str">
            <v>A4</v>
          </cell>
          <cell r="E261" t="str">
            <v>A4</v>
          </cell>
        </row>
        <row r="262">
          <cell r="B262" t="str">
            <v>Hoàng Phúc Bảo</v>
          </cell>
          <cell r="C262" t="str">
            <v>01013022</v>
          </cell>
          <cell r="D262" t="str">
            <v>A4</v>
          </cell>
          <cell r="E262" t="str">
            <v>A4</v>
          </cell>
        </row>
        <row r="263">
          <cell r="B263" t="str">
            <v>Nguyễn Lương Tâm</v>
          </cell>
          <cell r="C263" t="str">
            <v>01013047</v>
          </cell>
          <cell r="D263" t="str">
            <v>A4</v>
          </cell>
          <cell r="E263" t="str">
            <v>A4</v>
          </cell>
        </row>
        <row r="264">
          <cell r="B264" t="str">
            <v>Trần Thế Sơn</v>
          </cell>
          <cell r="C264" t="str">
            <v>01013070</v>
          </cell>
          <cell r="D264" t="str">
            <v>A4</v>
          </cell>
          <cell r="E264" t="str">
            <v>A4</v>
          </cell>
        </row>
        <row r="265">
          <cell r="B265" t="str">
            <v>Trần Văn Đông</v>
          </cell>
          <cell r="C265" t="str">
            <v>01014047</v>
          </cell>
          <cell r="D265" t="str">
            <v>A4</v>
          </cell>
          <cell r="E265" t="str">
            <v>A4</v>
          </cell>
        </row>
        <row r="266">
          <cell r="B266" t="str">
            <v>Lý Văn Trung</v>
          </cell>
          <cell r="C266" t="str">
            <v>01013079</v>
          </cell>
          <cell r="D266" t="str">
            <v>A4</v>
          </cell>
          <cell r="E266" t="str">
            <v>A4</v>
          </cell>
        </row>
        <row r="267">
          <cell r="B267" t="str">
            <v>Nguyễn Hoàng Vinh</v>
          </cell>
          <cell r="C267" t="str">
            <v>01013087</v>
          </cell>
          <cell r="D267" t="str">
            <v>A3</v>
          </cell>
          <cell r="E267" t="str">
            <v>A3</v>
          </cell>
        </row>
        <row r="268">
          <cell r="B268" t="str">
            <v>Bùi Trọng Tân</v>
          </cell>
          <cell r="C268" t="str">
            <v>01013094</v>
          </cell>
          <cell r="D268" t="str">
            <v>A4</v>
          </cell>
          <cell r="E268" t="str">
            <v>A4</v>
          </cell>
        </row>
        <row r="269">
          <cell r="B269" t="str">
            <v>Giang Văn Tiến</v>
          </cell>
          <cell r="C269" t="str">
            <v>01013117</v>
          </cell>
          <cell r="D269" t="str">
            <v>A4</v>
          </cell>
          <cell r="E269" t="str">
            <v>A4</v>
          </cell>
        </row>
        <row r="270">
          <cell r="B270" t="str">
            <v>Nguyễn Hữu Lương</v>
          </cell>
          <cell r="C270" t="str">
            <v>01013116</v>
          </cell>
          <cell r="D270" t="str">
            <v>A4</v>
          </cell>
          <cell r="E270" t="str">
            <v>A4</v>
          </cell>
        </row>
        <row r="271">
          <cell r="B271" t="str">
            <v>Huỳnh Đình Văn</v>
          </cell>
          <cell r="C271" t="str">
            <v>01013128</v>
          </cell>
          <cell r="D271" t="str">
            <v>A4</v>
          </cell>
          <cell r="E271" t="str">
            <v>A4</v>
          </cell>
        </row>
        <row r="272">
          <cell r="B272" t="str">
            <v>Hợp đồng trường</v>
          </cell>
          <cell r="E272">
            <v>1</v>
          </cell>
        </row>
        <row r="273">
          <cell r="B273" t="str">
            <v>Nguyễn Khắc Huân</v>
          </cell>
          <cell r="C273" t="str">
            <v>01013096</v>
          </cell>
          <cell r="D273" t="str">
            <v>A3</v>
          </cell>
          <cell r="E273" t="str">
            <v>A3</v>
          </cell>
        </row>
        <row r="274">
          <cell r="B274" t="str">
            <v>KHOA ĐIỆN - ĐIỆN TỬ</v>
          </cell>
          <cell r="E274">
            <v>31</v>
          </cell>
        </row>
        <row r="275">
          <cell r="B275" t="str">
            <v>Viên chức</v>
          </cell>
          <cell r="E275">
            <v>31</v>
          </cell>
        </row>
        <row r="276">
          <cell r="B276" t="str">
            <v>Tạ Minh Cường</v>
          </cell>
          <cell r="C276" t="str">
            <v>01014002</v>
          </cell>
          <cell r="D276" t="str">
            <v>A1</v>
          </cell>
          <cell r="E276" t="str">
            <v>A1</v>
          </cell>
        </row>
        <row r="277">
          <cell r="B277" t="str">
            <v>Huỳnh Ngọc Mai</v>
          </cell>
          <cell r="C277" t="str">
            <v>01014004</v>
          </cell>
          <cell r="D277" t="str">
            <v>A1</v>
          </cell>
          <cell r="E277" t="str">
            <v>A3</v>
          </cell>
        </row>
        <row r="278">
          <cell r="B278" t="str">
            <v>Phạm Minh Nghĩa</v>
          </cell>
          <cell r="C278" t="str">
            <v>01023003</v>
          </cell>
          <cell r="D278" t="str">
            <v>A1</v>
          </cell>
          <cell r="E278" t="str">
            <v>A3</v>
          </cell>
        </row>
        <row r="279">
          <cell r="B279" t="str">
            <v>Trần Nguyên Bảo Trân</v>
          </cell>
          <cell r="C279" t="str">
            <v>01014038</v>
          </cell>
          <cell r="D279" t="str">
            <v>A3</v>
          </cell>
          <cell r="E279" t="str">
            <v>A3</v>
          </cell>
        </row>
        <row r="280">
          <cell r="B280" t="str">
            <v>Huỳnh Duy An</v>
          </cell>
          <cell r="C280" t="str">
            <v>01014051</v>
          </cell>
          <cell r="D280" t="str">
            <v>A4</v>
          </cell>
          <cell r="E280" t="str">
            <v>A4</v>
          </cell>
        </row>
        <row r="281">
          <cell r="B281" t="str">
            <v>Ngô Hoàng Anh</v>
          </cell>
          <cell r="C281" t="str">
            <v>01014005</v>
          </cell>
          <cell r="D281" t="str">
            <v>A3</v>
          </cell>
          <cell r="E281" t="str">
            <v>A3</v>
          </cell>
        </row>
        <row r="282">
          <cell r="B282" t="str">
            <v>Trần Nam Anh</v>
          </cell>
          <cell r="C282" t="str">
            <v>01014046</v>
          </cell>
          <cell r="D282" t="str">
            <v>A3</v>
          </cell>
          <cell r="E282" t="str">
            <v>A2</v>
          </cell>
        </row>
        <row r="283">
          <cell r="B283" t="str">
            <v>Vũ Hạnh Chiêu</v>
          </cell>
          <cell r="C283" t="str">
            <v>01014026</v>
          </cell>
          <cell r="D283" t="str">
            <v>A3</v>
          </cell>
          <cell r="E283" t="str">
            <v>A3</v>
          </cell>
        </row>
        <row r="284">
          <cell r="B284" t="str">
            <v>Ngô Phong Cường</v>
          </cell>
          <cell r="C284" t="str">
            <v>01014029</v>
          </cell>
          <cell r="D284" t="str">
            <v>A3</v>
          </cell>
          <cell r="E284" t="str">
            <v>A3</v>
          </cell>
        </row>
        <row r="285">
          <cell r="B285" t="str">
            <v>Nguyễn Minh Đức Cường</v>
          </cell>
          <cell r="C285" t="str">
            <v>01014033</v>
          </cell>
          <cell r="D285" t="str">
            <v>A3</v>
          </cell>
          <cell r="E285" t="str">
            <v>A3</v>
          </cell>
        </row>
        <row r="286">
          <cell r="B286" t="str">
            <v>Nguyễn Hồng Đức</v>
          </cell>
          <cell r="C286" t="str">
            <v>01014013</v>
          </cell>
          <cell r="D286" t="str">
            <v>A4</v>
          </cell>
          <cell r="E286" t="str">
            <v>A4</v>
          </cell>
        </row>
        <row r="287">
          <cell r="B287" t="str">
            <v>Nguyễn Minh Đức</v>
          </cell>
          <cell r="C287" t="str">
            <v>01014017</v>
          </cell>
          <cell r="D287" t="str">
            <v>A4</v>
          </cell>
          <cell r="E287" t="str">
            <v>A4</v>
          </cell>
        </row>
        <row r="288">
          <cell r="B288" t="str">
            <v>Nguyễn Thị Ngọc Hiền</v>
          </cell>
          <cell r="C288" t="str">
            <v>01014034</v>
          </cell>
          <cell r="D288" t="str">
            <v>A3</v>
          </cell>
          <cell r="E288" t="str">
            <v>A3</v>
          </cell>
        </row>
        <row r="289">
          <cell r="B289" t="str">
            <v>Trần Trung Hiếu</v>
          </cell>
          <cell r="C289" t="str">
            <v>01014020</v>
          </cell>
          <cell r="D289" t="str">
            <v>A4</v>
          </cell>
          <cell r="E289" t="str">
            <v>A4</v>
          </cell>
        </row>
        <row r="290">
          <cell r="B290" t="str">
            <v>Mạnh Lê Hoàn</v>
          </cell>
          <cell r="C290" t="str">
            <v>01014018</v>
          </cell>
          <cell r="D290" t="str">
            <v>A4</v>
          </cell>
          <cell r="E290" t="str">
            <v>A4</v>
          </cell>
        </row>
        <row r="291">
          <cell r="B291" t="str">
            <v>Phan Thanh Hoàng</v>
          </cell>
          <cell r="C291" t="str">
            <v>01014042</v>
          </cell>
          <cell r="D291" t="str">
            <v>A3</v>
          </cell>
          <cell r="E291" t="str">
            <v>A3</v>
          </cell>
        </row>
        <row r="292">
          <cell r="B292" t="str">
            <v>Lê Thế Huân</v>
          </cell>
          <cell r="C292" t="str">
            <v>01014019</v>
          </cell>
          <cell r="D292" t="str">
            <v>A4</v>
          </cell>
          <cell r="E292" t="str">
            <v>A4</v>
          </cell>
        </row>
        <row r="293">
          <cell r="B293" t="str">
            <v>Tăng Cẩm Huê</v>
          </cell>
          <cell r="C293" t="str">
            <v>01014010</v>
          </cell>
          <cell r="D293" t="str">
            <v>A3</v>
          </cell>
          <cell r="E293" t="str">
            <v>A3</v>
          </cell>
        </row>
        <row r="294">
          <cell r="B294" t="str">
            <v>Nguyễn Thùy Linh</v>
          </cell>
          <cell r="C294" t="str">
            <v>01014030</v>
          </cell>
          <cell r="D294" t="str">
            <v>A3</v>
          </cell>
          <cell r="E294" t="str">
            <v>A3</v>
          </cell>
        </row>
        <row r="295">
          <cell r="B295" t="str">
            <v>Đặng Đức Minh</v>
          </cell>
          <cell r="C295" t="str">
            <v>01014024</v>
          </cell>
          <cell r="D295" t="str">
            <v>A3</v>
          </cell>
          <cell r="E295" t="str">
            <v>A3</v>
          </cell>
        </row>
        <row r="296">
          <cell r="B296" t="str">
            <v>Trần Giang Nam</v>
          </cell>
          <cell r="C296" t="str">
            <v>01014048</v>
          </cell>
          <cell r="D296" t="str">
            <v>A3</v>
          </cell>
          <cell r="E296" t="str">
            <v>A3</v>
          </cell>
        </row>
        <row r="297">
          <cell r="B297" t="str">
            <v>Nguyễn Thị Tố Nga</v>
          </cell>
          <cell r="C297" t="str">
            <v>01014022</v>
          </cell>
          <cell r="D297" t="str">
            <v>A4</v>
          </cell>
          <cell r="E297" t="str">
            <v>A4</v>
          </cell>
        </row>
        <row r="298">
          <cell r="B298" t="str">
            <v>Nguyễn Trần Thanh Nhàn</v>
          </cell>
          <cell r="C298" t="str">
            <v>01014025</v>
          </cell>
          <cell r="D298" t="str">
            <v>A3</v>
          </cell>
          <cell r="E298" t="str">
            <v>A3</v>
          </cell>
        </row>
        <row r="299">
          <cell r="B299" t="str">
            <v>Đỗ Huỳnh Thanh Phong</v>
          </cell>
          <cell r="C299" t="str">
            <v>01014032</v>
          </cell>
          <cell r="D299" t="str">
            <v>A3</v>
          </cell>
          <cell r="E299" t="str">
            <v>A3</v>
          </cell>
        </row>
        <row r="300">
          <cell r="B300" t="str">
            <v>Nguyễn Anh Tăng</v>
          </cell>
          <cell r="C300" t="str">
            <v>01014006</v>
          </cell>
          <cell r="D300" t="str">
            <v>A3</v>
          </cell>
          <cell r="E300" t="str">
            <v>A3</v>
          </cell>
        </row>
        <row r="301">
          <cell r="B301" t="str">
            <v>Nguyễn Khương Thành</v>
          </cell>
          <cell r="C301" t="str">
            <v>01014052</v>
          </cell>
          <cell r="D301" t="str">
            <v>A3</v>
          </cell>
          <cell r="E301" t="str">
            <v>A3</v>
          </cell>
        </row>
        <row r="302">
          <cell r="B302" t="str">
            <v>Trần Công Tiến</v>
          </cell>
          <cell r="C302" t="str">
            <v>01014009</v>
          </cell>
          <cell r="D302" t="str">
            <v>A3</v>
          </cell>
          <cell r="E302" t="str">
            <v>A3</v>
          </cell>
        </row>
        <row r="303">
          <cell r="B303" t="str">
            <v>Cao Văn Tuấn</v>
          </cell>
          <cell r="C303" t="str">
            <v>01014045</v>
          </cell>
          <cell r="D303" t="str">
            <v>A3</v>
          </cell>
          <cell r="E303" t="str">
            <v>A3</v>
          </cell>
        </row>
        <row r="304">
          <cell r="B304" t="str">
            <v>Trần Hiếu Trinh</v>
          </cell>
          <cell r="C304" t="str">
            <v>01014021</v>
          </cell>
          <cell r="D304" t="str">
            <v>A3</v>
          </cell>
          <cell r="E304" t="str">
            <v>A3</v>
          </cell>
        </row>
        <row r="305">
          <cell r="B305" t="str">
            <v>Nguyễn Văn Yên</v>
          </cell>
          <cell r="C305" t="str">
            <v>01014016</v>
          </cell>
          <cell r="D305" t="str">
            <v>A3</v>
          </cell>
          <cell r="E305" t="str">
            <v>A2</v>
          </cell>
        </row>
        <row r="306">
          <cell r="B306" t="str">
            <v>Lâm Viết Dũng</v>
          </cell>
          <cell r="C306" t="str">
            <v>01007009</v>
          </cell>
          <cell r="D306" t="str">
            <v>E</v>
          </cell>
          <cell r="E306" t="str">
            <v>E</v>
          </cell>
        </row>
        <row r="307">
          <cell r="B307" t="str">
            <v>KHOA MAY - THỜI TRANG</v>
          </cell>
          <cell r="E307">
            <v>8</v>
          </cell>
        </row>
        <row r="308">
          <cell r="B308" t="str">
            <v>Viên chức</v>
          </cell>
          <cell r="E308">
            <v>8</v>
          </cell>
        </row>
        <row r="309">
          <cell r="B309" t="str">
            <v>Nguyễn Ngọc Thọ</v>
          </cell>
          <cell r="C309" t="str">
            <v>01016008</v>
          </cell>
          <cell r="D309" t="str">
            <v>A3</v>
          </cell>
          <cell r="E309" t="str">
            <v>A2</v>
          </cell>
        </row>
        <row r="310">
          <cell r="B310" t="str">
            <v>Chế Vân Cầm</v>
          </cell>
          <cell r="C310" t="str">
            <v>01016004</v>
          </cell>
          <cell r="D310" t="str">
            <v>A3</v>
          </cell>
          <cell r="E310" t="str">
            <v>A3</v>
          </cell>
        </row>
        <row r="311">
          <cell r="B311" t="str">
            <v>Nguyễn Bạch Cẩm Dung</v>
          </cell>
          <cell r="C311" t="str">
            <v>01016002</v>
          </cell>
          <cell r="D311" t="str">
            <v>A4</v>
          </cell>
          <cell r="E311" t="str">
            <v>A4</v>
          </cell>
        </row>
        <row r="312">
          <cell r="B312" t="str">
            <v>Nguyễn Thị Hiền</v>
          </cell>
          <cell r="C312" t="str">
            <v>01016006</v>
          </cell>
          <cell r="D312" t="str">
            <v>A3</v>
          </cell>
          <cell r="E312" t="str">
            <v>A3</v>
          </cell>
        </row>
        <row r="313">
          <cell r="B313" t="str">
            <v>Bùi Thị Ngọc Sương</v>
          </cell>
          <cell r="C313" t="str">
            <v>01016005</v>
          </cell>
          <cell r="D313" t="str">
            <v>A3</v>
          </cell>
          <cell r="E313" t="str">
            <v>A3</v>
          </cell>
        </row>
        <row r="314">
          <cell r="B314" t="str">
            <v>Lê Thị Phương Thảo</v>
          </cell>
          <cell r="C314" t="str">
            <v>01016012</v>
          </cell>
          <cell r="D314" t="str">
            <v>A4</v>
          </cell>
          <cell r="E314" t="str">
            <v>A4</v>
          </cell>
        </row>
        <row r="315">
          <cell r="B315" t="str">
            <v>Trần Hồng Thảo</v>
          </cell>
          <cell r="C315" t="str">
            <v>01016010</v>
          </cell>
          <cell r="D315" t="str">
            <v>A3</v>
          </cell>
          <cell r="E315" t="str">
            <v>A3</v>
          </cell>
        </row>
        <row r="316">
          <cell r="B316" t="str">
            <v>Lâm Thị Phương Thùy</v>
          </cell>
          <cell r="C316" t="str">
            <v>01016007</v>
          </cell>
          <cell r="D316" t="str">
            <v>A3</v>
          </cell>
          <cell r="E316" t="str">
            <v>A3</v>
          </cell>
        </row>
        <row r="317">
          <cell r="B317" t="str">
            <v>KHOA XÂY DỰNG - NHIỆT LẠNH</v>
          </cell>
          <cell r="E317">
            <v>11</v>
          </cell>
        </row>
        <row r="318">
          <cell r="B318" t="str">
            <v>Viên chức</v>
          </cell>
          <cell r="E318">
            <v>11</v>
          </cell>
        </row>
        <row r="319">
          <cell r="B319" t="str">
            <v>Phạm Quang Vũ</v>
          </cell>
          <cell r="C319" t="str">
            <v>01004014</v>
          </cell>
          <cell r="D319" t="str">
            <v>A3</v>
          </cell>
          <cell r="E319" t="str">
            <v>A2</v>
          </cell>
        </row>
        <row r="320">
          <cell r="B320" t="str">
            <v>Hoàng Văn Viết</v>
          </cell>
          <cell r="C320" t="str">
            <v>01029001</v>
          </cell>
          <cell r="D320" t="str">
            <v>A3</v>
          </cell>
          <cell r="E320" t="str">
            <v>A2</v>
          </cell>
        </row>
        <row r="321">
          <cell r="B321" t="str">
            <v>Võ Anh Hào</v>
          </cell>
          <cell r="C321" t="str">
            <v>01013010</v>
          </cell>
          <cell r="D321" t="str">
            <v>A4</v>
          </cell>
          <cell r="E321" t="str">
            <v>A4</v>
          </cell>
        </row>
        <row r="322">
          <cell r="B322" t="str">
            <v>Đặng Thế Huân</v>
          </cell>
          <cell r="C322" t="str">
            <v>01013009</v>
          </cell>
          <cell r="D322" t="str">
            <v>A3</v>
          </cell>
          <cell r="E322" t="str">
            <v>A3</v>
          </cell>
        </row>
        <row r="323">
          <cell r="B323" t="str">
            <v>Nguyễn Vũ Xuân Thì</v>
          </cell>
          <cell r="C323" t="str">
            <v>01013008</v>
          </cell>
          <cell r="D323" t="str">
            <v>A3</v>
          </cell>
          <cell r="E323" t="str">
            <v>A3</v>
          </cell>
        </row>
        <row r="324">
          <cell r="B324" t="str">
            <v>Đỗ Trọng Quý</v>
          </cell>
          <cell r="C324" t="str">
            <v>01013011</v>
          </cell>
          <cell r="D324" t="str">
            <v>A4</v>
          </cell>
          <cell r="E324" t="str">
            <v>A4</v>
          </cell>
        </row>
        <row r="325">
          <cell r="B325" t="str">
            <v>Trần Đình Khoa</v>
          </cell>
          <cell r="C325" t="str">
            <v>01013023</v>
          </cell>
          <cell r="D325" t="str">
            <v>A4</v>
          </cell>
          <cell r="E325" t="str">
            <v>A4</v>
          </cell>
        </row>
        <row r="326">
          <cell r="B326" t="str">
            <v>Phan Văn Hòa</v>
          </cell>
          <cell r="C326" t="str">
            <v>01013015</v>
          </cell>
          <cell r="D326" t="str">
            <v>A4</v>
          </cell>
          <cell r="E326" t="str">
            <v>A4</v>
          </cell>
        </row>
        <row r="327">
          <cell r="B327" t="str">
            <v>Nguyễn Thanh Dũng</v>
          </cell>
          <cell r="C327" t="str">
            <v>01029016</v>
          </cell>
          <cell r="D327" t="str">
            <v>A3</v>
          </cell>
          <cell r="E327" t="str">
            <v>A3</v>
          </cell>
        </row>
        <row r="328">
          <cell r="B328" t="str">
            <v>Trình Minh Phong</v>
          </cell>
          <cell r="C328" t="str">
            <v>01028013</v>
          </cell>
          <cell r="D328" t="str">
            <v>A4</v>
          </cell>
          <cell r="E328" t="str">
            <v>A4</v>
          </cell>
        </row>
        <row r="329">
          <cell r="B329" t="str">
            <v>Trần Ngọc Tuấn</v>
          </cell>
          <cell r="C329" t="str">
            <v>01028017</v>
          </cell>
          <cell r="D329" t="str">
            <v>A3</v>
          </cell>
          <cell r="E329" t="str">
            <v>A3</v>
          </cell>
        </row>
        <row r="330">
          <cell r="B330" t="str">
            <v>KHOA KINH TẾ</v>
          </cell>
          <cell r="E330">
            <v>9</v>
          </cell>
        </row>
        <row r="331">
          <cell r="B331" t="str">
            <v>Viên chức</v>
          </cell>
          <cell r="E331">
            <v>9</v>
          </cell>
        </row>
        <row r="332">
          <cell r="B332" t="str">
            <v>Trịnh Hoàng Hiệp</v>
          </cell>
          <cell r="C332" t="str">
            <v>01025007</v>
          </cell>
          <cell r="D332" t="str">
            <v>A2</v>
          </cell>
          <cell r="E332" t="str">
            <v>A1</v>
          </cell>
        </row>
        <row r="333">
          <cell r="B333" t="str">
            <v>Lưu Thị Thúy</v>
          </cell>
          <cell r="C333" t="str">
            <v>01025002</v>
          </cell>
          <cell r="D333" t="str">
            <v>A1</v>
          </cell>
          <cell r="E333" t="str">
            <v>A1</v>
          </cell>
        </row>
        <row r="334">
          <cell r="B334" t="str">
            <v>Trần Thị Ngọc Dung</v>
          </cell>
          <cell r="C334" t="str">
            <v>01025016</v>
          </cell>
          <cell r="D334" t="str">
            <v>A3</v>
          </cell>
          <cell r="E334" t="str">
            <v>A3</v>
          </cell>
        </row>
        <row r="335">
          <cell r="B335" t="str">
            <v>Cao Xuân Giang</v>
          </cell>
          <cell r="C335" t="str">
            <v>01025018</v>
          </cell>
          <cell r="D335" t="str">
            <v>A3</v>
          </cell>
          <cell r="E335" t="str">
            <v>A2</v>
          </cell>
        </row>
        <row r="336">
          <cell r="B336" t="str">
            <v>Nguyễn Thị Thanh Hòa</v>
          </cell>
          <cell r="C336" t="str">
            <v>01009027</v>
          </cell>
          <cell r="D336" t="str">
            <v>A3</v>
          </cell>
          <cell r="E336" t="str">
            <v>A2</v>
          </cell>
        </row>
        <row r="337">
          <cell r="B337" t="str">
            <v>Lê Hồng Ngọc My</v>
          </cell>
          <cell r="C337" t="str">
            <v>01015053</v>
          </cell>
          <cell r="D337" t="str">
            <v>A3</v>
          </cell>
          <cell r="E337" t="str">
            <v>A3</v>
          </cell>
        </row>
        <row r="338">
          <cell r="B338" t="str">
            <v>Lê Thị Thu Thảo</v>
          </cell>
          <cell r="C338" t="str">
            <v>01025008</v>
          </cell>
          <cell r="D338" t="str">
            <v>A1</v>
          </cell>
          <cell r="E338" t="str">
            <v>A1</v>
          </cell>
        </row>
        <row r="339">
          <cell r="B339" t="str">
            <v>Nguyễn Mỹ Tiên</v>
          </cell>
          <cell r="C339" t="str">
            <v>01025015</v>
          </cell>
          <cell r="D339" t="str">
            <v>A3</v>
          </cell>
          <cell r="E339" t="str">
            <v>A3</v>
          </cell>
        </row>
        <row r="340">
          <cell r="B340" t="str">
            <v>Nguyễn Thụy Nghiêm</v>
          </cell>
          <cell r="C340" t="str">
            <v>01003014</v>
          </cell>
          <cell r="D340" t="str">
            <v>A1</v>
          </cell>
          <cell r="E340" t="str">
            <v>A1</v>
          </cell>
        </row>
        <row r="341">
          <cell r="B341" t="str">
            <v>KHOA DU LỊCH - KHÁCH SẠN</v>
          </cell>
          <cell r="E341">
            <v>7</v>
          </cell>
        </row>
        <row r="342">
          <cell r="B342" t="str">
            <v>Viên chức</v>
          </cell>
          <cell r="E342">
            <v>7</v>
          </cell>
        </row>
        <row r="343">
          <cell r="B343" t="str">
            <v>Hồ Gia Bảo</v>
          </cell>
          <cell r="C343" t="str">
            <v>01025029</v>
          </cell>
          <cell r="D343" t="str">
            <v>A1</v>
          </cell>
          <cell r="E343" t="str">
            <v>A1</v>
          </cell>
        </row>
        <row r="344">
          <cell r="B344" t="str">
            <v>Lữ Xuân Trang</v>
          </cell>
          <cell r="C344" t="str">
            <v>01025009</v>
          </cell>
          <cell r="D344" t="str">
            <v>A2</v>
          </cell>
          <cell r="E344" t="str">
            <v>A1</v>
          </cell>
        </row>
        <row r="345">
          <cell r="B345" t="str">
            <v>Phạm Thị Thanh Thúy</v>
          </cell>
          <cell r="C345" t="str">
            <v>01016003</v>
          </cell>
          <cell r="D345" t="str">
            <v>A3</v>
          </cell>
          <cell r="E345" t="str">
            <v>A3</v>
          </cell>
        </row>
        <row r="346">
          <cell r="B346" t="str">
            <v>Đinh Thị Trâm</v>
          </cell>
          <cell r="C346" t="str">
            <v>01025033</v>
          </cell>
          <cell r="D346" t="str">
            <v>A2</v>
          </cell>
          <cell r="E346" t="str">
            <v>A2</v>
          </cell>
        </row>
        <row r="347">
          <cell r="B347" t="str">
            <v>Lê Thị Thúy Oanh</v>
          </cell>
          <cell r="C347" t="str">
            <v>01025020</v>
          </cell>
          <cell r="D347" t="str">
            <v>A DN</v>
          </cell>
          <cell r="E347" t="str">
            <v>A DN</v>
          </cell>
        </row>
        <row r="348">
          <cell r="B348" t="str">
            <v>Võ Thị Kim Thư</v>
          </cell>
          <cell r="C348" t="str">
            <v>01025012</v>
          </cell>
          <cell r="D348" t="str">
            <v>A3</v>
          </cell>
          <cell r="E348" t="str">
            <v>A3</v>
          </cell>
        </row>
        <row r="349">
          <cell r="B349" t="str">
            <v>Huỳnh Kim Liên</v>
          </cell>
          <cell r="C349" t="str">
            <v>01025052</v>
          </cell>
          <cell r="D349" t="str">
            <v>A1</v>
          </cell>
          <cell r="E349" t="str">
            <v>A1</v>
          </cell>
        </row>
        <row r="350">
          <cell r="B350" t="str">
            <v>TRUNG TÂM THƯ VIỆN</v>
          </cell>
          <cell r="E350">
            <v>7</v>
          </cell>
        </row>
        <row r="351">
          <cell r="B351" t="str">
            <v>Viên chức</v>
          </cell>
          <cell r="E351">
            <v>4</v>
          </cell>
        </row>
        <row r="352">
          <cell r="B352" t="str">
            <v>Hồ Ngọc Chi</v>
          </cell>
          <cell r="C352" t="str">
            <v>01015042</v>
          </cell>
          <cell r="D352" t="str">
            <v>A2</v>
          </cell>
          <cell r="E352" t="str">
            <v>A2</v>
          </cell>
        </row>
        <row r="353">
          <cell r="B353" t="str">
            <v>Nguyễn Tứ Cảnh</v>
          </cell>
          <cell r="C353" t="str">
            <v>01018003</v>
          </cell>
          <cell r="D353" t="str">
            <v>A4</v>
          </cell>
          <cell r="E353" t="str">
            <v>A4</v>
          </cell>
        </row>
        <row r="354">
          <cell r="B354" t="str">
            <v>Đặng Thu Hà</v>
          </cell>
          <cell r="C354" t="str">
            <v>01018002</v>
          </cell>
          <cell r="D354" t="str">
            <v>A3</v>
          </cell>
          <cell r="E354" t="str">
            <v>A3</v>
          </cell>
        </row>
        <row r="355">
          <cell r="B355" t="str">
            <v>Trần Thị Diễm Thúy</v>
          </cell>
          <cell r="C355" t="str">
            <v>01018005</v>
          </cell>
          <cell r="D355" t="str">
            <v>A3</v>
          </cell>
          <cell r="E355" t="str">
            <v>A3</v>
          </cell>
        </row>
        <row r="356">
          <cell r="B356" t="str">
            <v>Hợp đồng trường</v>
          </cell>
          <cell r="E356">
            <v>3</v>
          </cell>
        </row>
        <row r="357">
          <cell r="B357" t="str">
            <v>Nguyễn Thị Trang</v>
          </cell>
          <cell r="C357" t="str">
            <v>01018008</v>
          </cell>
          <cell r="D357" t="str">
            <v>A3</v>
          </cell>
          <cell r="E357" t="str">
            <v>A3</v>
          </cell>
        </row>
        <row r="358">
          <cell r="B358" t="str">
            <v>Hà Thị Hậu</v>
          </cell>
          <cell r="C358" t="str">
            <v>01018007</v>
          </cell>
          <cell r="D358" t="str">
            <v>A3</v>
          </cell>
          <cell r="E358" t="str">
            <v>A3</v>
          </cell>
        </row>
        <row r="359">
          <cell r="B359" t="str">
            <v>Lư Diễm Phúc</v>
          </cell>
          <cell r="C359" t="str">
            <v>01018009</v>
          </cell>
          <cell r="D359" t="str">
            <v>A4</v>
          </cell>
          <cell r="E359" t="str">
            <v>A3</v>
          </cell>
        </row>
        <row r="360">
          <cell r="B360" t="str">
            <v>TRUNG TÂM ĐÀO TẠO - QLVTTB</v>
          </cell>
          <cell r="E360">
            <v>11</v>
          </cell>
        </row>
        <row r="361">
          <cell r="B361" t="str">
            <v>Viên chức</v>
          </cell>
          <cell r="E361">
            <v>7</v>
          </cell>
        </row>
        <row r="362">
          <cell r="B362" t="str">
            <v>Lương Xuân Thịnh</v>
          </cell>
          <cell r="C362" t="str">
            <v>01004005</v>
          </cell>
          <cell r="D362" t="str">
            <v>A1</v>
          </cell>
          <cell r="E362" t="str">
            <v>A1</v>
          </cell>
        </row>
        <row r="363">
          <cell r="B363" t="str">
            <v>Nguyễn Cao Thắng</v>
          </cell>
          <cell r="C363" t="str">
            <v>01002021</v>
          </cell>
          <cell r="D363" t="str">
            <v>A1</v>
          </cell>
          <cell r="E363" t="str">
            <v>A1</v>
          </cell>
        </row>
        <row r="364">
          <cell r="B364" t="str">
            <v>Đỗ Thị Tâm</v>
          </cell>
          <cell r="C364" t="str">
            <v>01019002</v>
          </cell>
          <cell r="D364" t="str">
            <v>A3</v>
          </cell>
          <cell r="E364" t="str">
            <v>A3</v>
          </cell>
        </row>
        <row r="365">
          <cell r="B365" t="str">
            <v>Bùi Đặng Hoàng Tuấn</v>
          </cell>
          <cell r="C365" t="str">
            <v>01015028</v>
          </cell>
          <cell r="D365" t="str">
            <v>A2</v>
          </cell>
          <cell r="E365" t="str">
            <v>A2</v>
          </cell>
        </row>
        <row r="366">
          <cell r="B366" t="str">
            <v>Võ Tấn Kiệt</v>
          </cell>
          <cell r="C366" t="str">
            <v>01008034</v>
          </cell>
          <cell r="D366" t="str">
            <v>A1</v>
          </cell>
          <cell r="E366" t="str">
            <v>A1</v>
          </cell>
        </row>
        <row r="367">
          <cell r="B367" t="str">
            <v>Nguyễn Tiến Việt Dũng</v>
          </cell>
          <cell r="C367" t="str">
            <v>01015026</v>
          </cell>
          <cell r="D367" t="str">
            <v>A2</v>
          </cell>
          <cell r="E367" t="str">
            <v>A1</v>
          </cell>
        </row>
        <row r="368">
          <cell r="B368" t="str">
            <v>Thân Thị Nhung</v>
          </cell>
          <cell r="C368" t="str">
            <v>01007005</v>
          </cell>
          <cell r="D368" t="str">
            <v>A2</v>
          </cell>
          <cell r="E368" t="str">
            <v>A2</v>
          </cell>
        </row>
        <row r="369">
          <cell r="B369" t="str">
            <v>Hợp đồng trường</v>
          </cell>
          <cell r="E369">
            <v>4</v>
          </cell>
        </row>
        <row r="370">
          <cell r="B370" t="str">
            <v>Lương Thị Thắm</v>
          </cell>
          <cell r="C370" t="str">
            <v>01019001</v>
          </cell>
          <cell r="D370" t="str">
            <v>A3</v>
          </cell>
          <cell r="E370" t="str">
            <v>A3</v>
          </cell>
        </row>
        <row r="371">
          <cell r="B371" t="str">
            <v>Đỗ Công Thành</v>
          </cell>
          <cell r="C371" t="str">
            <v>01005005</v>
          </cell>
          <cell r="D371" t="str">
            <v>A1</v>
          </cell>
          <cell r="E371" t="str">
            <v>A1</v>
          </cell>
        </row>
        <row r="372">
          <cell r="B372" t="str">
            <v>Nguyễn Xuân Lợi</v>
          </cell>
          <cell r="C372" t="str">
            <v>01017008</v>
          </cell>
          <cell r="D372" t="str">
            <v>A2</v>
          </cell>
          <cell r="E372" t="str">
            <v>A2</v>
          </cell>
        </row>
        <row r="373">
          <cell r="B373" t="str">
            <v>Nguyễn Hoàng Hải</v>
          </cell>
          <cell r="C373" t="str">
            <v>01019003</v>
          </cell>
          <cell r="D373" t="str">
            <v>A3</v>
          </cell>
          <cell r="E373" t="str">
            <v>A3</v>
          </cell>
        </row>
        <row r="374">
          <cell r="B374" t="str">
            <v>TRUNG TÂM Y TẾ</v>
          </cell>
          <cell r="E374">
            <v>3</v>
          </cell>
        </row>
        <row r="375">
          <cell r="B375" t="str">
            <v>Viên chức</v>
          </cell>
          <cell r="E375">
            <v>2</v>
          </cell>
        </row>
        <row r="376">
          <cell r="B376" t="str">
            <v>Trang Thị Xuân Uyên</v>
          </cell>
          <cell r="C376" t="str">
            <v>01021001</v>
          </cell>
          <cell r="D376" t="str">
            <v>A1</v>
          </cell>
          <cell r="E376" t="str">
            <v>A2</v>
          </cell>
        </row>
        <row r="377">
          <cell r="B377" t="str">
            <v>Bùi Thị Lan Anh</v>
          </cell>
          <cell r="C377" t="str">
            <v>01021003</v>
          </cell>
          <cell r="D377" t="str">
            <v>A2</v>
          </cell>
          <cell r="E377" t="str">
            <v>A3</v>
          </cell>
        </row>
        <row r="378">
          <cell r="B378" t="str">
            <v>Hợp đồng trường</v>
          </cell>
          <cell r="E378">
            <v>1</v>
          </cell>
        </row>
        <row r="379">
          <cell r="B379" t="str">
            <v>Lê Thị Huyền</v>
          </cell>
          <cell r="C379" t="str">
            <v>01021004</v>
          </cell>
          <cell r="D379" t="str">
            <v>A2</v>
          </cell>
          <cell r="E379" t="str">
            <v>A3</v>
          </cell>
        </row>
        <row r="380">
          <cell r="B380" t="str">
            <v>TRUNG TÂM ĐIỀU HÀNH - QLDL</v>
          </cell>
          <cell r="E380">
            <v>6</v>
          </cell>
        </row>
        <row r="381">
          <cell r="B381" t="str">
            <v>Viên chức</v>
          </cell>
          <cell r="E381">
            <v>4</v>
          </cell>
        </row>
        <row r="382">
          <cell r="B382" t="str">
            <v>Nguyễn Hữu Thiện</v>
          </cell>
          <cell r="C382" t="str">
            <v>01017003</v>
          </cell>
          <cell r="D382" t="str">
            <v>A1</v>
          </cell>
          <cell r="E382" t="str">
            <v>A1</v>
          </cell>
        </row>
        <row r="383">
          <cell r="B383" t="str">
            <v>Trương Thị Hồng</v>
          </cell>
          <cell r="C383" t="str">
            <v>01023002</v>
          </cell>
          <cell r="D383" t="str">
            <v>A1</v>
          </cell>
          <cell r="E383" t="str">
            <v>A1</v>
          </cell>
        </row>
        <row r="384">
          <cell r="B384" t="str">
            <v>Vương Hội Khánh</v>
          </cell>
          <cell r="C384" t="str">
            <v>01017010</v>
          </cell>
          <cell r="D384" t="str">
            <v>A2</v>
          </cell>
          <cell r="E384" t="str">
            <v>A1</v>
          </cell>
        </row>
        <row r="385">
          <cell r="B385" t="str">
            <v>Trương Hữu Lộc</v>
          </cell>
          <cell r="C385" t="str">
            <v>01018004</v>
          </cell>
          <cell r="D385" t="str">
            <v>A1</v>
          </cell>
          <cell r="E385" t="str">
            <v>A1</v>
          </cell>
        </row>
        <row r="386">
          <cell r="B386" t="str">
            <v>Hợp đồng trường</v>
          </cell>
          <cell r="E386">
            <v>2</v>
          </cell>
        </row>
        <row r="387">
          <cell r="B387" t="str">
            <v>Phạm Huỳnh Kim Ngân</v>
          </cell>
          <cell r="C387" t="str">
            <v>01025013</v>
          </cell>
          <cell r="D387" t="str">
            <v>B1</v>
          </cell>
          <cell r="E387" t="str">
            <v>B1</v>
          </cell>
        </row>
        <row r="388">
          <cell r="B388" t="str">
            <v>Nguyễn Đan Trường</v>
          </cell>
          <cell r="C388" t="str">
            <v>01031001</v>
          </cell>
          <cell r="D388" t="str">
            <v>A3</v>
          </cell>
          <cell r="E388" t="str">
            <v>A3</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Phó Hiệu Trưởng PT</v>
          </cell>
          <cell r="H10">
            <v>27</v>
          </cell>
          <cell r="I10">
            <v>1350000</v>
          </cell>
          <cell r="J10">
            <v>1</v>
          </cell>
        </row>
        <row r="11">
          <cell r="F11" t="str">
            <v>Đinh Hồng Minh</v>
          </cell>
          <cell r="G11" t="str">
            <v xml:space="preserve">Phó Hiệu Trưởng </v>
          </cell>
          <cell r="H11">
            <v>26</v>
          </cell>
          <cell r="I11">
            <v>1300000</v>
          </cell>
          <cell r="J11">
            <v>2</v>
          </cell>
        </row>
        <row r="12">
          <cell r="F12" t="str">
            <v>Châu Văn Bảo</v>
          </cell>
          <cell r="G12" t="str">
            <v xml:space="preserve">Phó Hiệu Trưởng </v>
          </cell>
          <cell r="H12">
            <v>27</v>
          </cell>
          <cell r="I12">
            <v>1350000</v>
          </cell>
          <cell r="J12">
            <v>3</v>
          </cell>
        </row>
        <row r="13">
          <cell r="F13" t="str">
            <v>Lưu Hoàng Hải Yến</v>
          </cell>
          <cell r="G13" t="str">
            <v>Phòng TC-HC-TH</v>
          </cell>
          <cell r="H13">
            <v>23</v>
          </cell>
          <cell r="I13">
            <v>1150000</v>
          </cell>
          <cell r="J13">
            <v>4</v>
          </cell>
        </row>
        <row r="14">
          <cell r="F14" t="str">
            <v>Huỳnh Thị Minh Ly</v>
          </cell>
          <cell r="G14" t="str">
            <v xml:space="preserve"> </v>
          </cell>
          <cell r="H14">
            <v>24</v>
          </cell>
          <cell r="I14">
            <v>1200000</v>
          </cell>
          <cell r="J14">
            <v>5</v>
          </cell>
        </row>
        <row r="15">
          <cell r="F15" t="str">
            <v>Nguyễn Văn Chì</v>
          </cell>
          <cell r="H15">
            <v>19</v>
          </cell>
          <cell r="I15">
            <v>950000</v>
          </cell>
          <cell r="J15">
            <v>6</v>
          </cell>
        </row>
        <row r="16">
          <cell r="F16" t="str">
            <v>Nguyễn Thị Vân</v>
          </cell>
          <cell r="H16">
            <v>23</v>
          </cell>
          <cell r="I16">
            <v>1150000</v>
          </cell>
          <cell r="J16">
            <v>7</v>
          </cell>
        </row>
        <row r="17">
          <cell r="F17" t="str">
            <v>Phan Thị Ngọc Phượng</v>
          </cell>
          <cell r="H17">
            <v>19.5</v>
          </cell>
          <cell r="I17">
            <v>975000</v>
          </cell>
          <cell r="J17">
            <v>8</v>
          </cell>
        </row>
        <row r="18">
          <cell r="F18" t="str">
            <v>Trần Thị Ánh Phượng</v>
          </cell>
          <cell r="H18">
            <v>19.5</v>
          </cell>
          <cell r="I18">
            <v>975000</v>
          </cell>
          <cell r="J18">
            <v>9</v>
          </cell>
        </row>
        <row r="19">
          <cell r="F19" t="str">
            <v>Trần Thị Phương Oanh</v>
          </cell>
          <cell r="H19">
            <v>20</v>
          </cell>
          <cell r="I19">
            <v>1000000</v>
          </cell>
          <cell r="J19">
            <v>10</v>
          </cell>
        </row>
        <row r="20">
          <cell r="F20" t="str">
            <v>Vũ Như Quỳnh</v>
          </cell>
          <cell r="H20">
            <v>21</v>
          </cell>
          <cell r="I20">
            <v>1050000</v>
          </cell>
          <cell r="J20">
            <v>11</v>
          </cell>
        </row>
        <row r="21">
          <cell r="F21" t="str">
            <v>Nguyễn Thị Bích Liễu</v>
          </cell>
          <cell r="H21">
            <v>20</v>
          </cell>
          <cell r="I21">
            <v>1000000</v>
          </cell>
          <cell r="J21">
            <v>12</v>
          </cell>
        </row>
        <row r="22">
          <cell r="F22" t="str">
            <v>Lê Quang Liêm</v>
          </cell>
          <cell r="G22" t="str">
            <v>Phòng QT - DV</v>
          </cell>
          <cell r="H22">
            <v>24</v>
          </cell>
          <cell r="I22">
            <v>1200000</v>
          </cell>
          <cell r="J22">
            <v>13</v>
          </cell>
        </row>
        <row r="23">
          <cell r="F23" t="str">
            <v>Nguyễn Văn Thành</v>
          </cell>
          <cell r="H23">
            <v>24</v>
          </cell>
          <cell r="I23">
            <v>1200000</v>
          </cell>
          <cell r="J23">
            <v>14</v>
          </cell>
        </row>
        <row r="24">
          <cell r="F24" t="str">
            <v>Phan Đức Long</v>
          </cell>
          <cell r="H24">
            <v>21</v>
          </cell>
          <cell r="I24">
            <v>1050000</v>
          </cell>
          <cell r="J24">
            <v>15</v>
          </cell>
        </row>
        <row r="25">
          <cell r="F25" t="str">
            <v>Ninh Đỗ Hiệp</v>
          </cell>
          <cell r="H25">
            <v>21</v>
          </cell>
          <cell r="I25">
            <v>1050000</v>
          </cell>
          <cell r="J25">
            <v>16</v>
          </cell>
        </row>
        <row r="26">
          <cell r="F26" t="str">
            <v>Nguyễn Trọng Phú</v>
          </cell>
          <cell r="H26">
            <v>22</v>
          </cell>
          <cell r="I26">
            <v>1100000</v>
          </cell>
          <cell r="J26">
            <v>17</v>
          </cell>
        </row>
        <row r="27">
          <cell r="F27" t="str">
            <v>Lê Hồng Anh Tuấn</v>
          </cell>
          <cell r="H27">
            <v>20</v>
          </cell>
          <cell r="I27">
            <v>1000000</v>
          </cell>
          <cell r="J27">
            <v>18</v>
          </cell>
        </row>
        <row r="28">
          <cell r="F28" t="str">
            <v>Giáp Văn Thịnh</v>
          </cell>
          <cell r="H28">
            <v>20</v>
          </cell>
          <cell r="I28">
            <v>1000000</v>
          </cell>
          <cell r="J28">
            <v>19</v>
          </cell>
        </row>
        <row r="29">
          <cell r="F29" t="str">
            <v>Vũ Ngọc Quang</v>
          </cell>
          <cell r="H29">
            <v>20</v>
          </cell>
          <cell r="I29">
            <v>1000000</v>
          </cell>
          <cell r="J29">
            <v>20</v>
          </cell>
        </row>
        <row r="30">
          <cell r="F30" t="str">
            <v>Bùi Thị Dương</v>
          </cell>
          <cell r="H30">
            <v>23</v>
          </cell>
          <cell r="I30">
            <v>1150000</v>
          </cell>
          <cell r="J30">
            <v>21</v>
          </cell>
        </row>
        <row r="31">
          <cell r="F31" t="str">
            <v>Phan Hữu Tước</v>
          </cell>
          <cell r="H31">
            <v>24</v>
          </cell>
          <cell r="I31">
            <v>1200000</v>
          </cell>
          <cell r="J31">
            <v>22</v>
          </cell>
        </row>
        <row r="32">
          <cell r="F32" t="str">
            <v>Trang Thị Xuân Uyên</v>
          </cell>
          <cell r="G32" t="str">
            <v>Trung tâm Y tế</v>
          </cell>
          <cell r="H32">
            <v>23</v>
          </cell>
          <cell r="I32">
            <v>1150000</v>
          </cell>
          <cell r="J32">
            <v>23</v>
          </cell>
        </row>
        <row r="33">
          <cell r="F33" t="str">
            <v>Bùi Thị Lan Anh</v>
          </cell>
          <cell r="H33">
            <v>24</v>
          </cell>
          <cell r="I33">
            <v>1200000</v>
          </cell>
          <cell r="J33">
            <v>24</v>
          </cell>
        </row>
        <row r="34">
          <cell r="F34" t="str">
            <v>Nguyễn Kính</v>
          </cell>
          <cell r="G34" t="str">
            <v xml:space="preserve">Phòng KH - TC </v>
          </cell>
          <cell r="H34">
            <v>27</v>
          </cell>
          <cell r="I34">
            <v>1350000</v>
          </cell>
          <cell r="J34">
            <v>25</v>
          </cell>
        </row>
        <row r="35">
          <cell r="F35" t="str">
            <v>Võ Thị Lệ Trân</v>
          </cell>
          <cell r="H35">
            <v>24</v>
          </cell>
          <cell r="I35">
            <v>1200000</v>
          </cell>
          <cell r="J35">
            <v>26</v>
          </cell>
        </row>
        <row r="36">
          <cell r="F36" t="str">
            <v>Trần Thị Minh Thoa</v>
          </cell>
          <cell r="H36">
            <v>24</v>
          </cell>
          <cell r="I36">
            <v>1200000</v>
          </cell>
          <cell r="J36">
            <v>27</v>
          </cell>
        </row>
        <row r="37">
          <cell r="F37" t="str">
            <v>Hồng Mộng Tuyết Dung</v>
          </cell>
          <cell r="H37">
            <v>24</v>
          </cell>
          <cell r="I37">
            <v>1200000</v>
          </cell>
          <cell r="J37">
            <v>28</v>
          </cell>
        </row>
        <row r="38">
          <cell r="F38" t="str">
            <v>Nguyễn Thị Hồng Thắm</v>
          </cell>
          <cell r="H38">
            <v>0</v>
          </cell>
          <cell r="I38">
            <v>0</v>
          </cell>
          <cell r="J38">
            <v>29</v>
          </cell>
          <cell r="K38" t="str">
            <v>Nghỉ HS từ T12/2024</v>
          </cell>
        </row>
        <row r="39">
          <cell r="F39" t="str">
            <v>Nguyễn Thị Minh Thùy</v>
          </cell>
          <cell r="H39">
            <v>0</v>
          </cell>
          <cell r="I39">
            <v>0</v>
          </cell>
          <cell r="J39">
            <v>30</v>
          </cell>
          <cell r="K39" t="str">
            <v>Nghỉ hộ sản hưởng chế độ BHXH từ T4/2025</v>
          </cell>
        </row>
        <row r="40">
          <cell r="F40" t="str">
            <v>Nguyễn Văn Chiến</v>
          </cell>
          <cell r="G40" t="str">
            <v>Phòng Thanh tra GD - QHDN</v>
          </cell>
          <cell r="H40">
            <v>20</v>
          </cell>
          <cell r="I40">
            <v>1000000</v>
          </cell>
          <cell r="J40">
            <v>31</v>
          </cell>
          <cell r="K40" t="str">
            <v>Trừ 3 ngày nghỉ phép 5+6+7/5</v>
          </cell>
        </row>
        <row r="41">
          <cell r="F41" t="str">
            <v>Nguyễn Tất Thắng</v>
          </cell>
          <cell r="H41">
            <v>20</v>
          </cell>
          <cell r="I41">
            <v>1000000</v>
          </cell>
          <cell r="J41">
            <v>32</v>
          </cell>
        </row>
        <row r="42">
          <cell r="F42" t="str">
            <v>Trần Thị Thu Hà</v>
          </cell>
          <cell r="H42">
            <v>22</v>
          </cell>
          <cell r="I42">
            <v>1100000</v>
          </cell>
          <cell r="J42">
            <v>33</v>
          </cell>
        </row>
        <row r="43">
          <cell r="F43" t="str">
            <v>Phạm Thị Lê Chi</v>
          </cell>
          <cell r="H43">
            <v>20</v>
          </cell>
          <cell r="I43">
            <v>1000000</v>
          </cell>
          <cell r="J43">
            <v>34</v>
          </cell>
        </row>
        <row r="44">
          <cell r="F44" t="str">
            <v>Nguyễn Thùy Dương</v>
          </cell>
          <cell r="H44">
            <v>21</v>
          </cell>
          <cell r="I44">
            <v>1050000</v>
          </cell>
          <cell r="J44">
            <v>35</v>
          </cell>
        </row>
        <row r="45">
          <cell r="F45" t="str">
            <v>Nguyễn Thị Kim Anh</v>
          </cell>
          <cell r="H45">
            <v>21</v>
          </cell>
          <cell r="I45">
            <v>1050000</v>
          </cell>
          <cell r="J45">
            <v>36</v>
          </cell>
        </row>
        <row r="46">
          <cell r="F46" t="str">
            <v>Mai Thu Hương</v>
          </cell>
          <cell r="H46">
            <v>21</v>
          </cell>
          <cell r="I46">
            <v>1050000</v>
          </cell>
          <cell r="J46">
            <v>37</v>
          </cell>
        </row>
        <row r="47">
          <cell r="F47" t="str">
            <v>Nguyễn Thành Nam</v>
          </cell>
          <cell r="G47" t="str">
            <v>Phòng TS-ĐT</v>
          </cell>
          <cell r="H47">
            <v>20.5</v>
          </cell>
          <cell r="I47">
            <v>1025000</v>
          </cell>
          <cell r="J47">
            <v>38</v>
          </cell>
        </row>
        <row r="48">
          <cell r="F48" t="str">
            <v>Quách Minh Thử</v>
          </cell>
          <cell r="H48">
            <v>26.5</v>
          </cell>
          <cell r="I48">
            <v>1325000</v>
          </cell>
          <cell r="J48">
            <v>39</v>
          </cell>
        </row>
        <row r="49">
          <cell r="F49" t="str">
            <v>Võ Thị Xuân Thơ</v>
          </cell>
          <cell r="H49">
            <v>23.5</v>
          </cell>
          <cell r="I49">
            <v>1175000</v>
          </cell>
          <cell r="J49">
            <v>40</v>
          </cell>
        </row>
        <row r="50">
          <cell r="F50" t="str">
            <v>Nguyễn Thị Hải Hà</v>
          </cell>
          <cell r="H50">
            <v>22</v>
          </cell>
          <cell r="I50">
            <v>1100000</v>
          </cell>
          <cell r="J50">
            <v>41</v>
          </cell>
        </row>
        <row r="51">
          <cell r="F51" t="str">
            <v>Nguyễn Thị Thanh Thảo</v>
          </cell>
          <cell r="H51">
            <v>21.5</v>
          </cell>
          <cell r="I51">
            <v>1075000</v>
          </cell>
          <cell r="J51">
            <v>42</v>
          </cell>
        </row>
        <row r="52">
          <cell r="F52" t="str">
            <v>Thái Thị My Sa</v>
          </cell>
          <cell r="H52">
            <v>20</v>
          </cell>
          <cell r="I52">
            <v>1000000</v>
          </cell>
          <cell r="J52">
            <v>43</v>
          </cell>
          <cell r="K52" t="str">
            <v>Trừ 1 ngày nghỉ phép 30/5</v>
          </cell>
        </row>
        <row r="53">
          <cell r="F53" t="str">
            <v>Giáp Thị Vượng</v>
          </cell>
          <cell r="H53">
            <v>21</v>
          </cell>
          <cell r="I53">
            <v>1050000</v>
          </cell>
          <cell r="J53">
            <v>44</v>
          </cell>
        </row>
        <row r="54">
          <cell r="F54" t="str">
            <v>Huỳnh Thị Cẩm Hoa</v>
          </cell>
          <cell r="H54">
            <v>20.5</v>
          </cell>
          <cell r="I54">
            <v>1025000</v>
          </cell>
          <cell r="J54">
            <v>45</v>
          </cell>
        </row>
        <row r="55">
          <cell r="F55" t="str">
            <v>Nguyễn Thị Thùy</v>
          </cell>
          <cell r="H55">
            <v>21</v>
          </cell>
          <cell r="I55">
            <v>1050000</v>
          </cell>
          <cell r="J55">
            <v>46</v>
          </cell>
        </row>
        <row r="56">
          <cell r="F56" t="str">
            <v>Nguyễn Thị Ngọc Anh</v>
          </cell>
          <cell r="H56">
            <v>20.5</v>
          </cell>
          <cell r="I56">
            <v>1025000</v>
          </cell>
          <cell r="J56">
            <v>47</v>
          </cell>
        </row>
        <row r="57">
          <cell r="F57" t="str">
            <v>Nguyễn Chí Nhân</v>
          </cell>
          <cell r="G57" t="str">
            <v>Phòng Khảo thí và ĐBCL</v>
          </cell>
          <cell r="H57">
            <v>23</v>
          </cell>
          <cell r="I57">
            <v>1150000</v>
          </cell>
          <cell r="J57">
            <v>48</v>
          </cell>
        </row>
        <row r="58">
          <cell r="F58" t="str">
            <v>Nguyễn Thị Kim Dung</v>
          </cell>
          <cell r="H58">
            <v>22</v>
          </cell>
          <cell r="I58">
            <v>1100000</v>
          </cell>
          <cell r="J58">
            <v>49</v>
          </cell>
        </row>
        <row r="59">
          <cell r="F59" t="str">
            <v>Lê Xuân Thiện</v>
          </cell>
          <cell r="H59">
            <v>20</v>
          </cell>
          <cell r="I59">
            <v>1000000</v>
          </cell>
          <cell r="J59">
            <v>50</v>
          </cell>
        </row>
        <row r="60">
          <cell r="F60" t="str">
            <v>Lương Minh Dũng</v>
          </cell>
          <cell r="H60">
            <v>20</v>
          </cell>
          <cell r="I60">
            <v>1000000</v>
          </cell>
          <cell r="J60">
            <v>51</v>
          </cell>
        </row>
        <row r="61">
          <cell r="F61" t="str">
            <v>Nguyễn Thị Tuyết</v>
          </cell>
          <cell r="H61">
            <v>20</v>
          </cell>
          <cell r="I61">
            <v>1000000</v>
          </cell>
          <cell r="J61">
            <v>52</v>
          </cell>
        </row>
        <row r="62">
          <cell r="F62" t="str">
            <v>Vũ Thị Thu Thủy</v>
          </cell>
          <cell r="H62">
            <v>21</v>
          </cell>
          <cell r="I62">
            <v>1050000</v>
          </cell>
          <cell r="J62">
            <v>53</v>
          </cell>
        </row>
        <row r="63">
          <cell r="F63" t="str">
            <v>Mai Nguyễn Hoàng Yến</v>
          </cell>
          <cell r="H63">
            <v>23</v>
          </cell>
          <cell r="I63">
            <v>1150000</v>
          </cell>
          <cell r="J63">
            <v>54</v>
          </cell>
        </row>
        <row r="64">
          <cell r="F64" t="str">
            <v>Nguyễn Trọng Nghĩa</v>
          </cell>
          <cell r="G64" t="str">
            <v>Phòng KHCN &amp; QHQT</v>
          </cell>
          <cell r="H64">
            <v>21</v>
          </cell>
          <cell r="I64">
            <v>1050000</v>
          </cell>
          <cell r="J64">
            <v>55</v>
          </cell>
        </row>
        <row r="65">
          <cell r="F65" t="str">
            <v>Lê Thị Hải Đăng</v>
          </cell>
          <cell r="H65">
            <v>20</v>
          </cell>
          <cell r="I65">
            <v>1000000</v>
          </cell>
          <cell r="J65">
            <v>56</v>
          </cell>
        </row>
        <row r="66">
          <cell r="F66" t="str">
            <v>Nguyễn Hữu Thiện</v>
          </cell>
          <cell r="G66" t="str">
            <v>TT. Điều hành &amp; QLDL</v>
          </cell>
          <cell r="H66">
            <v>25</v>
          </cell>
          <cell r="I66">
            <v>1250000</v>
          </cell>
          <cell r="J66">
            <v>57</v>
          </cell>
        </row>
        <row r="67">
          <cell r="F67" t="str">
            <v>Vương Hội Khánh</v>
          </cell>
          <cell r="H67">
            <v>20</v>
          </cell>
          <cell r="I67">
            <v>1000000</v>
          </cell>
          <cell r="J67">
            <v>58</v>
          </cell>
        </row>
        <row r="68">
          <cell r="F68" t="str">
            <v>Trương Hữu Lộc</v>
          </cell>
          <cell r="H68">
            <v>22</v>
          </cell>
          <cell r="I68">
            <v>1100000</v>
          </cell>
          <cell r="J68">
            <v>59</v>
          </cell>
        </row>
        <row r="69">
          <cell r="F69" t="str">
            <v>Trương Thị Hồng</v>
          </cell>
          <cell r="H69">
            <v>24</v>
          </cell>
          <cell r="I69">
            <v>1200000</v>
          </cell>
          <cell r="J69">
            <v>60</v>
          </cell>
        </row>
        <row r="70">
          <cell r="F70" t="str">
            <v>Lương Xuân Thịnh</v>
          </cell>
          <cell r="G70" t="str">
            <v>TT Đào tạo và QLTB</v>
          </cell>
          <cell r="H70">
            <v>28</v>
          </cell>
          <cell r="I70">
            <v>1400000</v>
          </cell>
          <cell r="J70">
            <v>61</v>
          </cell>
        </row>
        <row r="71">
          <cell r="F71" t="str">
            <v>Nguyễn Cao Thắng</v>
          </cell>
          <cell r="H71">
            <v>27</v>
          </cell>
          <cell r="I71">
            <v>1350000</v>
          </cell>
          <cell r="J71">
            <v>62</v>
          </cell>
        </row>
        <row r="72">
          <cell r="F72" t="str">
            <v>Đỗ Thị Tâm</v>
          </cell>
          <cell r="H72">
            <v>25</v>
          </cell>
          <cell r="I72">
            <v>1250000</v>
          </cell>
          <cell r="J72">
            <v>63</v>
          </cell>
        </row>
        <row r="73">
          <cell r="F73" t="str">
            <v>Nguyễn Tiến Việt Dũng</v>
          </cell>
          <cell r="H73">
            <v>20</v>
          </cell>
          <cell r="I73">
            <v>1000000</v>
          </cell>
          <cell r="J73">
            <v>64</v>
          </cell>
        </row>
        <row r="74">
          <cell r="F74" t="str">
            <v>Bùi Đặng Hoàng Tuấn</v>
          </cell>
          <cell r="H74">
            <v>20</v>
          </cell>
          <cell r="I74">
            <v>1000000</v>
          </cell>
          <cell r="J74">
            <v>65</v>
          </cell>
        </row>
        <row r="75">
          <cell r="F75" t="str">
            <v>Võ Tấn Kiệt</v>
          </cell>
          <cell r="H75">
            <v>20</v>
          </cell>
          <cell r="I75">
            <v>1000000</v>
          </cell>
          <cell r="J75">
            <v>66</v>
          </cell>
        </row>
        <row r="76">
          <cell r="F76" t="str">
            <v>Thân Thị Nhung</v>
          </cell>
          <cell r="H76">
            <v>21</v>
          </cell>
          <cell r="I76">
            <v>1050000</v>
          </cell>
          <cell r="J76">
            <v>67</v>
          </cell>
        </row>
        <row r="77">
          <cell r="F77" t="str">
            <v>Hồ Ngọc Chi</v>
          </cell>
          <cell r="G77" t="str">
            <v>TT. Thư viện</v>
          </cell>
          <cell r="H77">
            <v>20</v>
          </cell>
          <cell r="I77">
            <v>1000000</v>
          </cell>
          <cell r="J77">
            <v>68</v>
          </cell>
        </row>
        <row r="78">
          <cell r="F78" t="str">
            <v>Nguyễn Tứ Cảnh</v>
          </cell>
          <cell r="H78">
            <v>19.5</v>
          </cell>
          <cell r="I78">
            <v>975000</v>
          </cell>
          <cell r="J78">
            <v>69</v>
          </cell>
          <cell r="K78" t="str">
            <v>Trừ 1/2 ngày nghỉ phép</v>
          </cell>
        </row>
        <row r="79">
          <cell r="F79" t="str">
            <v>Đặng Thu Hà</v>
          </cell>
          <cell r="H79">
            <v>20</v>
          </cell>
          <cell r="I79">
            <v>1000000</v>
          </cell>
          <cell r="J79">
            <v>70</v>
          </cell>
        </row>
        <row r="80">
          <cell r="F80" t="str">
            <v>Trần Thị Diễm Thúy</v>
          </cell>
          <cell r="H80">
            <v>20</v>
          </cell>
          <cell r="I80">
            <v>1000000</v>
          </cell>
          <cell r="J80">
            <v>71</v>
          </cell>
        </row>
        <row r="81">
          <cell r="F81" t="str">
            <v>Trịnh Hoàng Hiệp</v>
          </cell>
          <cell r="G81" t="str">
            <v>Khoa Kinh tế</v>
          </cell>
          <cell r="H81">
            <v>20</v>
          </cell>
          <cell r="I81">
            <v>1000000</v>
          </cell>
          <cell r="J81">
            <v>72</v>
          </cell>
        </row>
        <row r="82">
          <cell r="F82" t="str">
            <v>Lê Thị Thu Thảo</v>
          </cell>
          <cell r="H82">
            <v>20</v>
          </cell>
          <cell r="I82">
            <v>1000000</v>
          </cell>
          <cell r="J82">
            <v>73</v>
          </cell>
        </row>
        <row r="83">
          <cell r="F83" t="str">
            <v>Lưu Thị Thúy</v>
          </cell>
          <cell r="H83">
            <v>20</v>
          </cell>
          <cell r="I83">
            <v>1000000</v>
          </cell>
          <cell r="J83">
            <v>74</v>
          </cell>
        </row>
        <row r="84">
          <cell r="F84" t="str">
            <v>Nguyễn Mỹ Tiên</v>
          </cell>
          <cell r="H84">
            <v>20</v>
          </cell>
          <cell r="I84">
            <v>1000000</v>
          </cell>
          <cell r="J84">
            <v>75</v>
          </cell>
        </row>
        <row r="85">
          <cell r="F85" t="str">
            <v>Trần Thị Ngọc Dung</v>
          </cell>
          <cell r="H85">
            <v>20</v>
          </cell>
          <cell r="I85">
            <v>1000000</v>
          </cell>
          <cell r="J85">
            <v>76</v>
          </cell>
        </row>
        <row r="86">
          <cell r="F86" t="str">
            <v>Cao Xuân Giang</v>
          </cell>
          <cell r="H86">
            <v>20</v>
          </cell>
          <cell r="I86">
            <v>1000000</v>
          </cell>
          <cell r="J86">
            <v>77</v>
          </cell>
        </row>
        <row r="87">
          <cell r="F87" t="str">
            <v>Lê Hồng Ngọc My</v>
          </cell>
          <cell r="H87">
            <v>20</v>
          </cell>
          <cell r="I87">
            <v>1000000</v>
          </cell>
          <cell r="J87">
            <v>78</v>
          </cell>
        </row>
        <row r="88">
          <cell r="F88" t="str">
            <v>Nguyễn Thị Thanh Hòa</v>
          </cell>
          <cell r="H88">
            <v>20</v>
          </cell>
          <cell r="I88">
            <v>1000000</v>
          </cell>
          <cell r="J88">
            <v>79</v>
          </cell>
        </row>
        <row r="89">
          <cell r="F89" t="str">
            <v>Nguyễn Thụy Nghiêm</v>
          </cell>
          <cell r="H89">
            <v>24</v>
          </cell>
          <cell r="I89">
            <v>1200000</v>
          </cell>
          <cell r="J89">
            <v>80</v>
          </cell>
          <cell r="K89" t="str">
            <v>Hỗ trợ công việc phòng KHTC</v>
          </cell>
        </row>
        <row r="90">
          <cell r="F90" t="str">
            <v>Hồ Gia Bảo</v>
          </cell>
          <cell r="G90" t="str">
            <v>Khoa Du lịch -
 Khách sạn</v>
          </cell>
          <cell r="H90">
            <v>21</v>
          </cell>
          <cell r="I90">
            <v>1050000</v>
          </cell>
          <cell r="J90">
            <v>81</v>
          </cell>
        </row>
        <row r="91">
          <cell r="F91" t="str">
            <v>Lữ Xuân Trang</v>
          </cell>
          <cell r="H91">
            <v>20</v>
          </cell>
          <cell r="I91">
            <v>1000000</v>
          </cell>
          <cell r="J91">
            <v>82</v>
          </cell>
        </row>
        <row r="92">
          <cell r="F92" t="str">
            <v>Phạm Thị Thanh Thúy</v>
          </cell>
          <cell r="H92">
            <v>20</v>
          </cell>
          <cell r="I92">
            <v>1000000</v>
          </cell>
          <cell r="J92">
            <v>83</v>
          </cell>
        </row>
        <row r="93">
          <cell r="F93" t="str">
            <v>Đinh Thị Trâm</v>
          </cell>
          <cell r="H93">
            <v>21</v>
          </cell>
          <cell r="I93">
            <v>1050000</v>
          </cell>
          <cell r="J93">
            <v>84</v>
          </cell>
        </row>
        <row r="94">
          <cell r="F94" t="str">
            <v>Lê Thị Thúy Oanh</v>
          </cell>
          <cell r="H94">
            <v>0</v>
          </cell>
          <cell r="I94">
            <v>0</v>
          </cell>
          <cell r="J94">
            <v>85</v>
          </cell>
          <cell r="K94" t="str">
            <v>Nghỉ hộ sản</v>
          </cell>
        </row>
        <row r="95">
          <cell r="F95" t="str">
            <v>Võ Thị Kim Thư</v>
          </cell>
          <cell r="H95">
            <v>20</v>
          </cell>
          <cell r="I95">
            <v>1000000</v>
          </cell>
          <cell r="J95">
            <v>86</v>
          </cell>
        </row>
        <row r="96">
          <cell r="F96" t="str">
            <v>Huỳnh Kim Liên</v>
          </cell>
          <cell r="H96">
            <v>21</v>
          </cell>
          <cell r="I96">
            <v>1050000</v>
          </cell>
          <cell r="J96">
            <v>87</v>
          </cell>
        </row>
        <row r="97">
          <cell r="F97" t="str">
            <v>Nguyễn Ngọc Thọ</v>
          </cell>
          <cell r="G97" t="str">
            <v>Khoa May -  TT</v>
          </cell>
          <cell r="H97">
            <v>20</v>
          </cell>
          <cell r="I97">
            <v>1000000</v>
          </cell>
          <cell r="J97">
            <v>88</v>
          </cell>
        </row>
        <row r="98">
          <cell r="F98" t="str">
            <v>Nguyễn Bạch Cẩm Dung</v>
          </cell>
          <cell r="H98">
            <v>20</v>
          </cell>
          <cell r="I98">
            <v>1000000</v>
          </cell>
          <cell r="J98">
            <v>89</v>
          </cell>
        </row>
        <row r="99">
          <cell r="F99" t="str">
            <v>Lâm Thị Phương Thùy</v>
          </cell>
          <cell r="H99">
            <v>20</v>
          </cell>
          <cell r="I99">
            <v>1000000</v>
          </cell>
          <cell r="J99">
            <v>90</v>
          </cell>
        </row>
        <row r="100">
          <cell r="F100" t="str">
            <v>Nguyễn Thị Hiền</v>
          </cell>
          <cell r="H100">
            <v>20</v>
          </cell>
          <cell r="I100">
            <v>1000000</v>
          </cell>
          <cell r="J100">
            <v>91</v>
          </cell>
        </row>
        <row r="101">
          <cell r="F101" t="str">
            <v>Chế Vân Cầm</v>
          </cell>
          <cell r="H101">
            <v>20</v>
          </cell>
          <cell r="I101">
            <v>1000000</v>
          </cell>
          <cell r="J101">
            <v>92</v>
          </cell>
        </row>
        <row r="102">
          <cell r="F102" t="str">
            <v>Trần Hồng Thảo</v>
          </cell>
          <cell r="H102">
            <v>20</v>
          </cell>
          <cell r="I102">
            <v>1000000</v>
          </cell>
          <cell r="J102">
            <v>93</v>
          </cell>
        </row>
        <row r="103">
          <cell r="F103" t="str">
            <v>Lê Thị Phương Thảo</v>
          </cell>
          <cell r="H103">
            <v>20</v>
          </cell>
          <cell r="I103">
            <v>1000000</v>
          </cell>
          <cell r="J103">
            <v>94</v>
          </cell>
        </row>
        <row r="104">
          <cell r="F104" t="str">
            <v>Bùi Thị Ngọc Sương</v>
          </cell>
          <cell r="H104">
            <v>20</v>
          </cell>
          <cell r="I104">
            <v>1000000</v>
          </cell>
          <cell r="J104">
            <v>95</v>
          </cell>
        </row>
        <row r="105">
          <cell r="F105" t="str">
            <v>Nguyễn Thị Nhuận</v>
          </cell>
          <cell r="G105" t="str">
            <v>Khoa KH Cơ bản</v>
          </cell>
          <cell r="H105">
            <v>20</v>
          </cell>
          <cell r="I105">
            <v>1000000</v>
          </cell>
          <cell r="J105">
            <v>96</v>
          </cell>
        </row>
        <row r="106">
          <cell r="F106" t="str">
            <v>Nguyễn Thị Huyền Nga</v>
          </cell>
          <cell r="H106">
            <v>20</v>
          </cell>
          <cell r="I106">
            <v>1000000</v>
          </cell>
          <cell r="J106">
            <v>97</v>
          </cell>
        </row>
        <row r="107">
          <cell r="F107" t="str">
            <v>Lê Văn Bình</v>
          </cell>
          <cell r="H107">
            <v>20</v>
          </cell>
          <cell r="I107">
            <v>1000000</v>
          </cell>
          <cell r="J107">
            <v>98</v>
          </cell>
        </row>
        <row r="108">
          <cell r="F108" t="str">
            <v>Trịnh Khắc Vũ</v>
          </cell>
          <cell r="H108">
            <v>20</v>
          </cell>
          <cell r="I108">
            <v>1000000</v>
          </cell>
          <cell r="J108">
            <v>99</v>
          </cell>
        </row>
        <row r="109">
          <cell r="F109" t="str">
            <v>Lê Minh Phong</v>
          </cell>
          <cell r="H109">
            <v>20</v>
          </cell>
          <cell r="I109">
            <v>1000000</v>
          </cell>
          <cell r="J109">
            <v>100</v>
          </cell>
        </row>
        <row r="110">
          <cell r="F110" t="str">
            <v>Nguyễn Phương Hà</v>
          </cell>
          <cell r="H110">
            <v>20</v>
          </cell>
          <cell r="I110">
            <v>1000000</v>
          </cell>
          <cell r="J110">
            <v>101</v>
          </cell>
        </row>
        <row r="111">
          <cell r="F111" t="str">
            <v>Nguyễn Văn Đông</v>
          </cell>
          <cell r="G111" t="str">
            <v>Tổ Lý</v>
          </cell>
          <cell r="H111">
            <v>20</v>
          </cell>
          <cell r="I111">
            <v>1000000</v>
          </cell>
          <cell r="J111">
            <v>102</v>
          </cell>
        </row>
        <row r="112">
          <cell r="F112" t="str">
            <v>Đặng Thị Kiến Trúc</v>
          </cell>
          <cell r="H112">
            <v>20</v>
          </cell>
          <cell r="I112">
            <v>1000000</v>
          </cell>
          <cell r="J112">
            <v>103</v>
          </cell>
        </row>
        <row r="113">
          <cell r="F113" t="str">
            <v>Nguyễn Thanh Tú</v>
          </cell>
          <cell r="H113">
            <v>20</v>
          </cell>
          <cell r="I113">
            <v>1000000</v>
          </cell>
          <cell r="J113">
            <v>104</v>
          </cell>
        </row>
        <row r="114">
          <cell r="F114" t="str">
            <v>Trần Thị Ánh Tuyết</v>
          </cell>
          <cell r="H114">
            <v>20</v>
          </cell>
          <cell r="I114">
            <v>1000000</v>
          </cell>
          <cell r="J114">
            <v>105</v>
          </cell>
        </row>
        <row r="115">
          <cell r="F115" t="str">
            <v>Phạm Thị Thu Nga</v>
          </cell>
          <cell r="G115" t="str">
            <v>Tổ Toán</v>
          </cell>
          <cell r="H115">
            <v>20</v>
          </cell>
          <cell r="I115">
            <v>1000000</v>
          </cell>
          <cell r="J115">
            <v>106</v>
          </cell>
        </row>
        <row r="116">
          <cell r="F116" t="str">
            <v>Nguyễn Thị Cẩm Thạch</v>
          </cell>
          <cell r="H116">
            <v>20</v>
          </cell>
          <cell r="I116">
            <v>1000000</v>
          </cell>
          <cell r="J116">
            <v>107</v>
          </cell>
        </row>
        <row r="117">
          <cell r="F117" t="str">
            <v>Hà Như Mai</v>
          </cell>
          <cell r="H117">
            <v>20</v>
          </cell>
          <cell r="I117">
            <v>1000000</v>
          </cell>
          <cell r="J117">
            <v>108</v>
          </cell>
        </row>
        <row r="118">
          <cell r="F118" t="str">
            <v>Nguyễn Thị Thủy</v>
          </cell>
          <cell r="H118">
            <v>20</v>
          </cell>
          <cell r="I118">
            <v>1000000</v>
          </cell>
          <cell r="J118">
            <v>109</v>
          </cell>
        </row>
        <row r="119">
          <cell r="F119" t="str">
            <v>Dương Đức Kiên</v>
          </cell>
          <cell r="H119">
            <v>20</v>
          </cell>
          <cell r="I119">
            <v>1000000</v>
          </cell>
          <cell r="J119">
            <v>110</v>
          </cell>
        </row>
        <row r="120">
          <cell r="F120" t="str">
            <v>Nguyễn Văn Hậu</v>
          </cell>
          <cell r="H120">
            <v>20</v>
          </cell>
          <cell r="I120">
            <v>1000000</v>
          </cell>
          <cell r="J120">
            <v>111</v>
          </cell>
        </row>
        <row r="121">
          <cell r="F121" t="str">
            <v>Lê Thái Hùng</v>
          </cell>
          <cell r="G121" t="str">
            <v xml:space="preserve">Tổ  Thể chất </v>
          </cell>
          <cell r="H121">
            <v>20</v>
          </cell>
          <cell r="I121">
            <v>1000000</v>
          </cell>
          <cell r="J121">
            <v>112</v>
          </cell>
        </row>
        <row r="122">
          <cell r="F122" t="str">
            <v>Nguyễn Phú Tân</v>
          </cell>
          <cell r="H122">
            <v>20</v>
          </cell>
          <cell r="I122">
            <v>1000000</v>
          </cell>
          <cell r="J122">
            <v>113</v>
          </cell>
        </row>
        <row r="123">
          <cell r="F123" t="str">
            <v>Nguyễn Mạnh Phương</v>
          </cell>
          <cell r="H123">
            <v>20</v>
          </cell>
          <cell r="I123">
            <v>1000000</v>
          </cell>
          <cell r="J123">
            <v>114</v>
          </cell>
        </row>
        <row r="124">
          <cell r="F124" t="str">
            <v>Giang Phi Hùng</v>
          </cell>
          <cell r="H124">
            <v>20</v>
          </cell>
          <cell r="I124">
            <v>1000000</v>
          </cell>
          <cell r="J124">
            <v>115</v>
          </cell>
        </row>
        <row r="125">
          <cell r="F125" t="str">
            <v>Ngô Thanh Điền</v>
          </cell>
          <cell r="H125">
            <v>20</v>
          </cell>
          <cell r="I125">
            <v>1000000</v>
          </cell>
          <cell r="J125">
            <v>116</v>
          </cell>
        </row>
        <row r="126">
          <cell r="F126" t="str">
            <v>Nguyễn Thị Thu Hà</v>
          </cell>
          <cell r="G126" t="str">
            <v>Khoa Ngoại ngữ</v>
          </cell>
          <cell r="H126">
            <v>20</v>
          </cell>
          <cell r="I126">
            <v>1000000</v>
          </cell>
          <cell r="J126">
            <v>117</v>
          </cell>
        </row>
        <row r="127">
          <cell r="F127" t="str">
            <v>Vương Thanh Thủy</v>
          </cell>
          <cell r="H127">
            <v>20</v>
          </cell>
          <cell r="I127">
            <v>1000000</v>
          </cell>
          <cell r="J127">
            <v>118</v>
          </cell>
        </row>
        <row r="128">
          <cell r="F128" t="str">
            <v>Nguyễn Thị Bảo Trân</v>
          </cell>
          <cell r="H128">
            <v>20</v>
          </cell>
          <cell r="I128">
            <v>1000000</v>
          </cell>
          <cell r="J128">
            <v>119</v>
          </cell>
        </row>
        <row r="129">
          <cell r="F129" t="str">
            <v>Nguyễn Thị Thu Tâm</v>
          </cell>
          <cell r="H129">
            <v>20</v>
          </cell>
          <cell r="I129">
            <v>1000000</v>
          </cell>
          <cell r="J129">
            <v>120</v>
          </cell>
        </row>
        <row r="130">
          <cell r="F130" t="str">
            <v>Nguyễn Thị Thanh Tú</v>
          </cell>
          <cell r="H130">
            <v>20</v>
          </cell>
          <cell r="I130">
            <v>1000000</v>
          </cell>
          <cell r="J130">
            <v>121</v>
          </cell>
        </row>
        <row r="131">
          <cell r="F131" t="str">
            <v>Võ Thị Hồng Lan</v>
          </cell>
          <cell r="H131">
            <v>20</v>
          </cell>
          <cell r="I131">
            <v>1000000</v>
          </cell>
          <cell r="J131">
            <v>122</v>
          </cell>
        </row>
        <row r="132">
          <cell r="F132" t="str">
            <v>Lê Nguyễn Mỹ Trâm</v>
          </cell>
          <cell r="H132">
            <v>20</v>
          </cell>
          <cell r="I132">
            <v>1000000</v>
          </cell>
          <cell r="J132">
            <v>123</v>
          </cell>
        </row>
        <row r="133">
          <cell r="F133" t="str">
            <v>Phạm Thị Thu Hiền</v>
          </cell>
          <cell r="H133">
            <v>0</v>
          </cell>
          <cell r="I133">
            <v>0</v>
          </cell>
          <cell r="J133">
            <v>124</v>
          </cell>
          <cell r="K133" t="str">
            <v>Nghỉ hộ sản hưởng chế độ BHXH</v>
          </cell>
        </row>
        <row r="134">
          <cell r="F134" t="str">
            <v>Nguyễn Thiện Bình</v>
          </cell>
          <cell r="H134">
            <v>20</v>
          </cell>
          <cell r="I134">
            <v>1000000</v>
          </cell>
          <cell r="J134">
            <v>125</v>
          </cell>
        </row>
        <row r="135">
          <cell r="F135" t="str">
            <v>Trần Thanh Trúc</v>
          </cell>
          <cell r="H135">
            <v>20</v>
          </cell>
          <cell r="I135">
            <v>1000000</v>
          </cell>
          <cell r="J135">
            <v>126</v>
          </cell>
        </row>
        <row r="136">
          <cell r="F136" t="str">
            <v>Lâm Thị Phương Thảo</v>
          </cell>
          <cell r="H136">
            <v>20</v>
          </cell>
          <cell r="I136">
            <v>1000000</v>
          </cell>
          <cell r="J136">
            <v>127</v>
          </cell>
        </row>
        <row r="137">
          <cell r="F137" t="str">
            <v>Trần Hà Trang</v>
          </cell>
          <cell r="H137">
            <v>10</v>
          </cell>
          <cell r="I137">
            <v>500000</v>
          </cell>
          <cell r="J137">
            <v>128</v>
          </cell>
          <cell r="K137" t="str">
            <v>Hết thời gian nghỉ hộ sản đilàm lại từ 19/5</v>
          </cell>
        </row>
        <row r="138">
          <cell r="F138" t="str">
            <v>Lê Thu Hà</v>
          </cell>
          <cell r="H138">
            <v>20</v>
          </cell>
          <cell r="I138">
            <v>1000000</v>
          </cell>
          <cell r="J138">
            <v>129</v>
          </cell>
        </row>
        <row r="139">
          <cell r="F139" t="str">
            <v>Ôn Thị Ngọc Thảo</v>
          </cell>
          <cell r="H139">
            <v>20</v>
          </cell>
          <cell r="I139">
            <v>1000000</v>
          </cell>
          <cell r="J139">
            <v>130</v>
          </cell>
        </row>
        <row r="140">
          <cell r="F140" t="str">
            <v>Nguyễn Huỳnh Khánh Vy</v>
          </cell>
          <cell r="H140">
            <v>20</v>
          </cell>
          <cell r="I140">
            <v>1000000</v>
          </cell>
          <cell r="J140">
            <v>131</v>
          </cell>
        </row>
        <row r="141">
          <cell r="F141" t="str">
            <v>Đoàn Thanh Long</v>
          </cell>
          <cell r="H141">
            <v>20</v>
          </cell>
          <cell r="I141">
            <v>1000000</v>
          </cell>
          <cell r="J141">
            <v>132</v>
          </cell>
        </row>
        <row r="142">
          <cell r="F142" t="str">
            <v>Lê Thị Hồng Vân</v>
          </cell>
          <cell r="G142" t="str">
            <v xml:space="preserve">Khoa Lý luận chính trị </v>
          </cell>
          <cell r="H142">
            <v>20</v>
          </cell>
          <cell r="I142">
            <v>1000000</v>
          </cell>
          <cell r="J142">
            <v>133</v>
          </cell>
        </row>
        <row r="143">
          <cell r="F143" t="str">
            <v>Nguyễn Ngọc Quỳnh</v>
          </cell>
          <cell r="H143">
            <v>20</v>
          </cell>
          <cell r="I143">
            <v>1000000</v>
          </cell>
          <cell r="J143">
            <v>134</v>
          </cell>
        </row>
        <row r="144">
          <cell r="F144" t="str">
            <v>Phan Thị Thùy Trang</v>
          </cell>
          <cell r="H144">
            <v>20</v>
          </cell>
          <cell r="I144">
            <v>1000000</v>
          </cell>
          <cell r="J144">
            <v>135</v>
          </cell>
        </row>
        <row r="145">
          <cell r="F145" t="str">
            <v>Lê Thị Mai Hường</v>
          </cell>
          <cell r="H145">
            <v>20</v>
          </cell>
          <cell r="I145">
            <v>1000000</v>
          </cell>
          <cell r="J145">
            <v>136</v>
          </cell>
        </row>
        <row r="146">
          <cell r="F146" t="str">
            <v>Nguyễn Thị Dinh</v>
          </cell>
          <cell r="H146">
            <v>20</v>
          </cell>
          <cell r="I146">
            <v>1000000</v>
          </cell>
          <cell r="J146">
            <v>137</v>
          </cell>
        </row>
        <row r="147">
          <cell r="F147" t="str">
            <v>Đỗ Thị Ngát</v>
          </cell>
          <cell r="H147">
            <v>20</v>
          </cell>
          <cell r="I147">
            <v>1000000</v>
          </cell>
          <cell r="J147">
            <v>138</v>
          </cell>
        </row>
        <row r="148">
          <cell r="F148" t="str">
            <v>Nguyễn Anh Kiệt</v>
          </cell>
          <cell r="H148">
            <v>20</v>
          </cell>
          <cell r="I148">
            <v>1000000</v>
          </cell>
          <cell r="J148">
            <v>139</v>
          </cell>
        </row>
        <row r="149">
          <cell r="F149" t="str">
            <v>Trần Thị Hồng Thu</v>
          </cell>
          <cell r="H149">
            <v>20</v>
          </cell>
          <cell r="I149">
            <v>1000000</v>
          </cell>
          <cell r="J149">
            <v>140</v>
          </cell>
        </row>
        <row r="150">
          <cell r="F150" t="str">
            <v>Đinh Thị Huyên</v>
          </cell>
          <cell r="H150">
            <v>20</v>
          </cell>
          <cell r="I150">
            <v>1000000</v>
          </cell>
          <cell r="J150">
            <v>141</v>
          </cell>
        </row>
        <row r="151">
          <cell r="F151" t="str">
            <v>Cao Thị Hồng Thắm</v>
          </cell>
          <cell r="H151">
            <v>20</v>
          </cell>
          <cell r="I151">
            <v>1000000</v>
          </cell>
          <cell r="J151">
            <v>142</v>
          </cell>
        </row>
        <row r="152">
          <cell r="F152" t="str">
            <v>Đỗ Thị Thơm</v>
          </cell>
          <cell r="H152">
            <v>20</v>
          </cell>
          <cell r="I152">
            <v>1000000</v>
          </cell>
          <cell r="J152">
            <v>143</v>
          </cell>
        </row>
        <row r="153">
          <cell r="F153" t="str">
            <v>Phạm Thị Vinh</v>
          </cell>
          <cell r="H153">
            <v>20</v>
          </cell>
          <cell r="I153">
            <v>1000000</v>
          </cell>
          <cell r="J153">
            <v>144</v>
          </cell>
        </row>
        <row r="154">
          <cell r="F154" t="str">
            <v>Hoàng Thị Trang</v>
          </cell>
          <cell r="H154">
            <v>20</v>
          </cell>
          <cell r="I154">
            <v>1000000</v>
          </cell>
          <cell r="J154">
            <v>145</v>
          </cell>
        </row>
        <row r="155">
          <cell r="F155" t="str">
            <v>Bùi Thành Dũng</v>
          </cell>
          <cell r="G155" t="str">
            <v>Tổ Pháp luật</v>
          </cell>
          <cell r="H155">
            <v>20</v>
          </cell>
          <cell r="I155">
            <v>1000000</v>
          </cell>
          <cell r="J155">
            <v>146</v>
          </cell>
        </row>
        <row r="156">
          <cell r="F156" t="str">
            <v>Trần Việt Khánh</v>
          </cell>
          <cell r="G156" t="str">
            <v>Khoa CNTT</v>
          </cell>
          <cell r="H156">
            <v>20</v>
          </cell>
          <cell r="I156">
            <v>1000000</v>
          </cell>
          <cell r="J156">
            <v>147</v>
          </cell>
        </row>
        <row r="157">
          <cell r="F157" t="str">
            <v>Vũ Thị Thái Linh</v>
          </cell>
          <cell r="H157">
            <v>20</v>
          </cell>
          <cell r="I157">
            <v>1000000</v>
          </cell>
          <cell r="J157">
            <v>148</v>
          </cell>
        </row>
        <row r="158">
          <cell r="F158" t="str">
            <v>Nguyễn Sanh Cường</v>
          </cell>
          <cell r="H158">
            <v>20</v>
          </cell>
          <cell r="I158">
            <v>1000000</v>
          </cell>
          <cell r="J158">
            <v>149</v>
          </cell>
        </row>
        <row r="159">
          <cell r="F159" t="str">
            <v>Lê Quý Hưng Quốc</v>
          </cell>
          <cell r="H159">
            <v>20</v>
          </cell>
          <cell r="I159">
            <v>1000000</v>
          </cell>
          <cell r="J159">
            <v>150</v>
          </cell>
        </row>
        <row r="160">
          <cell r="F160" t="str">
            <v>Nguyễn Văn Minh</v>
          </cell>
          <cell r="H160">
            <v>20</v>
          </cell>
          <cell r="I160">
            <v>1000000</v>
          </cell>
          <cell r="J160">
            <v>151</v>
          </cell>
        </row>
        <row r="161">
          <cell r="F161" t="str">
            <v>Nguyễn Thị Khánh Thư</v>
          </cell>
          <cell r="H161">
            <v>20</v>
          </cell>
          <cell r="I161">
            <v>1000000</v>
          </cell>
          <cell r="J161">
            <v>152</v>
          </cell>
        </row>
        <row r="162">
          <cell r="F162" t="str">
            <v>Đỗ Thị Hải Yến</v>
          </cell>
          <cell r="H162">
            <v>20</v>
          </cell>
          <cell r="I162">
            <v>1000000</v>
          </cell>
          <cell r="J162">
            <v>153</v>
          </cell>
        </row>
        <row r="163">
          <cell r="F163" t="str">
            <v>Lê Hồng Thái</v>
          </cell>
          <cell r="H163">
            <v>20</v>
          </cell>
          <cell r="I163">
            <v>1000000</v>
          </cell>
          <cell r="J163">
            <v>154</v>
          </cell>
        </row>
        <row r="164">
          <cell r="F164" t="str">
            <v>Đặng Ngọc Đoàn</v>
          </cell>
          <cell r="H164">
            <v>20</v>
          </cell>
          <cell r="I164">
            <v>1000000</v>
          </cell>
          <cell r="J164">
            <v>155</v>
          </cell>
        </row>
        <row r="165">
          <cell r="F165" t="str">
            <v>Nguyễn Văn Đôn</v>
          </cell>
          <cell r="H165">
            <v>20</v>
          </cell>
          <cell r="I165">
            <v>1000000</v>
          </cell>
          <cell r="J165">
            <v>156</v>
          </cell>
        </row>
        <row r="166">
          <cell r="F166" t="str">
            <v>Huỳnh Quốc Dũng</v>
          </cell>
          <cell r="H166">
            <v>20</v>
          </cell>
          <cell r="I166">
            <v>1000000</v>
          </cell>
          <cell r="J166">
            <v>157</v>
          </cell>
        </row>
        <row r="167">
          <cell r="F167" t="str">
            <v>Dương Ngọc Vọng</v>
          </cell>
          <cell r="H167">
            <v>20</v>
          </cell>
          <cell r="I167">
            <v>1000000</v>
          </cell>
          <cell r="J167">
            <v>158</v>
          </cell>
        </row>
        <row r="168">
          <cell r="F168" t="str">
            <v>Nguyễn Ngọc Tuyên</v>
          </cell>
          <cell r="H168">
            <v>20</v>
          </cell>
          <cell r="I168">
            <v>1000000</v>
          </cell>
          <cell r="J168">
            <v>159</v>
          </cell>
        </row>
        <row r="169">
          <cell r="F169" t="str">
            <v>Nguyễn Cao Phong</v>
          </cell>
          <cell r="H169">
            <v>20</v>
          </cell>
          <cell r="I169">
            <v>1000000</v>
          </cell>
          <cell r="J169">
            <v>160</v>
          </cell>
        </row>
        <row r="170">
          <cell r="F170" t="str">
            <v>Mai Chiếm Tuấn</v>
          </cell>
          <cell r="H170">
            <v>20</v>
          </cell>
          <cell r="I170">
            <v>1000000</v>
          </cell>
          <cell r="J170">
            <v>161</v>
          </cell>
        </row>
        <row r="171">
          <cell r="F171" t="str">
            <v>Đỗ Tuấn Việt</v>
          </cell>
          <cell r="H171">
            <v>20</v>
          </cell>
          <cell r="I171">
            <v>1000000</v>
          </cell>
          <cell r="J171">
            <v>162</v>
          </cell>
        </row>
        <row r="172">
          <cell r="F172" t="str">
            <v>Trần Vĩnh Xuyên</v>
          </cell>
          <cell r="H172">
            <v>20</v>
          </cell>
          <cell r="I172">
            <v>1000000</v>
          </cell>
          <cell r="J172">
            <v>163</v>
          </cell>
        </row>
        <row r="173">
          <cell r="F173" t="str">
            <v>Đào Lê Phương Anh</v>
          </cell>
          <cell r="H173">
            <v>20</v>
          </cell>
          <cell r="I173">
            <v>1000000</v>
          </cell>
          <cell r="J173">
            <v>164</v>
          </cell>
        </row>
        <row r="174">
          <cell r="F174" t="str">
            <v>Nguyễn Duy Lộc</v>
          </cell>
          <cell r="H174">
            <v>20</v>
          </cell>
          <cell r="I174">
            <v>1000000</v>
          </cell>
          <cell r="J174">
            <v>165</v>
          </cell>
        </row>
        <row r="175">
          <cell r="F175" t="str">
            <v>Chung Trần Thế Vinh</v>
          </cell>
          <cell r="G175" t="str">
            <v>Khoa Cơ khí</v>
          </cell>
          <cell r="H175">
            <v>24</v>
          </cell>
          <cell r="I175">
            <v>1200000</v>
          </cell>
          <cell r="J175">
            <v>166</v>
          </cell>
        </row>
        <row r="176">
          <cell r="F176" t="str">
            <v>Đỗ Thị Phương Khanh</v>
          </cell>
          <cell r="H176">
            <v>20</v>
          </cell>
          <cell r="I176">
            <v>1000000</v>
          </cell>
          <cell r="J176">
            <v>167</v>
          </cell>
        </row>
        <row r="177">
          <cell r="F177" t="str">
            <v>Trương Thị Phương Hồng</v>
          </cell>
          <cell r="H177">
            <v>20</v>
          </cell>
          <cell r="I177">
            <v>1000000</v>
          </cell>
          <cell r="J177">
            <v>168</v>
          </cell>
        </row>
        <row r="178">
          <cell r="F178" t="str">
            <v>Dương Minh Chung</v>
          </cell>
          <cell r="H178">
            <v>20</v>
          </cell>
          <cell r="I178">
            <v>1000000</v>
          </cell>
          <cell r="J178">
            <v>169</v>
          </cell>
        </row>
        <row r="179">
          <cell r="F179" t="str">
            <v>Phan Văn Thành</v>
          </cell>
          <cell r="H179">
            <v>20</v>
          </cell>
          <cell r="I179">
            <v>1000000</v>
          </cell>
          <cell r="J179">
            <v>170</v>
          </cell>
        </row>
        <row r="180">
          <cell r="F180" t="str">
            <v>Vũ Đức Pháp</v>
          </cell>
          <cell r="H180">
            <v>20</v>
          </cell>
          <cell r="I180">
            <v>1000000</v>
          </cell>
          <cell r="J180">
            <v>171</v>
          </cell>
        </row>
        <row r="181">
          <cell r="F181" t="str">
            <v>Vũ Quang Khải</v>
          </cell>
          <cell r="H181">
            <v>20</v>
          </cell>
          <cell r="I181">
            <v>1000000</v>
          </cell>
          <cell r="J181">
            <v>172</v>
          </cell>
        </row>
        <row r="182">
          <cell r="F182" t="str">
            <v>Nguyễn Thanh Vũ</v>
          </cell>
          <cell r="H182">
            <v>20</v>
          </cell>
          <cell r="I182">
            <v>1000000</v>
          </cell>
          <cell r="J182">
            <v>173</v>
          </cell>
        </row>
        <row r="183">
          <cell r="F183" t="str">
            <v>Phan Thị Xuân Trang</v>
          </cell>
          <cell r="H183">
            <v>20</v>
          </cell>
          <cell r="I183">
            <v>1000000</v>
          </cell>
          <cell r="J183">
            <v>174</v>
          </cell>
        </row>
        <row r="184">
          <cell r="F184" t="str">
            <v>Trần Đình Khải</v>
          </cell>
          <cell r="H184">
            <v>20</v>
          </cell>
          <cell r="I184">
            <v>1000000</v>
          </cell>
          <cell r="J184">
            <v>175</v>
          </cell>
        </row>
        <row r="185">
          <cell r="F185" t="str">
            <v>Lư Thị Yến Vũ</v>
          </cell>
          <cell r="H185">
            <v>20</v>
          </cell>
          <cell r="I185">
            <v>1000000</v>
          </cell>
          <cell r="J185">
            <v>176</v>
          </cell>
        </row>
        <row r="186">
          <cell r="F186" t="str">
            <v>Nguyễn Tiến Dũng</v>
          </cell>
          <cell r="H186">
            <v>20</v>
          </cell>
          <cell r="I186">
            <v>1000000</v>
          </cell>
          <cell r="J186">
            <v>177</v>
          </cell>
        </row>
        <row r="187">
          <cell r="F187" t="str">
            <v>Nguyễn Thành Long</v>
          </cell>
          <cell r="H187">
            <v>20</v>
          </cell>
          <cell r="I187">
            <v>1000000</v>
          </cell>
          <cell r="J187">
            <v>178</v>
          </cell>
        </row>
        <row r="188">
          <cell r="F188" t="str">
            <v>Nguyễn Ngọc Quỳnh.</v>
          </cell>
          <cell r="H188">
            <v>20</v>
          </cell>
          <cell r="I188">
            <v>1000000</v>
          </cell>
          <cell r="J188">
            <v>179</v>
          </cell>
        </row>
        <row r="189">
          <cell r="F189" t="str">
            <v>Nguyễn Duy Hải</v>
          </cell>
          <cell r="H189">
            <v>20</v>
          </cell>
          <cell r="I189">
            <v>1000000</v>
          </cell>
          <cell r="J189">
            <v>180</v>
          </cell>
        </row>
        <row r="190">
          <cell r="F190" t="str">
            <v>Bùi Anh Tuấn</v>
          </cell>
          <cell r="H190">
            <v>20</v>
          </cell>
          <cell r="I190">
            <v>1000000</v>
          </cell>
          <cell r="J190">
            <v>181</v>
          </cell>
        </row>
        <row r="191">
          <cell r="F191" t="str">
            <v>Trần Thị Hương</v>
          </cell>
          <cell r="H191">
            <v>20</v>
          </cell>
          <cell r="I191">
            <v>1000000</v>
          </cell>
          <cell r="J191">
            <v>182</v>
          </cell>
        </row>
        <row r="192">
          <cell r="F192" t="str">
            <v>Trần Minh Thông</v>
          </cell>
          <cell r="H192">
            <v>20</v>
          </cell>
          <cell r="I192">
            <v>1000000</v>
          </cell>
          <cell r="J192">
            <v>183</v>
          </cell>
        </row>
        <row r="193">
          <cell r="F193" t="str">
            <v>Nguyễn Thanh Vĩnh Phúc</v>
          </cell>
          <cell r="H193">
            <v>20</v>
          </cell>
          <cell r="I193">
            <v>1000000</v>
          </cell>
          <cell r="J193">
            <v>184</v>
          </cell>
        </row>
        <row r="194">
          <cell r="F194" t="str">
            <v>Dương Thị Hồng</v>
          </cell>
          <cell r="H194">
            <v>20</v>
          </cell>
          <cell r="I194">
            <v>1000000</v>
          </cell>
          <cell r="J194">
            <v>185</v>
          </cell>
        </row>
        <row r="195">
          <cell r="F195" t="str">
            <v>Nguyễn Thanh Giang</v>
          </cell>
          <cell r="H195">
            <v>20</v>
          </cell>
          <cell r="I195">
            <v>1000000</v>
          </cell>
          <cell r="J195">
            <v>186</v>
          </cell>
        </row>
        <row r="196">
          <cell r="F196" t="str">
            <v>Nguyễn Hồng Phúc</v>
          </cell>
          <cell r="H196">
            <v>20</v>
          </cell>
          <cell r="I196">
            <v>1000000</v>
          </cell>
          <cell r="J196">
            <v>187</v>
          </cell>
        </row>
        <row r="197">
          <cell r="F197" t="str">
            <v>Nguyễn Văn Sơn</v>
          </cell>
          <cell r="H197">
            <v>20</v>
          </cell>
          <cell r="I197">
            <v>1000000</v>
          </cell>
          <cell r="J197">
            <v>188</v>
          </cell>
        </row>
        <row r="198">
          <cell r="F198" t="str">
            <v>Nguyễn Khắc Huy</v>
          </cell>
          <cell r="H198">
            <v>20</v>
          </cell>
          <cell r="I198">
            <v>1000000</v>
          </cell>
          <cell r="J198">
            <v>189</v>
          </cell>
        </row>
        <row r="199">
          <cell r="F199" t="str">
            <v>Võ Hoài Sơn</v>
          </cell>
          <cell r="H199">
            <v>20</v>
          </cell>
          <cell r="I199">
            <v>1000000</v>
          </cell>
          <cell r="J199">
            <v>190</v>
          </cell>
        </row>
        <row r="200">
          <cell r="F200" t="str">
            <v>Nguyễn Thị Xuân Chinh</v>
          </cell>
          <cell r="H200">
            <v>20</v>
          </cell>
          <cell r="I200">
            <v>1000000</v>
          </cell>
          <cell r="J200">
            <v>191</v>
          </cell>
        </row>
        <row r="201">
          <cell r="F201" t="str">
            <v>Nguyễn Duy Tân</v>
          </cell>
          <cell r="H201">
            <v>20</v>
          </cell>
          <cell r="I201">
            <v>1000000</v>
          </cell>
          <cell r="J201">
            <v>192</v>
          </cell>
        </row>
        <row r="202">
          <cell r="F202" t="str">
            <v>Nguyễn Ngọc Hiệp</v>
          </cell>
          <cell r="H202">
            <v>20</v>
          </cell>
          <cell r="I202">
            <v>1000000</v>
          </cell>
          <cell r="J202">
            <v>193</v>
          </cell>
        </row>
        <row r="203">
          <cell r="F203" t="str">
            <v>Tạ Minh Cường</v>
          </cell>
          <cell r="G203" t="str">
            <v>Khoa Điện-
Điện tử</v>
          </cell>
          <cell r="H203">
            <v>20</v>
          </cell>
          <cell r="I203">
            <v>1000000</v>
          </cell>
          <cell r="J203">
            <v>194</v>
          </cell>
        </row>
        <row r="204">
          <cell r="F204" t="str">
            <v>Phạm Minh Nghĩa</v>
          </cell>
          <cell r="H204">
            <v>20</v>
          </cell>
          <cell r="I204">
            <v>1000000</v>
          </cell>
          <cell r="J204">
            <v>195</v>
          </cell>
        </row>
        <row r="205">
          <cell r="F205" t="str">
            <v>Nguyễn Văn Yên</v>
          </cell>
          <cell r="H205">
            <v>20</v>
          </cell>
          <cell r="I205">
            <v>1000000</v>
          </cell>
          <cell r="J205">
            <v>196</v>
          </cell>
        </row>
        <row r="206">
          <cell r="F206" t="str">
            <v>Nguyễn Minh Đức</v>
          </cell>
          <cell r="H206">
            <v>20</v>
          </cell>
          <cell r="I206">
            <v>1000000</v>
          </cell>
          <cell r="J206">
            <v>197</v>
          </cell>
        </row>
        <row r="207">
          <cell r="F207" t="str">
            <v>Nguyễn Anh Tăng</v>
          </cell>
          <cell r="H207">
            <v>20</v>
          </cell>
          <cell r="I207">
            <v>1000000</v>
          </cell>
          <cell r="J207">
            <v>198</v>
          </cell>
        </row>
        <row r="208">
          <cell r="F208" t="str">
            <v>Lê Thế Huân</v>
          </cell>
          <cell r="H208">
            <v>20</v>
          </cell>
          <cell r="I208">
            <v>1000000</v>
          </cell>
          <cell r="J208">
            <v>199</v>
          </cell>
        </row>
        <row r="209">
          <cell r="F209" t="str">
            <v>Lâm Viết Dũng</v>
          </cell>
          <cell r="H209">
            <v>20</v>
          </cell>
          <cell r="I209">
            <v>1000000</v>
          </cell>
          <cell r="J209">
            <v>200</v>
          </cell>
        </row>
        <row r="210">
          <cell r="F210" t="str">
            <v>Trần Trung Hiếu</v>
          </cell>
          <cell r="H210">
            <v>20</v>
          </cell>
          <cell r="I210">
            <v>1000000</v>
          </cell>
          <cell r="J210">
            <v>201</v>
          </cell>
        </row>
        <row r="211">
          <cell r="F211" t="str">
            <v>Trần Nguyên Bảo Trân</v>
          </cell>
          <cell r="H211">
            <v>20</v>
          </cell>
          <cell r="I211">
            <v>1000000</v>
          </cell>
          <cell r="J211">
            <v>202</v>
          </cell>
        </row>
        <row r="212">
          <cell r="F212" t="str">
            <v>Mạnh Lê Hoàn</v>
          </cell>
          <cell r="H212">
            <v>20</v>
          </cell>
          <cell r="I212">
            <v>1000000</v>
          </cell>
          <cell r="J212">
            <v>203</v>
          </cell>
        </row>
        <row r="213">
          <cell r="F213" t="str">
            <v>Ngô Hoàng Anh</v>
          </cell>
          <cell r="H213">
            <v>20</v>
          </cell>
          <cell r="I213">
            <v>1000000</v>
          </cell>
          <cell r="J213">
            <v>204</v>
          </cell>
        </row>
        <row r="214">
          <cell r="F214" t="str">
            <v>Nguyễn Thùy Linh</v>
          </cell>
          <cell r="H214">
            <v>20</v>
          </cell>
          <cell r="I214">
            <v>1000000</v>
          </cell>
          <cell r="J214">
            <v>205</v>
          </cell>
        </row>
        <row r="215">
          <cell r="F215" t="str">
            <v>Vũ Hạnh Chiêu</v>
          </cell>
          <cell r="H215">
            <v>20</v>
          </cell>
          <cell r="I215">
            <v>1000000</v>
          </cell>
          <cell r="J215">
            <v>206</v>
          </cell>
        </row>
        <row r="216">
          <cell r="F216" t="str">
            <v>Đỗ Huỳnh Thanh Phong</v>
          </cell>
          <cell r="H216">
            <v>20</v>
          </cell>
          <cell r="I216">
            <v>1000000</v>
          </cell>
          <cell r="J216">
            <v>207</v>
          </cell>
        </row>
        <row r="217">
          <cell r="F217" t="str">
            <v>Nguyễn Minh Đức Cường</v>
          </cell>
          <cell r="H217">
            <v>20</v>
          </cell>
          <cell r="I217">
            <v>1000000</v>
          </cell>
          <cell r="J217">
            <v>208</v>
          </cell>
        </row>
        <row r="218">
          <cell r="F218" t="str">
            <v>Huỳnh Ngọc Mai</v>
          </cell>
          <cell r="H218">
            <v>20</v>
          </cell>
          <cell r="I218">
            <v>1000000</v>
          </cell>
          <cell r="J218">
            <v>209</v>
          </cell>
        </row>
        <row r="219">
          <cell r="F219" t="str">
            <v>Nguyễn Hồng Đức</v>
          </cell>
          <cell r="H219">
            <v>20</v>
          </cell>
          <cell r="I219">
            <v>1000000</v>
          </cell>
          <cell r="J219">
            <v>210</v>
          </cell>
        </row>
        <row r="220">
          <cell r="F220" t="str">
            <v>Trần Công Tiến</v>
          </cell>
          <cell r="H220">
            <v>20</v>
          </cell>
          <cell r="I220">
            <v>1000000</v>
          </cell>
          <cell r="J220">
            <v>211</v>
          </cell>
        </row>
        <row r="221">
          <cell r="F221" t="str">
            <v>Nguyễn Trần Thanh Nhàn</v>
          </cell>
          <cell r="H221">
            <v>20</v>
          </cell>
          <cell r="I221">
            <v>1000000</v>
          </cell>
          <cell r="J221">
            <v>212</v>
          </cell>
        </row>
        <row r="222">
          <cell r="F222" t="str">
            <v>Tăng Cẩm Huê</v>
          </cell>
          <cell r="H222">
            <v>20</v>
          </cell>
          <cell r="I222">
            <v>1000000</v>
          </cell>
          <cell r="J222">
            <v>213</v>
          </cell>
        </row>
        <row r="223">
          <cell r="F223" t="str">
            <v>Trần Hiếu Trinh</v>
          </cell>
          <cell r="H223">
            <v>20</v>
          </cell>
          <cell r="I223">
            <v>1000000</v>
          </cell>
          <cell r="J223">
            <v>214</v>
          </cell>
        </row>
        <row r="224">
          <cell r="F224" t="str">
            <v>Nguyễn Thị Tố Nga</v>
          </cell>
          <cell r="H224">
            <v>20</v>
          </cell>
          <cell r="I224">
            <v>1000000</v>
          </cell>
          <cell r="J224">
            <v>215</v>
          </cell>
        </row>
        <row r="225">
          <cell r="F225" t="str">
            <v>Đặng Đức Minh</v>
          </cell>
          <cell r="H225">
            <v>20</v>
          </cell>
          <cell r="I225">
            <v>1000000</v>
          </cell>
          <cell r="J225">
            <v>216</v>
          </cell>
        </row>
        <row r="226">
          <cell r="F226" t="str">
            <v>Nguyễn Thị Ngọc Hiền</v>
          </cell>
          <cell r="H226">
            <v>20</v>
          </cell>
          <cell r="I226">
            <v>1000000</v>
          </cell>
          <cell r="J226">
            <v>217</v>
          </cell>
        </row>
        <row r="227">
          <cell r="F227" t="str">
            <v>Ngô Phong Cường</v>
          </cell>
          <cell r="H227">
            <v>20</v>
          </cell>
          <cell r="I227">
            <v>1000000</v>
          </cell>
          <cell r="J227">
            <v>218</v>
          </cell>
        </row>
        <row r="228">
          <cell r="F228" t="str">
            <v>Cao Văn Tuấn</v>
          </cell>
          <cell r="H228">
            <v>20</v>
          </cell>
          <cell r="I228">
            <v>1000000</v>
          </cell>
          <cell r="J228">
            <v>219</v>
          </cell>
        </row>
        <row r="229">
          <cell r="F229" t="str">
            <v>Trần Nam Anh</v>
          </cell>
          <cell r="H229">
            <v>20</v>
          </cell>
          <cell r="I229">
            <v>1000000</v>
          </cell>
          <cell r="J229">
            <v>220</v>
          </cell>
        </row>
        <row r="230">
          <cell r="F230" t="str">
            <v>Trần Giang Nam</v>
          </cell>
          <cell r="H230">
            <v>20</v>
          </cell>
          <cell r="I230">
            <v>1000000</v>
          </cell>
          <cell r="J230">
            <v>221</v>
          </cell>
        </row>
        <row r="231">
          <cell r="F231" t="str">
            <v>Phan Thanh Hoàng</v>
          </cell>
          <cell r="H231">
            <v>20</v>
          </cell>
          <cell r="I231">
            <v>1000000</v>
          </cell>
          <cell r="J231">
            <v>222</v>
          </cell>
        </row>
        <row r="232">
          <cell r="F232" t="str">
            <v>Huỳnh Duy An</v>
          </cell>
          <cell r="H232">
            <v>20</v>
          </cell>
          <cell r="I232">
            <v>1000000</v>
          </cell>
          <cell r="J232">
            <v>223</v>
          </cell>
        </row>
        <row r="233">
          <cell r="F233" t="str">
            <v>Nguyễn Khương Thành</v>
          </cell>
          <cell r="H233">
            <v>20</v>
          </cell>
          <cell r="I233">
            <v>1000000</v>
          </cell>
          <cell r="J233">
            <v>224</v>
          </cell>
        </row>
        <row r="234">
          <cell r="F234" t="str">
            <v>Nguyễn Anh Tuấn</v>
          </cell>
          <cell r="G234" t="str">
            <v>Khoa Động Lực</v>
          </cell>
          <cell r="H234">
            <v>20</v>
          </cell>
          <cell r="I234">
            <v>1000000</v>
          </cell>
          <cell r="J234">
            <v>225</v>
          </cell>
        </row>
        <row r="235">
          <cell r="F235" t="str">
            <v>Võ Đắc Thịnh</v>
          </cell>
          <cell r="H235">
            <v>20</v>
          </cell>
          <cell r="I235">
            <v>1000000</v>
          </cell>
          <cell r="J235">
            <v>226</v>
          </cell>
        </row>
        <row r="236">
          <cell r="F236" t="str">
            <v>Nguyễn Hữu Mạnh</v>
          </cell>
          <cell r="H236">
            <v>20</v>
          </cell>
          <cell r="I236">
            <v>1000000</v>
          </cell>
          <cell r="J236">
            <v>227</v>
          </cell>
        </row>
        <row r="237">
          <cell r="F237" t="str">
            <v>Phan Anh Tuấn Kiệt</v>
          </cell>
          <cell r="H237">
            <v>20</v>
          </cell>
          <cell r="I237">
            <v>1000000</v>
          </cell>
          <cell r="J237">
            <v>228</v>
          </cell>
        </row>
        <row r="238">
          <cell r="F238" t="str">
            <v>Triệu Phú Nguyên</v>
          </cell>
          <cell r="H238">
            <v>20</v>
          </cell>
          <cell r="I238">
            <v>1000000</v>
          </cell>
          <cell r="J238">
            <v>229</v>
          </cell>
        </row>
        <row r="239">
          <cell r="F239" t="str">
            <v>Nguyễn Thành Đức</v>
          </cell>
          <cell r="H239">
            <v>20</v>
          </cell>
          <cell r="I239">
            <v>1000000</v>
          </cell>
          <cell r="J239">
            <v>230</v>
          </cell>
        </row>
        <row r="240">
          <cell r="F240" t="str">
            <v>Nguyễn Minh Thái</v>
          </cell>
          <cell r="H240">
            <v>20</v>
          </cell>
          <cell r="I240">
            <v>1000000</v>
          </cell>
          <cell r="J240">
            <v>231</v>
          </cell>
        </row>
        <row r="241">
          <cell r="F241" t="str">
            <v>Đặng Thái Sơn</v>
          </cell>
          <cell r="H241">
            <v>20</v>
          </cell>
          <cell r="I241">
            <v>1000000</v>
          </cell>
          <cell r="J241">
            <v>232</v>
          </cell>
        </row>
        <row r="242">
          <cell r="F242" t="str">
            <v>Nguyễn Thái Bình</v>
          </cell>
          <cell r="H242">
            <v>20</v>
          </cell>
          <cell r="I242">
            <v>1000000</v>
          </cell>
          <cell r="J242">
            <v>233</v>
          </cell>
        </row>
        <row r="243">
          <cell r="F243" t="str">
            <v>Kiều Trung Tín</v>
          </cell>
          <cell r="H243">
            <v>20</v>
          </cell>
          <cell r="I243">
            <v>1000000</v>
          </cell>
          <cell r="J243">
            <v>234</v>
          </cell>
        </row>
        <row r="244">
          <cell r="F244" t="str">
            <v>Trần Quốc Duy</v>
          </cell>
          <cell r="H244">
            <v>20</v>
          </cell>
          <cell r="I244">
            <v>1000000</v>
          </cell>
          <cell r="J244">
            <v>235</v>
          </cell>
        </row>
        <row r="245">
          <cell r="F245" t="str">
            <v>Hồ Văn Hóa</v>
          </cell>
          <cell r="H245">
            <v>20</v>
          </cell>
          <cell r="I245">
            <v>1000000</v>
          </cell>
          <cell r="J245">
            <v>236</v>
          </cell>
        </row>
        <row r="246">
          <cell r="F246" t="str">
            <v>Nguyễn Thanh Hùng</v>
          </cell>
          <cell r="H246">
            <v>20</v>
          </cell>
          <cell r="I246">
            <v>1000000</v>
          </cell>
          <cell r="J246">
            <v>237</v>
          </cell>
        </row>
        <row r="247">
          <cell r="F247" t="str">
            <v>Hà Quốc Bảo</v>
          </cell>
          <cell r="H247">
            <v>20</v>
          </cell>
          <cell r="I247">
            <v>1000000</v>
          </cell>
          <cell r="J247">
            <v>238</v>
          </cell>
        </row>
        <row r="248">
          <cell r="F248" t="str">
            <v>Hoàng Phúc Bảo</v>
          </cell>
          <cell r="H248">
            <v>20</v>
          </cell>
          <cell r="I248">
            <v>1000000</v>
          </cell>
          <cell r="J248">
            <v>239</v>
          </cell>
        </row>
        <row r="249">
          <cell r="F249" t="str">
            <v>Nguyễn Lương Tâm</v>
          </cell>
          <cell r="H249">
            <v>20</v>
          </cell>
          <cell r="I249">
            <v>1000000</v>
          </cell>
          <cell r="J249">
            <v>240</v>
          </cell>
        </row>
        <row r="250">
          <cell r="F250" t="str">
            <v>Trần Thế Sơn</v>
          </cell>
          <cell r="H250">
            <v>20</v>
          </cell>
          <cell r="I250">
            <v>1000000</v>
          </cell>
          <cell r="J250">
            <v>241</v>
          </cell>
        </row>
        <row r="251">
          <cell r="F251" t="str">
            <v>Trần Văn Đông</v>
          </cell>
          <cell r="H251">
            <v>20</v>
          </cell>
          <cell r="I251">
            <v>1000000</v>
          </cell>
          <cell r="J251">
            <v>242</v>
          </cell>
        </row>
        <row r="252">
          <cell r="F252" t="str">
            <v>Lý Văn Trung</v>
          </cell>
          <cell r="H252">
            <v>20</v>
          </cell>
          <cell r="I252">
            <v>1000000</v>
          </cell>
          <cell r="J252">
            <v>243</v>
          </cell>
        </row>
        <row r="253">
          <cell r="F253" t="str">
            <v>Nguyễn Hoàng Vinh</v>
          </cell>
          <cell r="H253">
            <v>20</v>
          </cell>
          <cell r="I253">
            <v>1000000</v>
          </cell>
          <cell r="J253">
            <v>244</v>
          </cell>
        </row>
        <row r="254">
          <cell r="F254" t="str">
            <v>Bùi Trọng Tân</v>
          </cell>
          <cell r="H254">
            <v>20</v>
          </cell>
          <cell r="I254">
            <v>1000000</v>
          </cell>
          <cell r="J254">
            <v>245</v>
          </cell>
        </row>
        <row r="255">
          <cell r="F255" t="str">
            <v>Giang Văn Tiến</v>
          </cell>
          <cell r="H255">
            <v>20</v>
          </cell>
          <cell r="I255">
            <v>1000000</v>
          </cell>
          <cell r="J255">
            <v>246</v>
          </cell>
        </row>
        <row r="256">
          <cell r="F256" t="str">
            <v>Nguyễn Hữu Lương</v>
          </cell>
          <cell r="H256">
            <v>20</v>
          </cell>
          <cell r="I256">
            <v>1000000</v>
          </cell>
          <cell r="J256">
            <v>247</v>
          </cell>
        </row>
        <row r="257">
          <cell r="F257" t="str">
            <v>Huỳnh Đình Văn</v>
          </cell>
          <cell r="H257">
            <v>20</v>
          </cell>
          <cell r="I257">
            <v>1000000</v>
          </cell>
          <cell r="J257">
            <v>248</v>
          </cell>
        </row>
        <row r="258">
          <cell r="F258" t="str">
            <v>Phạm Quang Vũ</v>
          </cell>
          <cell r="G258" t="str">
            <v>Khoa Xây dựng - Nhiệt lạnh</v>
          </cell>
          <cell r="H258">
            <v>20</v>
          </cell>
          <cell r="I258">
            <v>1000000</v>
          </cell>
          <cell r="J258">
            <v>249</v>
          </cell>
        </row>
        <row r="259">
          <cell r="F259" t="str">
            <v>Trình Minh Phong</v>
          </cell>
          <cell r="H259">
            <v>20</v>
          </cell>
          <cell r="I259">
            <v>1000000</v>
          </cell>
          <cell r="J259">
            <v>250</v>
          </cell>
        </row>
        <row r="260">
          <cell r="F260" t="str">
            <v>Trần Ngọc Tuấn</v>
          </cell>
          <cell r="H260">
            <v>20</v>
          </cell>
          <cell r="I260">
            <v>1000000</v>
          </cell>
          <cell r="J260">
            <v>251</v>
          </cell>
        </row>
        <row r="261">
          <cell r="F261" t="str">
            <v>Đặng Thế Huân</v>
          </cell>
          <cell r="H261">
            <v>20</v>
          </cell>
          <cell r="I261">
            <v>1000000</v>
          </cell>
          <cell r="J261">
            <v>252</v>
          </cell>
        </row>
        <row r="262">
          <cell r="F262" t="str">
            <v>Võ Anh Hào</v>
          </cell>
          <cell r="H262">
            <v>20</v>
          </cell>
          <cell r="I262">
            <v>1000000</v>
          </cell>
          <cell r="J262">
            <v>253</v>
          </cell>
        </row>
        <row r="263">
          <cell r="F263" t="str">
            <v>Phan Văn Hòa</v>
          </cell>
          <cell r="H263">
            <v>20</v>
          </cell>
          <cell r="I263">
            <v>1000000</v>
          </cell>
          <cell r="J263">
            <v>254</v>
          </cell>
        </row>
        <row r="264">
          <cell r="F264" t="str">
            <v>Trần Đình Khoa</v>
          </cell>
          <cell r="H264">
            <v>20</v>
          </cell>
          <cell r="I264">
            <v>1000000</v>
          </cell>
          <cell r="J264">
            <v>255</v>
          </cell>
        </row>
        <row r="265">
          <cell r="F265" t="str">
            <v>Đỗ Trọng Quý</v>
          </cell>
          <cell r="H265">
            <v>20</v>
          </cell>
          <cell r="I265">
            <v>1000000</v>
          </cell>
          <cell r="J265">
            <v>256</v>
          </cell>
        </row>
        <row r="266">
          <cell r="F266" t="str">
            <v>Nguyễn Vũ Xuân Thì</v>
          </cell>
          <cell r="H266">
            <v>20</v>
          </cell>
          <cell r="I266">
            <v>1000000</v>
          </cell>
          <cell r="J266">
            <v>257</v>
          </cell>
        </row>
        <row r="267">
          <cell r="F267" t="str">
            <v>Hoàng Văn Viết</v>
          </cell>
          <cell r="H267">
            <v>20</v>
          </cell>
          <cell r="I267">
            <v>1000000</v>
          </cell>
          <cell r="J267">
            <v>258</v>
          </cell>
        </row>
        <row r="268">
          <cell r="F268" t="str">
            <v>Nguyễn Thanh Dũng</v>
          </cell>
          <cell r="H268">
            <v>20</v>
          </cell>
          <cell r="I268">
            <v>1000000</v>
          </cell>
          <cell r="J268">
            <v>259</v>
          </cell>
        </row>
        <row r="269">
          <cell r="H269">
            <v>5238.5</v>
          </cell>
          <cell r="I269">
            <v>261925000</v>
          </cell>
        </row>
      </sheetData>
      <sheetData sheetId="1" refreshError="1"/>
      <sheetData sheetId="2">
        <row r="10">
          <cell r="G10" t="str">
            <v>Đồng Anh Tuấn</v>
          </cell>
          <cell r="H10" t="str">
            <v>P. TC-HC-TH</v>
          </cell>
          <cell r="I10">
            <v>26</v>
          </cell>
          <cell r="J10">
            <v>1300000</v>
          </cell>
          <cell r="K10">
            <v>1</v>
          </cell>
        </row>
        <row r="11">
          <cell r="G11" t="str">
            <v>Nguyễn Thanh Hiền</v>
          </cell>
          <cell r="I11">
            <v>26</v>
          </cell>
          <cell r="J11">
            <v>1300000</v>
          </cell>
          <cell r="K11">
            <v>2</v>
          </cell>
        </row>
        <row r="12">
          <cell r="G12" t="str">
            <v>Lê Hồng Phúc</v>
          </cell>
          <cell r="I12">
            <v>27</v>
          </cell>
          <cell r="J12">
            <v>1350000</v>
          </cell>
          <cell r="K12">
            <v>3</v>
          </cell>
        </row>
        <row r="13">
          <cell r="G13" t="str">
            <v>Nguyễn Hữu Xuân Vũ</v>
          </cell>
          <cell r="I13">
            <v>24</v>
          </cell>
          <cell r="J13">
            <v>1200000</v>
          </cell>
          <cell r="K13">
            <v>4</v>
          </cell>
          <cell r="L13" t="str">
            <v>Trừ 2 ngày nghỉ phép 23+27/5</v>
          </cell>
        </row>
        <row r="14">
          <cell r="G14" t="str">
            <v>Phạm Hữu Thành Phú</v>
          </cell>
          <cell r="I14">
            <v>21</v>
          </cell>
          <cell r="J14">
            <v>1050000</v>
          </cell>
          <cell r="K14">
            <v>5</v>
          </cell>
          <cell r="L14" t="str">
            <v>Trừ 5 ngày nghỉ chế độ vợ sinh từ 12 đến 16/5</v>
          </cell>
        </row>
        <row r="15">
          <cell r="G15" t="str">
            <v>Huỳnh Thanh Nhàn</v>
          </cell>
          <cell r="I15">
            <v>26</v>
          </cell>
          <cell r="J15">
            <v>1300000</v>
          </cell>
          <cell r="K15">
            <v>6</v>
          </cell>
        </row>
        <row r="16">
          <cell r="G16" t="str">
            <v>Phạm Quang Tùng</v>
          </cell>
          <cell r="I16">
            <v>26</v>
          </cell>
          <cell r="J16">
            <v>1300000</v>
          </cell>
          <cell r="K16">
            <v>7</v>
          </cell>
          <cell r="L16" t="str">
            <v>Trừ 1 ngày nghỉ 21/5</v>
          </cell>
        </row>
        <row r="17">
          <cell r="G17" t="str">
            <v>Trần Thanh Cường</v>
          </cell>
          <cell r="I17">
            <v>26</v>
          </cell>
          <cell r="J17">
            <v>1300000</v>
          </cell>
          <cell r="K17">
            <v>8</v>
          </cell>
        </row>
        <row r="18">
          <cell r="G18" t="str">
            <v>Dương Văn Tâm</v>
          </cell>
          <cell r="I18">
            <v>24</v>
          </cell>
          <cell r="J18">
            <v>1200000</v>
          </cell>
          <cell r="K18">
            <v>9</v>
          </cell>
        </row>
        <row r="19">
          <cell r="G19" t="str">
            <v>Huỳnh Ngọc Liên</v>
          </cell>
          <cell r="I19">
            <v>24</v>
          </cell>
          <cell r="J19">
            <v>1200000</v>
          </cell>
          <cell r="K19">
            <v>10</v>
          </cell>
        </row>
        <row r="20">
          <cell r="G20" t="str">
            <v>Huỳnh Thị Xuân Mai</v>
          </cell>
          <cell r="I20">
            <v>23</v>
          </cell>
          <cell r="J20">
            <v>1150000</v>
          </cell>
          <cell r="K20">
            <v>11</v>
          </cell>
          <cell r="L20" t="str">
            <v>Trừ 1 ngày nghỉ phép 8/5</v>
          </cell>
        </row>
        <row r="21">
          <cell r="G21" t="str">
            <v>Trần Văn Cu Anh</v>
          </cell>
          <cell r="I21">
            <v>25</v>
          </cell>
          <cell r="J21">
            <v>1250000</v>
          </cell>
          <cell r="K21">
            <v>12</v>
          </cell>
          <cell r="L21" t="str">
            <v>Trừ 2 ngày nghỉ phép 19+29/5</v>
          </cell>
        </row>
        <row r="22">
          <cell r="G22" t="str">
            <v>Vũ Anh Hiếu</v>
          </cell>
          <cell r="I22">
            <v>25</v>
          </cell>
          <cell r="J22">
            <v>1250000</v>
          </cell>
          <cell r="K22">
            <v>13</v>
          </cell>
          <cell r="L22" t="str">
            <v>Trừ 1 ngày nghỉ phép 17/5</v>
          </cell>
        </row>
        <row r="23">
          <cell r="G23" t="str">
            <v>Phan Đức Hiếu</v>
          </cell>
          <cell r="I23">
            <v>26</v>
          </cell>
          <cell r="J23">
            <v>1300000</v>
          </cell>
          <cell r="K23">
            <v>14</v>
          </cell>
        </row>
        <row r="24">
          <cell r="G24" t="str">
            <v>Dương Thị Thủy</v>
          </cell>
          <cell r="H24" t="str">
            <v>P.QT-DV</v>
          </cell>
          <cell r="I24">
            <v>24</v>
          </cell>
          <cell r="J24">
            <v>1200000</v>
          </cell>
          <cell r="K24">
            <v>15</v>
          </cell>
        </row>
        <row r="25">
          <cell r="G25" t="str">
            <v>Tạ Quốc Tấn</v>
          </cell>
          <cell r="I25">
            <v>24</v>
          </cell>
          <cell r="J25">
            <v>1200000</v>
          </cell>
          <cell r="K25">
            <v>16</v>
          </cell>
        </row>
        <row r="26">
          <cell r="G26" t="str">
            <v>Huỳnh Bá Triết</v>
          </cell>
          <cell r="I26">
            <v>23</v>
          </cell>
          <cell r="J26">
            <v>1150000</v>
          </cell>
          <cell r="K26">
            <v>17</v>
          </cell>
          <cell r="L26" t="str">
            <v>Trừ 1 ngày nghỉ phép 5/5</v>
          </cell>
        </row>
        <row r="27">
          <cell r="G27" t="str">
            <v>Giáp Đức Nhận</v>
          </cell>
          <cell r="I27">
            <v>24</v>
          </cell>
          <cell r="J27">
            <v>1200000</v>
          </cell>
          <cell r="K27">
            <v>18</v>
          </cell>
        </row>
        <row r="28">
          <cell r="G28" t="str">
            <v>Trần Thị Thu</v>
          </cell>
          <cell r="I28">
            <v>24</v>
          </cell>
          <cell r="J28">
            <v>1200000</v>
          </cell>
          <cell r="K28">
            <v>19</v>
          </cell>
        </row>
        <row r="29">
          <cell r="G29" t="str">
            <v>Đỗ Thị Bích Thủy</v>
          </cell>
          <cell r="I29">
            <v>24</v>
          </cell>
          <cell r="J29">
            <v>1200000</v>
          </cell>
          <cell r="K29">
            <v>20</v>
          </cell>
        </row>
        <row r="30">
          <cell r="G30" t="str">
            <v>Trịnh Tuấn Vũ</v>
          </cell>
          <cell r="I30">
            <v>26</v>
          </cell>
          <cell r="J30">
            <v>1300000</v>
          </cell>
          <cell r="K30">
            <v>21</v>
          </cell>
        </row>
        <row r="31">
          <cell r="G31" t="str">
            <v>Võ Thị Tuyết</v>
          </cell>
          <cell r="I31">
            <v>25</v>
          </cell>
          <cell r="J31">
            <v>1250000</v>
          </cell>
          <cell r="K31">
            <v>22</v>
          </cell>
          <cell r="L31" t="str">
            <v>Trừ 1 ngày nghỉ phép 27/5</v>
          </cell>
        </row>
        <row r="32">
          <cell r="G32" t="str">
            <v>Trần Kim Tươi</v>
          </cell>
          <cell r="I32">
            <v>24</v>
          </cell>
          <cell r="J32">
            <v>1200000</v>
          </cell>
          <cell r="K32">
            <v>23</v>
          </cell>
        </row>
        <row r="33">
          <cell r="G33" t="str">
            <v>Trương Thị Định</v>
          </cell>
          <cell r="I33">
            <v>22</v>
          </cell>
          <cell r="J33">
            <v>1100000</v>
          </cell>
          <cell r="K33">
            <v>24</v>
          </cell>
          <cell r="L33" t="str">
            <v>Trừ 2 ngày nghỉ phép 17+19/5</v>
          </cell>
        </row>
        <row r="34">
          <cell r="G34" t="str">
            <v>Trương Thị Bắc</v>
          </cell>
          <cell r="I34">
            <v>22</v>
          </cell>
          <cell r="J34">
            <v>1100000</v>
          </cell>
          <cell r="K34">
            <v>25</v>
          </cell>
          <cell r="L34" t="str">
            <v>Trừ 2 ngày nghỉ phép 17+19/5</v>
          </cell>
        </row>
        <row r="35">
          <cell r="G35" t="str">
            <v>Võ Tấn Đức</v>
          </cell>
          <cell r="I35">
            <v>24</v>
          </cell>
          <cell r="J35">
            <v>1200000</v>
          </cell>
          <cell r="K35">
            <v>26</v>
          </cell>
        </row>
        <row r="36">
          <cell r="G36" t="str">
            <v>Ngô Ngọc Của</v>
          </cell>
          <cell r="I36">
            <v>25</v>
          </cell>
          <cell r="J36">
            <v>1250000</v>
          </cell>
          <cell r="K36">
            <v>27</v>
          </cell>
        </row>
        <row r="37">
          <cell r="G37" t="str">
            <v>Phạm Thị Hoàng Diễm</v>
          </cell>
          <cell r="I37">
            <v>26</v>
          </cell>
          <cell r="J37">
            <v>1300000</v>
          </cell>
          <cell r="K37">
            <v>28</v>
          </cell>
        </row>
        <row r="38">
          <cell r="G38" t="str">
            <v>Nguyễn Văn Hiển</v>
          </cell>
          <cell r="I38">
            <v>24</v>
          </cell>
          <cell r="J38">
            <v>1200000</v>
          </cell>
          <cell r="K38">
            <v>29</v>
          </cell>
        </row>
        <row r="39">
          <cell r="G39" t="str">
            <v>Trần Thanh Phương</v>
          </cell>
          <cell r="I39">
            <v>24</v>
          </cell>
          <cell r="J39">
            <v>1200000</v>
          </cell>
          <cell r="K39">
            <v>30</v>
          </cell>
        </row>
        <row r="40">
          <cell r="G40" t="str">
            <v>Lâm Võ Hữu Duy</v>
          </cell>
          <cell r="I40">
            <v>24</v>
          </cell>
          <cell r="J40">
            <v>1200000</v>
          </cell>
          <cell r="K40">
            <v>31</v>
          </cell>
        </row>
        <row r="41">
          <cell r="G41" t="str">
            <v>Võ Lạc Tân</v>
          </cell>
          <cell r="I41">
            <v>24</v>
          </cell>
          <cell r="J41">
            <v>1200000</v>
          </cell>
          <cell r="K41">
            <v>32</v>
          </cell>
        </row>
        <row r="42">
          <cell r="G42" t="str">
            <v>Lê Thị Huyền</v>
          </cell>
          <cell r="H42" t="str">
            <v>Trạm Y tế</v>
          </cell>
          <cell r="I42">
            <v>24</v>
          </cell>
          <cell r="J42">
            <v>1200000</v>
          </cell>
          <cell r="K42">
            <v>33</v>
          </cell>
        </row>
        <row r="43">
          <cell r="G43" t="str">
            <v>Trần Thị Thảo Vân</v>
          </cell>
          <cell r="H43" t="str">
            <v xml:space="preserve">Phòng KH - TC </v>
          </cell>
          <cell r="I43">
            <v>24</v>
          </cell>
          <cell r="J43">
            <v>1200000</v>
          </cell>
          <cell r="K43">
            <v>34</v>
          </cell>
        </row>
        <row r="44">
          <cell r="G44" t="str">
            <v>Huỳnh Như Ý</v>
          </cell>
          <cell r="I44">
            <v>24</v>
          </cell>
          <cell r="J44">
            <v>1200000</v>
          </cell>
          <cell r="K44">
            <v>35</v>
          </cell>
        </row>
        <row r="45">
          <cell r="G45" t="str">
            <v>Nguyễn Chiến Thắng</v>
          </cell>
          <cell r="I45">
            <v>24</v>
          </cell>
          <cell r="J45">
            <v>1200000</v>
          </cell>
          <cell r="K45">
            <v>36</v>
          </cell>
        </row>
        <row r="46">
          <cell r="G46" t="str">
            <v>Huỳnh Văn Hiếu</v>
          </cell>
          <cell r="H46" t="str">
            <v>Phòng TTGD - QHDN</v>
          </cell>
          <cell r="I46">
            <v>24</v>
          </cell>
          <cell r="J46">
            <v>1200000</v>
          </cell>
          <cell r="K46">
            <v>37</v>
          </cell>
        </row>
        <row r="47">
          <cell r="G47" t="str">
            <v>Trần Anh Mỹ</v>
          </cell>
          <cell r="I47">
            <v>24</v>
          </cell>
          <cell r="J47">
            <v>1200000</v>
          </cell>
          <cell r="K47">
            <v>38</v>
          </cell>
        </row>
        <row r="48">
          <cell r="G48" t="str">
            <v>Nguyễn Trung Dũng</v>
          </cell>
          <cell r="I48">
            <v>22</v>
          </cell>
          <cell r="J48">
            <v>1100000</v>
          </cell>
          <cell r="K48">
            <v>39</v>
          </cell>
          <cell r="L48" t="str">
            <v>Trừ 2 ngày nghỉ phép 9+19/5</v>
          </cell>
        </row>
        <row r="49">
          <cell r="G49" t="str">
            <v>Phạm Huy Hoàng</v>
          </cell>
          <cell r="I49">
            <v>24</v>
          </cell>
          <cell r="J49">
            <v>1200000</v>
          </cell>
          <cell r="K49">
            <v>40</v>
          </cell>
        </row>
        <row r="50">
          <cell r="G50" t="str">
            <v>Bùi Đức Phước</v>
          </cell>
          <cell r="I50">
            <v>23</v>
          </cell>
          <cell r="J50">
            <v>1150000</v>
          </cell>
          <cell r="K50">
            <v>41</v>
          </cell>
          <cell r="L50" t="str">
            <v>Trừ 1 ngày nghỉ phép 10/5</v>
          </cell>
        </row>
        <row r="51">
          <cell r="G51" t="str">
            <v>Nguyễn Thị Thảo</v>
          </cell>
          <cell r="I51">
            <v>24</v>
          </cell>
          <cell r="J51">
            <v>1200000</v>
          </cell>
          <cell r="K51">
            <v>42</v>
          </cell>
        </row>
        <row r="52">
          <cell r="G52" t="str">
            <v>Lưu Hoàng Bảo Châu</v>
          </cell>
          <cell r="I52">
            <v>0</v>
          </cell>
          <cell r="J52">
            <v>0</v>
          </cell>
          <cell r="K52">
            <v>43</v>
          </cell>
          <cell r="L52" t="str">
            <v>Nghỉ hộ sản hưởng chế độ BHXH từ 29/4/2025</v>
          </cell>
        </row>
        <row r="53">
          <cell r="G53" t="str">
            <v>Trần Việt Anh</v>
          </cell>
          <cell r="I53">
            <v>24</v>
          </cell>
          <cell r="J53">
            <v>1200000</v>
          </cell>
          <cell r="K53">
            <v>44</v>
          </cell>
        </row>
        <row r="54">
          <cell r="G54" t="str">
            <v>Phạm Huỳnh Kim Ngân</v>
          </cell>
          <cell r="H54" t="str">
            <v>TT Điều hành và QL dữ liệu</v>
          </cell>
          <cell r="I54">
            <v>16</v>
          </cell>
          <cell r="J54">
            <v>800000</v>
          </cell>
          <cell r="K54">
            <v>45</v>
          </cell>
          <cell r="L54" t="str">
            <v xml:space="preserve">Trừ 8 ngày nghỉ không hưởng lương </v>
          </cell>
        </row>
        <row r="55">
          <cell r="G55" t="str">
            <v>Nguyễn Đan Trường</v>
          </cell>
          <cell r="I55">
            <v>25</v>
          </cell>
          <cell r="J55">
            <v>1250000</v>
          </cell>
          <cell r="K55">
            <v>46</v>
          </cell>
        </row>
        <row r="56">
          <cell r="G56" t="str">
            <v>Nguyễn Yến Nhi</v>
          </cell>
          <cell r="H56" t="str">
            <v>Phòng Khảo thí và Đảm bảo CL</v>
          </cell>
          <cell r="I56">
            <v>24</v>
          </cell>
          <cell r="J56">
            <v>1200000</v>
          </cell>
          <cell r="K56">
            <v>47</v>
          </cell>
        </row>
        <row r="57">
          <cell r="G57" t="str">
            <v>Nguyễn Khắc Huân</v>
          </cell>
          <cell r="H57" t="str">
            <v>Khoa Động lực</v>
          </cell>
          <cell r="I57">
            <v>24</v>
          </cell>
          <cell r="J57">
            <v>1200000</v>
          </cell>
          <cell r="K57">
            <v>48</v>
          </cell>
        </row>
        <row r="58">
          <cell r="G58" t="str">
            <v>Nguyễn Thị Trang</v>
          </cell>
          <cell r="H58" t="str">
            <v>TT. Thư viện</v>
          </cell>
          <cell r="I58">
            <v>24</v>
          </cell>
          <cell r="J58">
            <v>1200000</v>
          </cell>
          <cell r="K58">
            <v>49</v>
          </cell>
        </row>
        <row r="59">
          <cell r="G59" t="str">
            <v>Lư Diễm Phúc</v>
          </cell>
          <cell r="I59">
            <v>23</v>
          </cell>
          <cell r="J59">
            <v>1150000</v>
          </cell>
          <cell r="K59">
            <v>50</v>
          </cell>
          <cell r="L59" t="str">
            <v>Trừ 1 ngày nghỉ phép 12/5</v>
          </cell>
        </row>
        <row r="60">
          <cell r="G60" t="str">
            <v>Hà Thị Hậu</v>
          </cell>
          <cell r="I60">
            <v>23.5</v>
          </cell>
          <cell r="J60">
            <v>1175000</v>
          </cell>
          <cell r="K60">
            <v>51</v>
          </cell>
          <cell r="L60" t="str">
            <v>Trừ 1/2 ngày nghỉ phép</v>
          </cell>
        </row>
        <row r="61">
          <cell r="G61" t="str">
            <v>Lê Tiến Dũng</v>
          </cell>
          <cell r="H61" t="str">
            <v>P. KHCN và QHQT</v>
          </cell>
          <cell r="I61">
            <v>22</v>
          </cell>
          <cell r="J61">
            <v>1100000</v>
          </cell>
          <cell r="K61">
            <v>52</v>
          </cell>
          <cell r="L61" t="str">
            <v>Trừ 2 ngày nghỉ phép 16+17/5</v>
          </cell>
        </row>
        <row r="62">
          <cell r="G62" t="str">
            <v>Lê Trần Thanh Nga</v>
          </cell>
          <cell r="I62">
            <v>24</v>
          </cell>
          <cell r="J62">
            <v>1200000</v>
          </cell>
          <cell r="K62">
            <v>53</v>
          </cell>
        </row>
        <row r="63">
          <cell r="G63" t="str">
            <v>Nguyễn Việt Tiến</v>
          </cell>
          <cell r="H63" t="str">
            <v xml:space="preserve">P. Tuyển sinh - Đào tạo </v>
          </cell>
          <cell r="I63">
            <v>26</v>
          </cell>
          <cell r="J63">
            <v>1300000</v>
          </cell>
          <cell r="K63">
            <v>54</v>
          </cell>
        </row>
        <row r="64">
          <cell r="G64" t="str">
            <v>Nguyễn Thị Tất</v>
          </cell>
          <cell r="I64">
            <v>24</v>
          </cell>
          <cell r="J64">
            <v>1200000</v>
          </cell>
          <cell r="K64">
            <v>55</v>
          </cell>
        </row>
        <row r="65">
          <cell r="G65" t="str">
            <v>Sỹ Thị Chung</v>
          </cell>
          <cell r="I65">
            <v>24</v>
          </cell>
          <cell r="J65">
            <v>1200000</v>
          </cell>
          <cell r="K65">
            <v>56</v>
          </cell>
        </row>
        <row r="66">
          <cell r="G66" t="str">
            <v>Nguyễn Thị Nhung</v>
          </cell>
          <cell r="I66">
            <v>24</v>
          </cell>
          <cell r="J66">
            <v>1200000</v>
          </cell>
          <cell r="K66">
            <v>57</v>
          </cell>
        </row>
        <row r="67">
          <cell r="G67" t="str">
            <v>Trần Nhật Thịnh</v>
          </cell>
          <cell r="I67">
            <v>22</v>
          </cell>
          <cell r="J67">
            <v>1100000</v>
          </cell>
          <cell r="K67">
            <v>58</v>
          </cell>
          <cell r="L67" t="str">
            <v>Trừ 2 ngày nghỉ phép 12+13/5</v>
          </cell>
        </row>
        <row r="68">
          <cell r="G68" t="str">
            <v>Võ Thị Mỹ Ngọc</v>
          </cell>
          <cell r="I68">
            <v>24</v>
          </cell>
          <cell r="J68">
            <v>1200000</v>
          </cell>
          <cell r="K68">
            <v>59</v>
          </cell>
        </row>
        <row r="69">
          <cell r="G69" t="str">
            <v>Đỗ Công Thành</v>
          </cell>
          <cell r="H69" t="str">
            <v>TT Đào tạo và QLTB</v>
          </cell>
          <cell r="I69">
            <v>27</v>
          </cell>
          <cell r="J69">
            <v>1350000</v>
          </cell>
          <cell r="K69">
            <v>60</v>
          </cell>
        </row>
        <row r="70">
          <cell r="G70" t="str">
            <v>Lương Thị Thắm</v>
          </cell>
          <cell r="I70">
            <v>25</v>
          </cell>
          <cell r="J70">
            <v>1250000</v>
          </cell>
          <cell r="K70">
            <v>61</v>
          </cell>
        </row>
        <row r="71">
          <cell r="G71" t="str">
            <v>Nguyễn Xuân Lợi</v>
          </cell>
          <cell r="I71">
            <v>24</v>
          </cell>
          <cell r="J71">
            <v>1200000</v>
          </cell>
          <cell r="K71">
            <v>62</v>
          </cell>
        </row>
        <row r="72">
          <cell r="G72" t="str">
            <v>Nguyễn Hoàng Hải</v>
          </cell>
          <cell r="I72">
            <v>23</v>
          </cell>
          <cell r="J72">
            <v>1150000</v>
          </cell>
          <cell r="K72">
            <v>63</v>
          </cell>
        </row>
        <row r="73">
          <cell r="I73">
            <v>1491.5</v>
          </cell>
          <cell r="J73">
            <v>74575000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6.bin"/><Relationship Id="rId4" Type="http://schemas.openxmlformats.org/officeDocument/2006/relationships/comments" Target="../comments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2" customFormat="1">
      <c r="A1" s="1693" t="s">
        <v>492</v>
      </c>
      <c r="B1" s="1693"/>
      <c r="C1" s="1693"/>
      <c r="D1" s="1693"/>
      <c r="E1" s="1693"/>
      <c r="F1" s="1693"/>
      <c r="G1" s="1693"/>
      <c r="H1" s="1693"/>
      <c r="I1" s="1693"/>
      <c r="J1" s="1693"/>
      <c r="K1" s="894"/>
      <c r="L1" s="894"/>
      <c r="M1" s="894"/>
      <c r="O1" s="723"/>
      <c r="P1" s="723"/>
      <c r="Q1" s="723"/>
      <c r="R1" s="723"/>
      <c r="S1" s="723"/>
      <c r="T1" s="724"/>
      <c r="U1" s="1691" t="s">
        <v>849</v>
      </c>
      <c r="V1" s="1691"/>
      <c r="W1" s="1691"/>
      <c r="X1" s="1691"/>
      <c r="Y1" s="1691"/>
      <c r="Z1" s="1691"/>
      <c r="AA1" s="1691"/>
      <c r="AB1" s="1691"/>
      <c r="AC1" s="1691"/>
      <c r="AD1" s="723"/>
      <c r="AE1" s="723"/>
      <c r="AF1" s="723"/>
    </row>
    <row r="2" spans="1:35" s="722" customFormat="1" ht="14.25">
      <c r="A2" s="1691" t="s">
        <v>1563</v>
      </c>
      <c r="B2" s="1691"/>
      <c r="C2" s="1691"/>
      <c r="D2" s="1691"/>
      <c r="E2" s="1691"/>
      <c r="F2" s="1691"/>
      <c r="G2" s="1691"/>
      <c r="H2" s="1691"/>
      <c r="I2" s="1691"/>
      <c r="J2" s="1691"/>
      <c r="K2" s="895"/>
      <c r="L2" s="895"/>
      <c r="M2" s="895"/>
      <c r="O2" s="723"/>
      <c r="P2" s="723"/>
      <c r="Q2" s="723"/>
      <c r="R2" s="723"/>
      <c r="S2" s="723"/>
      <c r="T2" s="723"/>
      <c r="U2" s="723"/>
      <c r="V2" s="723"/>
      <c r="W2" s="723"/>
      <c r="X2" s="723"/>
      <c r="Y2" s="1691" t="s">
        <v>2179</v>
      </c>
      <c r="Z2" s="1691"/>
      <c r="AA2" s="1691"/>
      <c r="AB2" s="1691"/>
      <c r="AC2" s="1691"/>
      <c r="AF2" s="723"/>
    </row>
    <row r="3" spans="1:35" s="722" customFormat="1" ht="15" customHeight="1">
      <c r="A3" s="1691" t="s">
        <v>1564</v>
      </c>
      <c r="B3" s="1691"/>
      <c r="C3" s="1691"/>
      <c r="D3" s="1691"/>
      <c r="E3" s="1691"/>
      <c r="F3" s="1691"/>
      <c r="G3" s="1691"/>
      <c r="H3" s="1691"/>
      <c r="I3" s="1691"/>
      <c r="J3" s="1691"/>
      <c r="K3" s="1691"/>
      <c r="L3" s="1691"/>
      <c r="M3" s="1691"/>
      <c r="O3" s="723"/>
      <c r="P3" s="723"/>
      <c r="Q3" s="723"/>
      <c r="R3" s="723"/>
      <c r="S3" s="723"/>
      <c r="T3" s="723"/>
      <c r="U3" s="723"/>
      <c r="V3" s="723"/>
      <c r="W3" s="723"/>
      <c r="X3" s="723"/>
      <c r="Y3" s="723"/>
      <c r="Z3" s="723"/>
      <c r="AA3" s="1691" t="s">
        <v>2180</v>
      </c>
      <c r="AB3" s="1691"/>
      <c r="AC3" s="1691"/>
      <c r="AD3" s="723"/>
      <c r="AE3" s="723"/>
      <c r="AF3" s="723"/>
    </row>
    <row r="4" spans="1:35" s="722" customFormat="1" ht="16.5" customHeight="1">
      <c r="A4" s="1691"/>
      <c r="B4" s="1691"/>
      <c r="C4" s="1691"/>
      <c r="D4" s="1691"/>
      <c r="E4" s="1691"/>
      <c r="F4" s="1691"/>
      <c r="G4" s="1691"/>
      <c r="H4" s="1691"/>
      <c r="I4" s="1691"/>
      <c r="J4" s="1691"/>
      <c r="K4" s="1691"/>
      <c r="L4" s="1691"/>
      <c r="M4" s="1691"/>
      <c r="N4" s="726"/>
      <c r="O4" s="727"/>
      <c r="P4" s="894"/>
      <c r="Q4" s="894"/>
      <c r="R4" s="894"/>
      <c r="S4" s="727"/>
      <c r="T4" s="728"/>
      <c r="U4" s="727"/>
      <c r="V4" s="729"/>
      <c r="W4" s="729"/>
      <c r="X4" s="727"/>
      <c r="Y4" s="727"/>
      <c r="Z4" s="727"/>
      <c r="AA4" s="1692" t="s">
        <v>2181</v>
      </c>
      <c r="AB4" s="1692"/>
      <c r="AC4" s="1692"/>
      <c r="AD4" s="732"/>
      <c r="AE4" s="732"/>
      <c r="AF4" s="732"/>
    </row>
    <row r="5" spans="1:35" s="722" customFormat="1" ht="16.5" customHeight="1">
      <c r="A5" s="730"/>
      <c r="B5" s="731"/>
      <c r="C5" s="731"/>
      <c r="D5" s="731"/>
      <c r="E5" s="731"/>
      <c r="F5" s="731"/>
      <c r="G5" s="731"/>
      <c r="H5" s="731"/>
      <c r="I5" s="731"/>
      <c r="J5" s="731"/>
      <c r="K5" s="730"/>
      <c r="L5" s="730"/>
      <c r="M5" s="730"/>
      <c r="N5" s="726"/>
      <c r="O5" s="727"/>
      <c r="P5" s="894"/>
      <c r="Q5" s="894"/>
      <c r="R5" s="894"/>
      <c r="S5" s="727"/>
      <c r="T5" s="728"/>
      <c r="U5" s="727"/>
      <c r="V5" s="729"/>
      <c r="W5" s="729"/>
      <c r="X5" s="727"/>
      <c r="Y5" s="727"/>
      <c r="Z5" s="727"/>
      <c r="AA5" s="1693" t="s">
        <v>2182</v>
      </c>
      <c r="AB5" s="1693"/>
      <c r="AC5" s="1693"/>
      <c r="AD5" s="732"/>
      <c r="AE5" s="732"/>
      <c r="AF5" s="732"/>
    </row>
    <row r="6" spans="1:35"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1690"/>
      <c r="AD6" s="733"/>
      <c r="AE6" s="733"/>
      <c r="AF6" s="733"/>
    </row>
    <row r="7" spans="1:35" s="722" customFormat="1" ht="18.75" customHeight="1">
      <c r="A7" s="1690" t="s">
        <v>2207</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1690"/>
      <c r="AD7" s="733"/>
      <c r="AE7" s="733"/>
      <c r="AF7" s="733"/>
    </row>
    <row r="8" spans="1:35" hidden="1">
      <c r="A8" s="1694" t="s">
        <v>492</v>
      </c>
      <c r="B8" s="1694"/>
      <c r="C8" s="1694"/>
      <c r="D8" s="1694"/>
      <c r="E8" s="1694"/>
      <c r="F8" s="1694"/>
      <c r="G8" s="1694"/>
      <c r="H8" s="1694"/>
      <c r="I8" s="1694"/>
      <c r="J8" s="1694"/>
      <c r="K8" s="1694"/>
      <c r="L8" s="1694"/>
      <c r="M8" s="1694"/>
      <c r="O8" s="19"/>
      <c r="P8" s="19"/>
      <c r="Q8" s="19"/>
      <c r="R8" s="467"/>
      <c r="S8" s="1678" t="s">
        <v>849</v>
      </c>
      <c r="T8" s="1678"/>
      <c r="U8" s="1678"/>
      <c r="V8" s="1678"/>
      <c r="W8" s="1678"/>
      <c r="X8" s="1678"/>
      <c r="Y8" s="1678"/>
      <c r="Z8" s="1678"/>
      <c r="AA8" s="1678"/>
      <c r="AB8" s="1678"/>
      <c r="AC8" s="1678"/>
      <c r="AD8" s="1678"/>
      <c r="AE8" s="1678"/>
      <c r="AF8" s="227"/>
      <c r="AG8" s="513"/>
      <c r="AI8" s="157"/>
    </row>
    <row r="9" spans="1:35" ht="15" hidden="1" customHeight="1">
      <c r="A9" s="1678" t="s">
        <v>1563</v>
      </c>
      <c r="B9" s="1678"/>
      <c r="C9" s="1678"/>
      <c r="D9" s="1678"/>
      <c r="E9" s="1678"/>
      <c r="F9" s="1678"/>
      <c r="G9" s="1678"/>
      <c r="H9" s="1678"/>
      <c r="I9" s="1678"/>
      <c r="J9" s="1678"/>
      <c r="K9" s="1678"/>
      <c r="L9" s="1678"/>
      <c r="M9" s="1678"/>
      <c r="O9" s="19"/>
      <c r="P9" s="19"/>
      <c r="Q9" s="19"/>
      <c r="R9" s="467"/>
      <c r="S9" s="1678" t="s">
        <v>851</v>
      </c>
      <c r="T9" s="1678"/>
      <c r="U9" s="1678"/>
      <c r="V9" s="1678"/>
      <c r="W9" s="1678"/>
      <c r="X9" s="1678"/>
      <c r="Y9" s="1678"/>
      <c r="Z9" s="1678"/>
      <c r="AA9" s="1678"/>
      <c r="AB9" s="1678"/>
      <c r="AC9" s="1678"/>
      <c r="AD9" s="1678"/>
      <c r="AE9" s="1678"/>
      <c r="AF9" s="227"/>
      <c r="AG9" s="513"/>
      <c r="AI9" s="157"/>
    </row>
    <row r="10" spans="1:35" ht="16.5" hidden="1" customHeight="1">
      <c r="A10" s="1678" t="s">
        <v>1564</v>
      </c>
      <c r="B10" s="1678"/>
      <c r="C10" s="1678"/>
      <c r="D10" s="1678"/>
      <c r="E10" s="1678"/>
      <c r="F10" s="1678"/>
      <c r="G10" s="1678"/>
      <c r="H10" s="1678"/>
      <c r="I10" s="1678"/>
      <c r="J10" s="1678"/>
      <c r="K10" s="1678"/>
      <c r="L10" s="1678"/>
      <c r="M10" s="1678"/>
      <c r="N10" s="104"/>
      <c r="O10" s="887"/>
      <c r="P10" s="887"/>
      <c r="Q10" s="17"/>
      <c r="R10" s="468"/>
      <c r="S10" s="17"/>
      <c r="T10" s="397"/>
      <c r="U10" s="17"/>
      <c r="V10" s="607"/>
      <c r="W10" s="607"/>
      <c r="X10" s="17"/>
      <c r="Y10" s="17"/>
      <c r="Z10" s="17"/>
      <c r="AA10" s="17"/>
      <c r="AB10" s="17"/>
      <c r="AC10" s="17"/>
      <c r="AD10" s="16"/>
      <c r="AE10" s="101"/>
      <c r="AF10" s="227"/>
      <c r="AG10" s="513"/>
      <c r="AI10" s="157"/>
    </row>
    <row r="11" spans="1:35" ht="9" hidden="1" customHeight="1">
      <c r="A11" s="898"/>
      <c r="B11" s="898"/>
      <c r="C11" s="898"/>
      <c r="D11" s="898"/>
      <c r="E11" s="898"/>
      <c r="F11" s="898"/>
      <c r="G11" s="898"/>
      <c r="H11" s="898"/>
      <c r="I11" s="898"/>
      <c r="J11" s="898"/>
      <c r="K11" s="898"/>
      <c r="L11" s="898"/>
      <c r="M11" s="898"/>
      <c r="N11" s="104"/>
      <c r="O11" s="887"/>
      <c r="P11" s="887"/>
      <c r="Q11" s="17"/>
      <c r="R11" s="468"/>
      <c r="S11" s="17"/>
      <c r="T11" s="397"/>
      <c r="U11" s="17"/>
      <c r="V11" s="607"/>
      <c r="W11" s="607"/>
      <c r="X11" s="17"/>
      <c r="Y11" s="17"/>
      <c r="Z11" s="17"/>
      <c r="AA11" s="17"/>
      <c r="AB11" s="17"/>
      <c r="AC11" s="17"/>
      <c r="AD11" s="16"/>
      <c r="AE11" s="101"/>
      <c r="AF11" s="227"/>
      <c r="AG11" s="513"/>
      <c r="AI11" s="157"/>
    </row>
    <row r="12" spans="1:35" ht="18.75" hidden="1" customHeight="1">
      <c r="A12" s="1682" t="s">
        <v>2159</v>
      </c>
      <c r="B12" s="1682"/>
      <c r="C12" s="1682"/>
      <c r="D12" s="1682"/>
      <c r="E12" s="1682"/>
      <c r="F12" s="1682"/>
      <c r="G12" s="1682"/>
      <c r="H12" s="1682"/>
      <c r="I12" s="1682"/>
      <c r="J12" s="1682"/>
      <c r="K12" s="1682"/>
      <c r="L12" s="1682"/>
      <c r="M12" s="1682"/>
      <c r="N12" s="1682"/>
      <c r="O12" s="1682"/>
      <c r="P12" s="1682"/>
      <c r="Q12" s="1682"/>
      <c r="R12" s="1682"/>
      <c r="S12" s="1682"/>
      <c r="T12" s="1682"/>
      <c r="U12" s="1682"/>
      <c r="V12" s="1682"/>
      <c r="W12" s="1682"/>
      <c r="X12" s="1682"/>
      <c r="Y12" s="1682"/>
      <c r="Z12" s="1682"/>
      <c r="AA12" s="1682"/>
      <c r="AB12" s="1682"/>
      <c r="AC12" s="1682"/>
      <c r="AD12" s="1682"/>
      <c r="AE12" s="1682"/>
      <c r="AF12" s="227"/>
      <c r="AG12" s="513"/>
      <c r="AI12" s="157"/>
    </row>
    <row r="13" spans="1:35" ht="18.75" hidden="1" customHeight="1">
      <c r="A13" s="1682" t="s">
        <v>1600</v>
      </c>
      <c r="B13" s="1682"/>
      <c r="C13" s="1682"/>
      <c r="D13" s="1682"/>
      <c r="E13" s="1682"/>
      <c r="F13" s="1682"/>
      <c r="G13" s="1682"/>
      <c r="H13" s="1682"/>
      <c r="I13" s="1682"/>
      <c r="J13" s="1682"/>
      <c r="K13" s="1682"/>
      <c r="L13" s="1682"/>
      <c r="M13" s="1682"/>
      <c r="N13" s="1682"/>
      <c r="O13" s="1682"/>
      <c r="P13" s="1682"/>
      <c r="Q13" s="1682"/>
      <c r="R13" s="1682"/>
      <c r="S13" s="1682"/>
      <c r="T13" s="1682"/>
      <c r="U13" s="1682"/>
      <c r="V13" s="1682"/>
      <c r="W13" s="1682"/>
      <c r="X13" s="1682"/>
      <c r="Y13" s="1682"/>
      <c r="Z13" s="1682"/>
      <c r="AA13" s="1682"/>
      <c r="AB13" s="1682"/>
      <c r="AC13" s="1682"/>
      <c r="AD13" s="1682"/>
      <c r="AE13" s="1682"/>
      <c r="AF13" s="227"/>
      <c r="AG13" s="513"/>
      <c r="AI13" s="157"/>
    </row>
    <row r="14" spans="1:35" ht="54" hidden="1" customHeight="1">
      <c r="A14" s="1683" t="s">
        <v>2007</v>
      </c>
      <c r="B14" s="1683"/>
      <c r="C14" s="1683"/>
      <c r="D14" s="1683"/>
      <c r="E14" s="1683"/>
      <c r="F14" s="1683"/>
      <c r="G14" s="1683"/>
      <c r="H14" s="1683"/>
      <c r="I14" s="1683"/>
      <c r="J14" s="1683"/>
      <c r="K14" s="1683"/>
      <c r="L14" s="1683"/>
      <c r="M14" s="1683"/>
      <c r="N14" s="1683"/>
      <c r="O14" s="1683"/>
      <c r="P14" s="1683"/>
      <c r="Q14" s="1683"/>
      <c r="R14" s="1683"/>
      <c r="S14" s="1683"/>
      <c r="T14" s="1683"/>
      <c r="U14" s="1683"/>
      <c r="V14" s="1683"/>
      <c r="W14" s="1683"/>
      <c r="X14" s="1683"/>
      <c r="Y14" s="1683"/>
      <c r="Z14" s="1683"/>
      <c r="AA14" s="1683"/>
      <c r="AB14" s="1683"/>
      <c r="AC14" s="1683"/>
      <c r="AD14" s="1683"/>
      <c r="AE14" s="1683"/>
      <c r="AF14" s="227"/>
      <c r="AG14" s="513"/>
      <c r="AI14" s="157"/>
    </row>
    <row r="15" spans="1:35" s="521" customFormat="1" ht="16.5" hidden="1" customHeight="1">
      <c r="A15" s="520" t="s">
        <v>2013</v>
      </c>
      <c r="C15" s="522">
        <v>1490000</v>
      </c>
      <c r="D15" s="523"/>
      <c r="E15" s="523"/>
      <c r="F15" s="900"/>
      <c r="G15" s="525">
        <v>1800000</v>
      </c>
      <c r="H15" s="525"/>
      <c r="I15" s="526"/>
      <c r="J15" s="526"/>
      <c r="K15" s="527"/>
      <c r="L15" s="528"/>
      <c r="M15" s="526"/>
      <c r="N15" s="529"/>
      <c r="O15" s="1684"/>
      <c r="P15" s="1684"/>
      <c r="Q15" s="1684"/>
      <c r="R15" s="1684"/>
      <c r="S15" s="1684"/>
      <c r="T15" s="530"/>
      <c r="U15" s="531"/>
      <c r="V15" s="608"/>
      <c r="W15" s="608"/>
      <c r="X15" s="890" t="s">
        <v>1181</v>
      </c>
      <c r="Y15" s="890"/>
      <c r="Z15" s="890"/>
      <c r="AA15" s="890"/>
      <c r="AB15" s="890"/>
      <c r="AC15" s="89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1" t="s">
        <v>853</v>
      </c>
      <c r="B18" s="1685" t="s">
        <v>854</v>
      </c>
      <c r="C18" s="1685"/>
      <c r="D18" s="93" t="s">
        <v>1598</v>
      </c>
      <c r="E18" s="437" t="s">
        <v>50</v>
      </c>
      <c r="F18" s="45" t="s">
        <v>1137</v>
      </c>
      <c r="G18" s="228" t="s">
        <v>1138</v>
      </c>
      <c r="H18" s="45" t="s">
        <v>1139</v>
      </c>
      <c r="I18" s="45" t="s">
        <v>1140</v>
      </c>
      <c r="J18" s="719" t="s">
        <v>2176</v>
      </c>
      <c r="K18" s="83" t="s">
        <v>855</v>
      </c>
      <c r="L18" s="364" t="s">
        <v>1141</v>
      </c>
      <c r="M18" s="891" t="s">
        <v>860</v>
      </c>
      <c r="N18" s="891" t="s">
        <v>1186</v>
      </c>
      <c r="O18" s="891" t="s">
        <v>861</v>
      </c>
      <c r="P18" s="891" t="s">
        <v>857</v>
      </c>
      <c r="Q18" s="891" t="s">
        <v>1187</v>
      </c>
      <c r="R18" s="470" t="s">
        <v>1247</v>
      </c>
      <c r="S18" s="98" t="s">
        <v>1188</v>
      </c>
      <c r="T18" s="399" t="s">
        <v>1184</v>
      </c>
      <c r="U18" s="891" t="s">
        <v>1189</v>
      </c>
      <c r="V18" s="610" t="s">
        <v>1190</v>
      </c>
      <c r="W18" s="610" t="s">
        <v>2209</v>
      </c>
      <c r="X18" s="891" t="s">
        <v>1100</v>
      </c>
      <c r="Y18" s="718" t="s">
        <v>2172</v>
      </c>
      <c r="Z18" s="718" t="s">
        <v>2173</v>
      </c>
      <c r="AA18" s="718" t="s">
        <v>2174</v>
      </c>
      <c r="AB18" s="1695" t="s">
        <v>2175</v>
      </c>
      <c r="AC18" s="1696"/>
      <c r="AD18" s="1697"/>
      <c r="AE18" s="1697"/>
      <c r="AF18" s="454"/>
      <c r="AI18" s="159"/>
    </row>
    <row r="19" spans="1:43" s="113" customFormat="1" ht="15" customHeight="1">
      <c r="A19" s="892" t="s">
        <v>858</v>
      </c>
      <c r="B19" s="1679" t="s">
        <v>525</v>
      </c>
      <c r="C19" s="1679"/>
      <c r="D19" s="892"/>
      <c r="E19" s="438"/>
      <c r="F19" s="892" t="s">
        <v>1112</v>
      </c>
      <c r="G19" s="892" t="s">
        <v>1113</v>
      </c>
      <c r="H19" s="892" t="s">
        <v>1114</v>
      </c>
      <c r="I19" s="892" t="s">
        <v>1115</v>
      </c>
      <c r="J19" s="896" t="s">
        <v>786</v>
      </c>
      <c r="K19" s="896">
        <v>2</v>
      </c>
      <c r="L19" s="896" t="s">
        <v>2177</v>
      </c>
      <c r="M19" s="720"/>
      <c r="N19" s="897" t="s">
        <v>2178</v>
      </c>
      <c r="O19" s="892" t="s">
        <v>1115</v>
      </c>
      <c r="P19" s="892" t="s">
        <v>1116</v>
      </c>
      <c r="Q19" s="892" t="s">
        <v>1117</v>
      </c>
      <c r="R19" s="471" t="s">
        <v>1125</v>
      </c>
      <c r="S19" s="892" t="s">
        <v>1118</v>
      </c>
      <c r="T19" s="400" t="s">
        <v>1127</v>
      </c>
      <c r="U19" s="892">
        <v>10</v>
      </c>
      <c r="V19" s="611" t="s">
        <v>2022</v>
      </c>
      <c r="W19" s="611"/>
      <c r="X19" s="892">
        <v>11</v>
      </c>
      <c r="Y19" s="896">
        <v>1</v>
      </c>
      <c r="Z19" s="896">
        <v>2</v>
      </c>
      <c r="AA19" s="896" t="s">
        <v>2177</v>
      </c>
      <c r="AB19" s="720"/>
      <c r="AC19" s="897" t="s">
        <v>2178</v>
      </c>
      <c r="AD19" s="914"/>
      <c r="AE19" s="915"/>
      <c r="AF19" s="455"/>
      <c r="AI19" s="160"/>
    </row>
    <row r="20" spans="1:43" s="113" customFormat="1" ht="21" customHeight="1">
      <c r="A20" s="918"/>
      <c r="B20" s="919" t="s">
        <v>2187</v>
      </c>
      <c r="C20" s="920"/>
      <c r="D20" s="918"/>
      <c r="E20" s="921"/>
      <c r="F20" s="918"/>
      <c r="G20" s="918"/>
      <c r="H20" s="918"/>
      <c r="I20" s="918"/>
      <c r="J20" s="922"/>
      <c r="K20" s="922"/>
      <c r="L20" s="922"/>
      <c r="M20" s="923"/>
      <c r="N20" s="920"/>
      <c r="O20" s="918"/>
      <c r="P20" s="918"/>
      <c r="Q20" s="918"/>
      <c r="R20" s="924"/>
      <c r="S20" s="918"/>
      <c r="T20" s="925"/>
      <c r="U20" s="918"/>
      <c r="V20" s="918"/>
      <c r="W20" s="918"/>
      <c r="X20" s="918"/>
      <c r="Y20" s="922"/>
      <c r="Z20" s="922"/>
      <c r="AA20" s="922"/>
      <c r="AB20" s="922"/>
      <c r="AC20" s="920"/>
      <c r="AD20" s="916"/>
      <c r="AE20" s="917"/>
      <c r="AF20" s="455"/>
      <c r="AI20" s="160"/>
    </row>
    <row r="21" spans="1:43" ht="16.5" hidden="1" customHeight="1">
      <c r="A21" s="1678" t="s">
        <v>1564</v>
      </c>
      <c r="B21" s="1678"/>
      <c r="C21" s="1678"/>
      <c r="D21" s="1678"/>
      <c r="E21" s="1678"/>
      <c r="F21" s="1678"/>
      <c r="G21" s="1678"/>
      <c r="H21" s="1678"/>
      <c r="I21" s="1678"/>
      <c r="J21" s="1678"/>
      <c r="K21" s="1678"/>
      <c r="L21" s="1678"/>
      <c r="M21" s="1678"/>
      <c r="N21" s="104"/>
      <c r="O21" s="887"/>
      <c r="P21" s="887"/>
      <c r="Q21" s="17"/>
      <c r="R21" s="468"/>
      <c r="S21" s="17"/>
      <c r="T21" s="397"/>
      <c r="U21" s="17"/>
      <c r="V21" s="607"/>
      <c r="W21" s="607"/>
      <c r="X21" s="17"/>
      <c r="Y21" s="17"/>
      <c r="Z21" s="17"/>
      <c r="AA21" s="17"/>
      <c r="AB21" s="16"/>
    </row>
    <row r="22" spans="1:43" ht="9" hidden="1" customHeight="1">
      <c r="A22" s="898"/>
      <c r="B22" s="898"/>
      <c r="C22" s="898"/>
      <c r="D22" s="898"/>
      <c r="E22" s="898"/>
      <c r="F22" s="898"/>
      <c r="G22" s="898"/>
      <c r="H22" s="898"/>
      <c r="I22" s="898"/>
      <c r="J22" s="898"/>
      <c r="K22" s="898"/>
      <c r="L22" s="898"/>
      <c r="M22" s="898"/>
      <c r="N22" s="104"/>
      <c r="O22" s="887"/>
      <c r="P22" s="887"/>
      <c r="Q22" s="17"/>
      <c r="R22" s="468"/>
      <c r="S22" s="17"/>
      <c r="T22" s="397"/>
      <c r="U22" s="17"/>
      <c r="V22" s="607"/>
      <c r="W22" s="607"/>
      <c r="X22" s="17"/>
      <c r="Y22" s="17"/>
      <c r="Z22" s="17"/>
      <c r="AA22" s="17"/>
      <c r="AB22" s="16"/>
    </row>
    <row r="23" spans="1:43" ht="18.75" hidden="1" customHeight="1">
      <c r="A23" s="1682" t="s">
        <v>2198</v>
      </c>
      <c r="B23" s="1682"/>
      <c r="C23" s="1682"/>
      <c r="D23" s="1682"/>
      <c r="E23" s="1682"/>
      <c r="F23" s="1682"/>
      <c r="G23" s="1682"/>
      <c r="H23" s="1682"/>
      <c r="I23" s="1682"/>
      <c r="J23" s="1682"/>
      <c r="K23" s="1682"/>
      <c r="L23" s="1682"/>
      <c r="M23" s="1682"/>
      <c r="N23" s="1682"/>
      <c r="O23" s="1682"/>
      <c r="P23" s="1682"/>
      <c r="Q23" s="1682"/>
      <c r="R23" s="1682"/>
      <c r="S23" s="1682"/>
      <c r="T23" s="1682"/>
      <c r="U23" s="1682"/>
      <c r="V23" s="1682"/>
      <c r="W23" s="1682"/>
      <c r="X23" s="1682"/>
      <c r="Y23" s="1682"/>
      <c r="Z23" s="1682"/>
      <c r="AA23" s="1682"/>
      <c r="AB23" s="1682"/>
      <c r="AC23" s="1682"/>
    </row>
    <row r="24" spans="1:43" ht="18.75" hidden="1" customHeight="1">
      <c r="A24" s="1682" t="s">
        <v>1600</v>
      </c>
      <c r="B24" s="1682"/>
      <c r="C24" s="1682"/>
      <c r="D24" s="1682"/>
      <c r="E24" s="1682"/>
      <c r="F24" s="1682"/>
      <c r="G24" s="1682"/>
      <c r="H24" s="1682"/>
      <c r="I24" s="1682"/>
      <c r="J24" s="1682"/>
      <c r="K24" s="1682"/>
      <c r="L24" s="1682"/>
      <c r="M24" s="1682"/>
      <c r="N24" s="1682"/>
      <c r="O24" s="1682"/>
      <c r="P24" s="1682"/>
      <c r="Q24" s="1682"/>
      <c r="R24" s="1682"/>
      <c r="S24" s="1682"/>
      <c r="T24" s="1682"/>
      <c r="U24" s="1682"/>
      <c r="V24" s="1682"/>
      <c r="W24" s="1682"/>
      <c r="X24" s="1682"/>
      <c r="Y24" s="1682"/>
      <c r="Z24" s="1682"/>
      <c r="AA24" s="1682"/>
      <c r="AB24" s="1682"/>
      <c r="AC24" s="1682"/>
    </row>
    <row r="25" spans="1:43" ht="54" hidden="1" customHeight="1">
      <c r="A25" s="1683" t="s">
        <v>2007</v>
      </c>
      <c r="B25" s="1683"/>
      <c r="C25" s="1683"/>
      <c r="D25" s="1683"/>
      <c r="E25" s="1683"/>
      <c r="F25" s="1683"/>
      <c r="G25" s="1683"/>
      <c r="H25" s="1683"/>
      <c r="I25" s="1683"/>
      <c r="J25" s="1683"/>
      <c r="K25" s="1683"/>
      <c r="L25" s="1683"/>
      <c r="M25" s="1683"/>
      <c r="N25" s="1683"/>
      <c r="O25" s="1683"/>
      <c r="P25" s="1683"/>
      <c r="Q25" s="1683"/>
      <c r="R25" s="1683"/>
      <c r="S25" s="1683"/>
      <c r="T25" s="1683"/>
      <c r="U25" s="1683"/>
      <c r="V25" s="1683"/>
      <c r="W25" s="1683"/>
      <c r="X25" s="1683"/>
      <c r="Y25" s="1683"/>
      <c r="Z25" s="1683"/>
      <c r="AA25" s="1683"/>
      <c r="AB25" s="1683"/>
      <c r="AC25" s="1683"/>
    </row>
    <row r="26" spans="1:43" s="521" customFormat="1" ht="16.5" hidden="1" customHeight="1">
      <c r="A26" s="520" t="s">
        <v>2013</v>
      </c>
      <c r="C26" s="522">
        <v>1490000</v>
      </c>
      <c r="D26" s="523"/>
      <c r="E26" s="523"/>
      <c r="F26" s="900"/>
      <c r="G26" s="525">
        <v>1800000</v>
      </c>
      <c r="H26" s="525"/>
      <c r="I26" s="526"/>
      <c r="J26" s="526"/>
      <c r="K26" s="527"/>
      <c r="L26" s="528"/>
      <c r="M26" s="526"/>
      <c r="N26" s="529"/>
      <c r="O26" s="1684"/>
      <c r="P26" s="1684"/>
      <c r="Q26" s="1684"/>
      <c r="R26" s="1684"/>
      <c r="S26" s="1684"/>
      <c r="T26" s="530"/>
      <c r="U26" s="531"/>
      <c r="V26" s="608"/>
      <c r="W26" s="608"/>
      <c r="X26" s="890" t="s">
        <v>1181</v>
      </c>
      <c r="Y26" s="890"/>
      <c r="Z26" s="890"/>
      <c r="AA26" s="890"/>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1" t="s">
        <v>853</v>
      </c>
      <c r="B28" s="1685" t="s">
        <v>854</v>
      </c>
      <c r="C28" s="1685"/>
      <c r="D28" s="93" t="s">
        <v>1598</v>
      </c>
      <c r="E28" s="437" t="s">
        <v>50</v>
      </c>
      <c r="F28" s="45" t="s">
        <v>1137</v>
      </c>
      <c r="G28" s="228" t="s">
        <v>1138</v>
      </c>
      <c r="H28" s="45" t="s">
        <v>1139</v>
      </c>
      <c r="I28" s="45" t="s">
        <v>1140</v>
      </c>
      <c r="J28" s="45"/>
      <c r="K28" s="83" t="s">
        <v>855</v>
      </c>
      <c r="L28" s="364" t="s">
        <v>1141</v>
      </c>
      <c r="M28" s="891" t="s">
        <v>860</v>
      </c>
      <c r="N28" s="891" t="s">
        <v>1186</v>
      </c>
      <c r="O28" s="891" t="s">
        <v>861</v>
      </c>
      <c r="P28" s="891" t="s">
        <v>857</v>
      </c>
      <c r="Q28" s="891" t="s">
        <v>1187</v>
      </c>
      <c r="R28" s="470" t="s">
        <v>1247</v>
      </c>
      <c r="S28" s="98" t="s">
        <v>1188</v>
      </c>
      <c r="T28" s="399" t="s">
        <v>1184</v>
      </c>
      <c r="U28" s="891" t="s">
        <v>1189</v>
      </c>
      <c r="V28" s="610" t="s">
        <v>1190</v>
      </c>
      <c r="W28" s="610"/>
      <c r="X28" s="891" t="s">
        <v>1100</v>
      </c>
      <c r="Y28" s="459"/>
      <c r="Z28" s="459"/>
      <c r="AA28" s="459"/>
      <c r="AB28" s="1686" t="s">
        <v>40</v>
      </c>
      <c r="AC28" s="1687"/>
      <c r="AD28" s="454"/>
      <c r="AG28" s="159"/>
    </row>
    <row r="29" spans="1:43" s="113" customFormat="1" ht="15" hidden="1" customHeight="1">
      <c r="A29" s="892" t="s">
        <v>1110</v>
      </c>
      <c r="B29" s="1679" t="s">
        <v>1111</v>
      </c>
      <c r="C29" s="1679"/>
      <c r="D29" s="892"/>
      <c r="E29" s="438"/>
      <c r="F29" s="892" t="s">
        <v>1112</v>
      </c>
      <c r="G29" s="892" t="s">
        <v>1113</v>
      </c>
      <c r="H29" s="892" t="s">
        <v>1114</v>
      </c>
      <c r="I29" s="892" t="s">
        <v>1115</v>
      </c>
      <c r="J29" s="892"/>
      <c r="K29" s="77" t="s">
        <v>1112</v>
      </c>
      <c r="L29" s="365" t="s">
        <v>1117</v>
      </c>
      <c r="M29" s="892" t="s">
        <v>1113</v>
      </c>
      <c r="N29" s="892" t="s">
        <v>1114</v>
      </c>
      <c r="O29" s="892" t="s">
        <v>1115</v>
      </c>
      <c r="P29" s="892" t="s">
        <v>1116</v>
      </c>
      <c r="Q29" s="892" t="s">
        <v>1117</v>
      </c>
      <c r="R29" s="471" t="s">
        <v>1125</v>
      </c>
      <c r="S29" s="892" t="s">
        <v>1118</v>
      </c>
      <c r="T29" s="400" t="s">
        <v>1127</v>
      </c>
      <c r="U29" s="892">
        <v>10</v>
      </c>
      <c r="V29" s="611" t="s">
        <v>2022</v>
      </c>
      <c r="W29" s="611"/>
      <c r="X29" s="892">
        <v>11</v>
      </c>
      <c r="Y29" s="896"/>
      <c r="Z29" s="896"/>
      <c r="AA29" s="896"/>
      <c r="AB29" s="1688">
        <v>12</v>
      </c>
      <c r="AC29" s="1689"/>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8">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1">
        <f>X30/Z30</f>
        <v>10.656000000000001</v>
      </c>
      <c r="Z30" s="714">
        <v>1800000</v>
      </c>
      <c r="AA30" s="714">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2">
        <f t="shared" ref="Y31:Y94" si="8">X31/Z31</f>
        <v>9.6457600000000028</v>
      </c>
      <c r="Z31" s="509">
        <v>1800000</v>
      </c>
      <c r="AA31" s="714">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2">
        <f t="shared" si="8"/>
        <v>9.7254400000000008</v>
      </c>
      <c r="Z32" s="509">
        <v>1800000</v>
      </c>
      <c r="AA32" s="714">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2">
        <f t="shared" si="8"/>
        <v>8.5600000000000023</v>
      </c>
      <c r="Z33" s="509">
        <v>1800000</v>
      </c>
      <c r="AA33" s="714">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2">
        <f t="shared" si="8"/>
        <v>9.0863999999999994</v>
      </c>
      <c r="Z34" s="509">
        <v>1800000</v>
      </c>
      <c r="AA34" s="714">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2">
        <f t="shared" si="8"/>
        <v>5.1520000000000001</v>
      </c>
      <c r="Z35" s="509">
        <v>1800000</v>
      </c>
      <c r="AA35" s="714">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2">
        <f t="shared" si="8"/>
        <v>5.36</v>
      </c>
      <c r="Z36" s="509">
        <v>1800000</v>
      </c>
      <c r="AA36" s="714">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2">
        <f t="shared" si="8"/>
        <v>5.8559999999999999</v>
      </c>
      <c r="Z37" s="509">
        <v>1800000</v>
      </c>
      <c r="AA37" s="714">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2">
        <f t="shared" si="8"/>
        <v>5.5860000000000003</v>
      </c>
      <c r="Z38" s="509">
        <v>1800000</v>
      </c>
      <c r="AA38" s="714">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2">
        <f t="shared" si="8"/>
        <v>4.8440000000000003</v>
      </c>
      <c r="Z39" s="509">
        <v>1800000</v>
      </c>
      <c r="AA39" s="714">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2">
        <f t="shared" si="8"/>
        <v>4.3920000000000003</v>
      </c>
      <c r="Z40" s="509">
        <v>1800000</v>
      </c>
      <c r="AA40" s="714">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2">
        <f t="shared" si="8"/>
        <v>9.5984333333333325</v>
      </c>
      <c r="Z41" s="509">
        <v>1800000</v>
      </c>
      <c r="AA41" s="714">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2">
        <f t="shared" si="8"/>
        <v>5.1239999999999997</v>
      </c>
      <c r="Z42" s="509">
        <v>1800000</v>
      </c>
      <c r="AA42" s="714">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2">
        <f t="shared" si="8"/>
        <v>4.6619999999999999</v>
      </c>
      <c r="Z43" s="509">
        <v>1800000</v>
      </c>
      <c r="AA43" s="714">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2">
        <f t="shared" si="8"/>
        <v>6.7740000000000018</v>
      </c>
      <c r="Z44" s="509">
        <v>1800000</v>
      </c>
      <c r="AA44" s="714">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2">
        <f t="shared" si="8"/>
        <v>5.1239999999999997</v>
      </c>
      <c r="Z45" s="509">
        <v>1800000</v>
      </c>
      <c r="AA45" s="714">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2">
        <f t="shared" si="8"/>
        <v>9.0863999999999994</v>
      </c>
      <c r="Z46" s="509">
        <v>1800000</v>
      </c>
      <c r="AA46" s="714">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2">
        <f t="shared" si="8"/>
        <v>9.0857600000000005</v>
      </c>
      <c r="Z47" s="509">
        <v>1800000</v>
      </c>
      <c r="AA47" s="714">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2">
        <f t="shared" si="8"/>
        <v>6.24</v>
      </c>
      <c r="Z48" s="509">
        <v>1800000</v>
      </c>
      <c r="AA48" s="714">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2">
        <f t="shared" si="8"/>
        <v>4.8440000000000003</v>
      </c>
      <c r="Z49" s="509">
        <v>1800000</v>
      </c>
      <c r="AA49" s="714">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2">
        <f t="shared" si="8"/>
        <v>5.5359999999999996</v>
      </c>
      <c r="Z50" s="509">
        <v>1800000</v>
      </c>
      <c r="AA50" s="714">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2">
        <f t="shared" si="8"/>
        <v>4.6760000000000002</v>
      </c>
      <c r="Z51" s="509">
        <v>1800000</v>
      </c>
      <c r="AA51" s="714">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2">
        <f t="shared" si="8"/>
        <v>4.3920000000000003</v>
      </c>
      <c r="Z52" s="509">
        <v>1800000</v>
      </c>
      <c r="AA52" s="714">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2">
        <f t="shared" si="8"/>
        <v>4.2419999999999991</v>
      </c>
      <c r="Z53" s="509">
        <v>1800000</v>
      </c>
      <c r="AA53" s="714">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2">
        <f t="shared" si="8"/>
        <v>4.6760000000000002</v>
      </c>
      <c r="Z54" s="509">
        <v>1800000</v>
      </c>
      <c r="AA54" s="714">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2">
        <f t="shared" si="8"/>
        <v>5.36</v>
      </c>
      <c r="Z55" s="509">
        <v>1800000</v>
      </c>
      <c r="AA55" s="714">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2">
        <f t="shared" si="8"/>
        <v>4.2720000000000002</v>
      </c>
      <c r="Z56" s="509">
        <v>1800000</v>
      </c>
      <c r="AA56" s="714">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2">
        <f t="shared" si="8"/>
        <v>7.6706000000000003</v>
      </c>
      <c r="Z57" s="509">
        <v>1800000</v>
      </c>
      <c r="AA57" s="714">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2" t="s">
        <v>962</v>
      </c>
      <c r="D58" s="601" t="s">
        <v>1654</v>
      </c>
      <c r="E58" s="901">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1">
        <f t="shared" si="8"/>
        <v>1.83</v>
      </c>
      <c r="Z58" s="909">
        <v>1800000</v>
      </c>
      <c r="AA58" s="760">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2">
        <f t="shared" si="8"/>
        <v>7.7055999999999987</v>
      </c>
      <c r="Z59" s="509">
        <v>1800000</v>
      </c>
      <c r="AA59" s="714">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2">
        <f t="shared" si="8"/>
        <v>8.1600000000000019</v>
      </c>
      <c r="Z60" s="509">
        <v>1800000</v>
      </c>
      <c r="AA60" s="714">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2">
        <f t="shared" si="8"/>
        <v>5.1239999999999997</v>
      </c>
      <c r="Z61" s="509">
        <v>1800000</v>
      </c>
      <c r="AA61" s="714">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2">
        <f t="shared" si="8"/>
        <v>11.636160000000002</v>
      </c>
      <c r="Z62" s="509">
        <v>1800000</v>
      </c>
      <c r="AA62" s="714">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2">
        <f t="shared" si="8"/>
        <v>6.3840000000000003</v>
      </c>
      <c r="Z63" s="509">
        <v>1800000</v>
      </c>
      <c r="AA63" s="714">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2">
        <f t="shared" si="8"/>
        <v>5.8559999999999999</v>
      </c>
      <c r="Z64" s="509">
        <v>1800000</v>
      </c>
      <c r="AA64" s="714">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2">
        <f t="shared" si="8"/>
        <v>3.738</v>
      </c>
      <c r="Z65" s="509">
        <v>1800000</v>
      </c>
      <c r="AA65" s="714">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2">
        <f t="shared" si="8"/>
        <v>5.8559999999999999</v>
      </c>
      <c r="Z66" s="509">
        <v>1800000</v>
      </c>
      <c r="AA66" s="714">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2">
        <f t="shared" si="8"/>
        <v>7.6319999999999997</v>
      </c>
      <c r="Z67" s="509">
        <v>1800000</v>
      </c>
      <c r="AA67" s="714">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2">
        <f t="shared" si="8"/>
        <v>3.99</v>
      </c>
      <c r="Z68" s="509">
        <v>1800000</v>
      </c>
      <c r="AA68" s="714">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2">
        <f t="shared" si="8"/>
        <v>5.58</v>
      </c>
      <c r="Z69" s="509">
        <v>1800000</v>
      </c>
      <c r="AA69" s="714">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2">
        <f t="shared" si="8"/>
        <v>9.2457600000000024</v>
      </c>
      <c r="Z70" s="509">
        <v>1800000</v>
      </c>
      <c r="AA70" s="714">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2">
        <f t="shared" si="8"/>
        <v>3.99</v>
      </c>
      <c r="Z71" s="509">
        <v>1800000</v>
      </c>
      <c r="AA71" s="714">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2">
        <f t="shared" si="8"/>
        <v>3.66</v>
      </c>
      <c r="Z72" s="509">
        <v>1800000</v>
      </c>
      <c r="AA72" s="714">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2">
        <f t="shared" si="8"/>
        <v>6.048</v>
      </c>
      <c r="Z73" s="509">
        <v>1800000</v>
      </c>
      <c r="AA73" s="714">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2">
        <f t="shared" si="8"/>
        <v>4.32</v>
      </c>
      <c r="Z74" s="509">
        <v>1800000</v>
      </c>
      <c r="AA74" s="714">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2">
        <f t="shared" si="8"/>
        <v>3.66</v>
      </c>
      <c r="Z75" s="509">
        <v>1800000</v>
      </c>
      <c r="AA75" s="714">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2">
        <f t="shared" si="8"/>
        <v>4.3920000000000003</v>
      </c>
      <c r="Z76" s="509">
        <v>1800000</v>
      </c>
      <c r="AA76" s="714">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2">
        <f t="shared" si="8"/>
        <v>10.343999999999999</v>
      </c>
      <c r="Z77" s="509">
        <v>1800000</v>
      </c>
      <c r="AA77" s="714">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2">
        <f t="shared" si="8"/>
        <v>7.4720000000000004</v>
      </c>
      <c r="Z78" s="509">
        <v>1800000</v>
      </c>
      <c r="AA78" s="714">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2">
        <f t="shared" si="8"/>
        <v>6.51</v>
      </c>
      <c r="Z79" s="509">
        <v>1800000</v>
      </c>
      <c r="AA79" s="714">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2">
        <f t="shared" si="8"/>
        <v>6.3840000000000003</v>
      </c>
      <c r="Z80" s="509">
        <v>1800000</v>
      </c>
      <c r="AA80" s="714">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2">
        <f t="shared" si="8"/>
        <v>3.996</v>
      </c>
      <c r="Z81" s="509">
        <v>1800000</v>
      </c>
      <c r="AA81" s="714">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2">
        <f t="shared" si="8"/>
        <v>6.3360000000000003</v>
      </c>
      <c r="Z82" s="509">
        <v>1800000</v>
      </c>
      <c r="AA82" s="714">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2">
        <f t="shared" si="8"/>
        <v>5.1239999999999997</v>
      </c>
      <c r="Z83" s="509">
        <v>1800000</v>
      </c>
      <c r="AA83" s="714">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2">
        <f t="shared" si="8"/>
        <v>5.3280000000000003</v>
      </c>
      <c r="Z84" s="509">
        <v>1800000</v>
      </c>
      <c r="AA84" s="714">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2">
        <f t="shared" si="8"/>
        <v>3.996</v>
      </c>
      <c r="Z85" s="509">
        <v>1800000</v>
      </c>
      <c r="AA85" s="714">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2">
        <f t="shared" si="8"/>
        <v>7.1400000000000015</v>
      </c>
      <c r="Z86" s="509">
        <v>1800000</v>
      </c>
      <c r="AA86" s="714">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2">
        <f t="shared" si="8"/>
        <v>7.4720000000000004</v>
      </c>
      <c r="Z87" s="509">
        <v>1800000</v>
      </c>
      <c r="AA87" s="714">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2">
        <f t="shared" si="8"/>
        <v>7.1712000000000007</v>
      </c>
      <c r="Z88" s="509">
        <v>1800000</v>
      </c>
      <c r="AA88" s="714">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2">
        <f t="shared" si="8"/>
        <v>4.3920000000000003</v>
      </c>
      <c r="Z89" s="509">
        <v>1800000</v>
      </c>
      <c r="AA89" s="714">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2">
        <f t="shared" si="8"/>
        <v>4.3920000000000003</v>
      </c>
      <c r="Z90" s="509">
        <v>1800000</v>
      </c>
      <c r="AA90" s="714">
        <f t="shared" si="9"/>
        <v>7905600.0000000009</v>
      </c>
      <c r="AB90" s="593">
        <f t="shared" si="10"/>
        <v>61</v>
      </c>
      <c r="AC90" s="511">
        <f>IFERROR(INDEX('[2]CN BC'!$M$10:$M$276,MATCH(B90,'[2]CN BC'!$H$10:$H$276,0)),"")</f>
        <v>0</v>
      </c>
      <c r="AD90" s="147"/>
      <c r="AE90" s="113"/>
      <c r="AF90" s="899"/>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2">
        <f t="shared" si="8"/>
        <v>5.1239999999999997</v>
      </c>
      <c r="Z91" s="509">
        <v>1800000</v>
      </c>
      <c r="AA91" s="714">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2">
        <f t="shared" si="8"/>
        <v>5.36</v>
      </c>
      <c r="Z92" s="509">
        <v>1800000</v>
      </c>
      <c r="AA92" s="714">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2">
        <f t="shared" si="8"/>
        <v>6.5760000000000014</v>
      </c>
      <c r="Z93" s="509">
        <v>1800000</v>
      </c>
      <c r="AA93" s="714">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2">
        <f t="shared" si="8"/>
        <v>5.1239999999999997</v>
      </c>
      <c r="Z94" s="509">
        <v>1800000</v>
      </c>
      <c r="AA94" s="714">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2">
        <f t="shared" ref="Y95:Y155" si="22">X95/Z95</f>
        <v>4.5639999999999992</v>
      </c>
      <c r="Z95" s="509">
        <v>1800000</v>
      </c>
      <c r="AA95" s="714">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2">
        <f t="shared" si="22"/>
        <v>4.9320000000000004</v>
      </c>
      <c r="Z96" s="509">
        <v>1800000</v>
      </c>
      <c r="AA96" s="714">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2">
        <f t="shared" si="22"/>
        <v>3.996</v>
      </c>
      <c r="Z97" s="509">
        <v>1800000</v>
      </c>
      <c r="AA97" s="714">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2">
        <f t="shared" si="22"/>
        <v>3.996</v>
      </c>
      <c r="Z98" s="509">
        <v>1800000</v>
      </c>
      <c r="AA98" s="714">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2">
        <f t="shared" si="22"/>
        <v>5.2290000000000001</v>
      </c>
      <c r="Z99" s="509">
        <v>1800000</v>
      </c>
      <c r="AA99" s="714">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2">
        <f t="shared" si="22"/>
        <v>7.6020000000000012</v>
      </c>
      <c r="Z100" s="509">
        <v>1800000</v>
      </c>
      <c r="AA100" s="714">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2">
        <f t="shared" si="22"/>
        <v>4.992</v>
      </c>
      <c r="Z101" s="509">
        <v>1800000</v>
      </c>
      <c r="AA101" s="714">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2">
        <f t="shared" si="22"/>
        <v>3.34</v>
      </c>
      <c r="Z102" s="509">
        <v>1800000</v>
      </c>
      <c r="AA102" s="714">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2">
        <f t="shared" si="22"/>
        <v>7.104000000000001</v>
      </c>
      <c r="Z103" s="509">
        <v>1800000</v>
      </c>
      <c r="AA103" s="714">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2">
        <f t="shared" si="22"/>
        <v>3.6</v>
      </c>
      <c r="Z104" s="509">
        <v>1800000</v>
      </c>
      <c r="AA104" s="714">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2">
        <f t="shared" si="22"/>
        <v>3</v>
      </c>
      <c r="Z105" s="509">
        <v>1800000</v>
      </c>
      <c r="AA105" s="714">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2">
        <f t="shared" si="22"/>
        <v>6.4160000000000004</v>
      </c>
      <c r="Z106" s="509">
        <v>1800000</v>
      </c>
      <c r="AA106" s="714">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2">
        <f t="shared" si="22"/>
        <v>2.8079999999999998</v>
      </c>
      <c r="Z107" s="509">
        <v>1800000</v>
      </c>
      <c r="AA107" s="714">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2">
        <f t="shared" si="22"/>
        <v>3.996</v>
      </c>
      <c r="Z108" s="509">
        <v>1800000</v>
      </c>
      <c r="AA108" s="714">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2">
        <f t="shared" si="22"/>
        <v>3</v>
      </c>
      <c r="Z109" s="509">
        <v>1800000</v>
      </c>
      <c r="AA109" s="714">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2">
        <f t="shared" si="22"/>
        <v>4.3920000000000003</v>
      </c>
      <c r="Z110" s="509">
        <v>1800000</v>
      </c>
      <c r="AA110" s="714">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2">
        <f t="shared" si="22"/>
        <v>3</v>
      </c>
      <c r="Z111" s="509">
        <v>1800000</v>
      </c>
      <c r="AA111" s="714">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2">
        <f t="shared" si="22"/>
        <v>4.6920000000000002</v>
      </c>
      <c r="Z112" s="509">
        <v>1800000</v>
      </c>
      <c r="AA112" s="714">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2">
        <f t="shared" si="22"/>
        <v>4.1999999999999993</v>
      </c>
      <c r="Z113" s="509">
        <v>1800000</v>
      </c>
      <c r="AA113" s="714">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2">
        <f t="shared" si="22"/>
        <v>9.3094999999999999</v>
      </c>
      <c r="Z114" s="509">
        <v>1800000</v>
      </c>
      <c r="AA114" s="714">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1">
        <f t="shared" si="22"/>
        <v>0</v>
      </c>
      <c r="Z115" s="909">
        <v>1800000</v>
      </c>
      <c r="AA115" s="760">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2">
        <f t="shared" si="22"/>
        <v>2.34</v>
      </c>
      <c r="Z116" s="509">
        <v>1800000</v>
      </c>
      <c r="AA116" s="714">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2">
        <f t="shared" si="22"/>
        <v>3.996</v>
      </c>
      <c r="Z117" s="509">
        <v>1800000</v>
      </c>
      <c r="AA117" s="714">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2">
        <f t="shared" si="22"/>
        <v>3.66</v>
      </c>
      <c r="Z118" s="509">
        <v>1800000</v>
      </c>
      <c r="AA118" s="714">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2">
        <f t="shared" si="22"/>
        <v>3</v>
      </c>
      <c r="Z119" s="509">
        <v>1800000</v>
      </c>
      <c r="AA119" s="714">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2">
        <f t="shared" si="22"/>
        <v>3.66</v>
      </c>
      <c r="Z120" s="509">
        <v>1800000</v>
      </c>
      <c r="AA120" s="714">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2">
        <f t="shared" si="22"/>
        <v>3.66</v>
      </c>
      <c r="Z121" s="509">
        <v>1800000</v>
      </c>
      <c r="AA121" s="714">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2">
        <f t="shared" si="22"/>
        <v>3.66</v>
      </c>
      <c r="Z122" s="509">
        <v>1800000</v>
      </c>
      <c r="AA122" s="714">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2">
        <f t="shared" si="22"/>
        <v>5.2919999999999998</v>
      </c>
      <c r="Z123" s="509">
        <v>1800000</v>
      </c>
      <c r="AA123" s="714">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2">
        <f t="shared" si="22"/>
        <v>3.33</v>
      </c>
      <c r="Z124" s="509">
        <v>1800000</v>
      </c>
      <c r="AA124" s="714">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2">
        <f t="shared" si="22"/>
        <v>3.996</v>
      </c>
      <c r="Z125" s="509">
        <v>1800000</v>
      </c>
      <c r="AA125" s="714">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2">
        <f t="shared" si="22"/>
        <v>3.996</v>
      </c>
      <c r="Z126" s="509">
        <v>1800000</v>
      </c>
      <c r="AA126" s="714">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2">
        <f t="shared" si="22"/>
        <v>6.5747999999999998</v>
      </c>
      <c r="Z127" s="509">
        <v>1800000</v>
      </c>
      <c r="AA127" s="714">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2">
        <f t="shared" si="22"/>
        <v>5.2439999999999998</v>
      </c>
      <c r="Z128" s="509">
        <v>1800000</v>
      </c>
      <c r="AA128" s="714">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2">
        <f t="shared" si="22"/>
        <v>3</v>
      </c>
      <c r="Z129" s="509">
        <v>1800000</v>
      </c>
      <c r="AA129" s="714">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2">
        <f t="shared" si="22"/>
        <v>6.5160000000000009</v>
      </c>
      <c r="Z130" s="509">
        <v>1800000</v>
      </c>
      <c r="AA130" s="714">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2">
        <f t="shared" si="22"/>
        <v>5.5288000000000004</v>
      </c>
      <c r="Z131" s="509">
        <v>1800000</v>
      </c>
      <c r="AA131" s="714">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2">
        <f t="shared" si="22"/>
        <v>4.32</v>
      </c>
      <c r="Z132" s="509">
        <v>1800000</v>
      </c>
      <c r="AA132" s="714">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2">
        <f t="shared" si="22"/>
        <v>3.99</v>
      </c>
      <c r="Z133" s="509">
        <v>1800000</v>
      </c>
      <c r="AA133" s="714">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2">
        <f t="shared" si="22"/>
        <v>3.66</v>
      </c>
      <c r="Z134" s="509">
        <v>1800000</v>
      </c>
      <c r="AA134" s="714">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2">
        <f t="shared" si="22"/>
        <v>4.6500000000000004</v>
      </c>
      <c r="Z135" s="509">
        <v>1800000</v>
      </c>
      <c r="AA135" s="714">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2">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2">
        <f t="shared" si="22"/>
        <v>6.4540800000000003</v>
      </c>
      <c r="Z137" s="509">
        <v>1800000</v>
      </c>
      <c r="AA137" s="962">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2">
        <f t="shared" si="22"/>
        <v>5.5860000000000003</v>
      </c>
      <c r="Z138" s="509">
        <v>1800000</v>
      </c>
      <c r="AA138" s="962">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2">
        <f t="shared" si="22"/>
        <v>3.66</v>
      </c>
      <c r="Z139" s="509">
        <v>1800000</v>
      </c>
      <c r="AA139" s="962">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2">
        <f t="shared" si="22"/>
        <v>6.3959999999999999</v>
      </c>
      <c r="Z140" s="509">
        <v>1800000</v>
      </c>
      <c r="AA140" s="962">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2">
        <f t="shared" si="22"/>
        <v>5.2290000000000001</v>
      </c>
      <c r="Z141" s="509">
        <v>1800000</v>
      </c>
      <c r="AA141" s="962">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2">
        <f t="shared" si="22"/>
        <v>3.99</v>
      </c>
      <c r="Z142" s="509">
        <v>1800000</v>
      </c>
      <c r="AA142" s="962">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2">
        <f t="shared" si="22"/>
        <v>3.66</v>
      </c>
      <c r="Z143" s="509">
        <v>1800000</v>
      </c>
      <c r="AA143" s="962">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2">
        <f t="shared" si="22"/>
        <v>3.33</v>
      </c>
      <c r="Z144" s="509">
        <v>1800000</v>
      </c>
      <c r="AA144" s="714">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2">
        <f t="shared" si="22"/>
        <v>3.33</v>
      </c>
      <c r="Z145" s="509">
        <v>1800000</v>
      </c>
      <c r="AA145" s="714">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2">
        <f t="shared" si="22"/>
        <v>5.0880000000000001</v>
      </c>
      <c r="Z146" s="509">
        <v>1800000</v>
      </c>
      <c r="AA146" s="714">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2">
        <f t="shared" si="22"/>
        <v>5.1840000000000002</v>
      </c>
      <c r="Z147" s="509">
        <v>1800000</v>
      </c>
      <c r="AA147" s="714">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2">
        <f t="shared" si="22"/>
        <v>6.3840000000000003</v>
      </c>
      <c r="Z148" s="509">
        <v>1800000</v>
      </c>
      <c r="AA148" s="714">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2">
        <f t="shared" si="22"/>
        <v>5.5860000000000003</v>
      </c>
      <c r="Z149" s="509">
        <v>1800000</v>
      </c>
      <c r="AA149" s="714">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2">
        <f t="shared" si="22"/>
        <v>5.1840000000000002</v>
      </c>
      <c r="Z150" s="509">
        <v>1800000</v>
      </c>
      <c r="AA150" s="714">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2">
        <f t="shared" si="22"/>
        <v>6.51</v>
      </c>
      <c r="Z151" s="509">
        <v>1800000</v>
      </c>
      <c r="AA151" s="714">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2">
        <f t="shared" si="22"/>
        <v>5.58</v>
      </c>
      <c r="Z152" s="509">
        <v>1800000</v>
      </c>
      <c r="AA152" s="714">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2">
        <f t="shared" si="22"/>
        <v>5.58</v>
      </c>
      <c r="Z153" s="509">
        <v>1800000</v>
      </c>
      <c r="AA153" s="714">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2">
        <f t="shared" si="22"/>
        <v>3.99</v>
      </c>
      <c r="Z154" s="509">
        <v>1800000</v>
      </c>
      <c r="AA154" s="714">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2">
        <f t="shared" si="22"/>
        <v>4.9800000000000004</v>
      </c>
      <c r="Z155" s="509">
        <v>1800000</v>
      </c>
      <c r="AA155" s="714">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2">
        <f t="shared" ref="Y156:Y219" si="34">X156/Z156</f>
        <v>3.99</v>
      </c>
      <c r="Z156" s="509">
        <v>1800000</v>
      </c>
      <c r="AA156" s="714">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2">
        <f t="shared" si="34"/>
        <v>5.2919999999999998</v>
      </c>
      <c r="Z157" s="509">
        <v>1800000</v>
      </c>
      <c r="AA157" s="714">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2">
        <f t="shared" si="34"/>
        <v>3.6</v>
      </c>
      <c r="Z158" s="509">
        <v>1800000</v>
      </c>
      <c r="AA158" s="714">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2">
        <f t="shared" si="34"/>
        <v>2.8079999999999998</v>
      </c>
      <c r="Z159" s="509">
        <v>1800000</v>
      </c>
      <c r="AA159" s="714">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2">
        <f t="shared" si="34"/>
        <v>3.6</v>
      </c>
      <c r="Z160" s="509">
        <v>1800000</v>
      </c>
      <c r="AA160" s="714">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2">
        <f t="shared" si="34"/>
        <v>3.2759999999999998</v>
      </c>
      <c r="Z161" s="509">
        <v>1800000</v>
      </c>
      <c r="AA161" s="714">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2">
        <f t="shared" si="34"/>
        <v>0.47357142857142859</v>
      </c>
      <c r="Z162" s="509">
        <v>1800000</v>
      </c>
      <c r="AA162" s="714">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2">
        <f t="shared" si="34"/>
        <v>1.9890000000000001</v>
      </c>
      <c r="Z163" s="509">
        <v>1800000</v>
      </c>
      <c r="AA163" s="714">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2">
        <f t="shared" si="34"/>
        <v>1.9890000000000001</v>
      </c>
      <c r="Z164" s="509">
        <v>1800000</v>
      </c>
      <c r="AA164" s="714">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2">
        <f t="shared" si="34"/>
        <v>5.2080000000000002</v>
      </c>
      <c r="Z165" s="509">
        <v>1800000</v>
      </c>
      <c r="AA165" s="714">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2">
        <f t="shared" si="34"/>
        <v>5.3280000000000003</v>
      </c>
      <c r="Z166" s="509">
        <v>1800000</v>
      </c>
      <c r="AA166" s="714">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2">
        <f t="shared" si="34"/>
        <v>4.24</v>
      </c>
      <c r="Z167" s="509">
        <v>1800000</v>
      </c>
      <c r="AA167" s="714">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2">
        <f t="shared" si="34"/>
        <v>3.99</v>
      </c>
      <c r="Z168" s="509">
        <v>1800000</v>
      </c>
      <c r="AA168" s="714">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2">
        <f t="shared" si="34"/>
        <v>5.58</v>
      </c>
      <c r="Z169" s="509">
        <v>1800000</v>
      </c>
      <c r="AA169" s="714">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2">
        <f t="shared" si="34"/>
        <v>4.3920000000000003</v>
      </c>
      <c r="Z170" s="509">
        <v>1800000</v>
      </c>
      <c r="AA170" s="714">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2">
        <f t="shared" si="34"/>
        <v>4.32</v>
      </c>
      <c r="Z171" s="509">
        <v>1800000</v>
      </c>
      <c r="AA171" s="714">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2">
        <f t="shared" si="34"/>
        <v>5.1840000000000002</v>
      </c>
      <c r="Z172" s="509">
        <v>1800000</v>
      </c>
      <c r="AA172" s="714">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2">
        <f t="shared" si="34"/>
        <v>4.3920000000000003</v>
      </c>
      <c r="Z173" s="509">
        <v>1800000</v>
      </c>
      <c r="AA173" s="714">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6">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6">
        <f t="shared" si="34"/>
        <v>0</v>
      </c>
      <c r="Z174" s="910">
        <v>1800000</v>
      </c>
      <c r="AA174" s="757">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2">
        <f t="shared" si="34"/>
        <v>4.3920000000000003</v>
      </c>
      <c r="Z175" s="509">
        <v>1800000</v>
      </c>
      <c r="AA175" s="714">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2">
        <f t="shared" si="34"/>
        <v>4.32</v>
      </c>
      <c r="Z176" s="509">
        <v>1800000</v>
      </c>
      <c r="AA176" s="714">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2">
        <f t="shared" si="34"/>
        <v>3.996</v>
      </c>
      <c r="Z177" s="509">
        <v>1800000</v>
      </c>
      <c r="AA177" s="714">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2">
        <f t="shared" si="34"/>
        <v>3.66</v>
      </c>
      <c r="Z178" s="509">
        <v>1800000</v>
      </c>
      <c r="AA178" s="714">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2">
        <f t="shared" si="34"/>
        <v>3.33</v>
      </c>
      <c r="Z179" s="509">
        <v>1800000</v>
      </c>
      <c r="AA179" s="714">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2">
        <f t="shared" si="34"/>
        <v>4.32</v>
      </c>
      <c r="Z180" s="509">
        <v>1800000</v>
      </c>
      <c r="AA180" s="714">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2">
        <f t="shared" si="34"/>
        <v>4.7880000000000003</v>
      </c>
      <c r="Z181" s="509">
        <v>1800000</v>
      </c>
      <c r="AA181" s="714">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2">
        <f t="shared" si="34"/>
        <v>4.7880000000000003</v>
      </c>
      <c r="Z182" s="509">
        <v>1800000</v>
      </c>
      <c r="AA182" s="714">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6">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6">
        <f t="shared" si="34"/>
        <v>2.5619999999999998</v>
      </c>
      <c r="Z183" s="910">
        <v>1800000</v>
      </c>
      <c r="AA183" s="757">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2">
        <f t="shared" si="34"/>
        <v>3.99</v>
      </c>
      <c r="Z184" s="509">
        <v>1800000</v>
      </c>
      <c r="AA184" s="714">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2">
        <f t="shared" si="34"/>
        <v>3.99</v>
      </c>
      <c r="Z185" s="509">
        <v>1800000</v>
      </c>
      <c r="AA185" s="714">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2">
        <f t="shared" si="34"/>
        <v>6.2160000000000002</v>
      </c>
      <c r="Z186" s="509">
        <v>1800000</v>
      </c>
      <c r="AA186" s="714">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2">
        <f t="shared" si="34"/>
        <v>3.66</v>
      </c>
      <c r="Z187" s="509">
        <v>1800000</v>
      </c>
      <c r="AA187" s="714">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2">
        <f t="shared" si="34"/>
        <v>3.66</v>
      </c>
      <c r="Z188" s="509">
        <v>1800000</v>
      </c>
      <c r="AA188" s="714">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2">
        <f t="shared" si="34"/>
        <v>3.66</v>
      </c>
      <c r="Z189" s="509">
        <v>1800000</v>
      </c>
      <c r="AA189" s="714">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2">
        <f t="shared" si="34"/>
        <v>4.34</v>
      </c>
      <c r="Z190" s="509">
        <v>1800000</v>
      </c>
      <c r="AA190" s="714">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2">
        <f t="shared" si="34"/>
        <v>3.33</v>
      </c>
      <c r="Z191" s="509">
        <v>1800000</v>
      </c>
      <c r="AA191" s="714">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2">
        <f t="shared" si="34"/>
        <v>4.24</v>
      </c>
      <c r="Z192" s="509">
        <v>1800000</v>
      </c>
      <c r="AA192" s="714">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2">
        <f t="shared" si="34"/>
        <v>3.33</v>
      </c>
      <c r="Z193" s="509">
        <v>1800000</v>
      </c>
      <c r="AA193" s="714">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2">
        <f t="shared" si="34"/>
        <v>3.99</v>
      </c>
      <c r="Z194" s="509">
        <v>1800000</v>
      </c>
      <c r="AA194" s="714">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2">
        <f t="shared" si="34"/>
        <v>3.66</v>
      </c>
      <c r="Z195" s="509">
        <v>1800000</v>
      </c>
      <c r="AA195" s="714">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2">
        <f t="shared" si="34"/>
        <v>5.0880000000000001</v>
      </c>
      <c r="Z196" s="509">
        <v>1800000</v>
      </c>
      <c r="AA196" s="714">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2">
        <f t="shared" si="34"/>
        <v>7.56</v>
      </c>
      <c r="Z197" s="509">
        <v>1800000</v>
      </c>
      <c r="AA197" s="714">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2">
        <f t="shared" si="34"/>
        <v>2.7227999999999999</v>
      </c>
      <c r="Z198" s="509">
        <v>1800000</v>
      </c>
      <c r="AA198" s="714">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2">
        <f t="shared" si="34"/>
        <v>1.9890000000000001</v>
      </c>
      <c r="Z199" s="509">
        <v>1800000</v>
      </c>
      <c r="AA199" s="714">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2">
        <f t="shared" si="34"/>
        <v>8.1600000000000019</v>
      </c>
      <c r="Z200" s="509">
        <v>1800000</v>
      </c>
      <c r="AA200" s="714">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2">
        <f t="shared" si="34"/>
        <v>5.3286000000000007</v>
      </c>
      <c r="Z201" s="509">
        <v>1800000</v>
      </c>
      <c r="AA201" s="714">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2">
        <f t="shared" si="34"/>
        <v>6.3943200000000013</v>
      </c>
      <c r="Z202" s="509">
        <v>1800000</v>
      </c>
      <c r="AA202" s="714">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2">
        <f t="shared" si="34"/>
        <v>5.1840000000000002</v>
      </c>
      <c r="Z203" s="509">
        <v>1800000</v>
      </c>
      <c r="AA203" s="714">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2">
        <f t="shared" si="34"/>
        <v>5.7270000000000003</v>
      </c>
      <c r="Z204" s="509">
        <v>1800000</v>
      </c>
      <c r="AA204" s="714">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2">
        <f t="shared" si="34"/>
        <v>7.84</v>
      </c>
      <c r="Z205" s="509">
        <v>1800000</v>
      </c>
      <c r="AA205" s="714">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2">
        <f t="shared" si="34"/>
        <v>7.7403199999999996</v>
      </c>
      <c r="Z206" s="509">
        <v>1800000</v>
      </c>
      <c r="AA206" s="714">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2">
        <f t="shared" si="34"/>
        <v>3.99</v>
      </c>
      <c r="Z207" s="509">
        <v>1800000</v>
      </c>
      <c r="AA207" s="714">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2">
        <f t="shared" si="34"/>
        <v>6.2747999999999999</v>
      </c>
      <c r="Z208" s="509">
        <v>1800000</v>
      </c>
      <c r="AA208" s="714">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2">
        <f t="shared" si="34"/>
        <v>5.6139999999999999</v>
      </c>
      <c r="Z209" s="509">
        <v>1800000</v>
      </c>
      <c r="AA209" s="714">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2">
        <f t="shared" si="34"/>
        <v>3.66</v>
      </c>
      <c r="Z210" s="509">
        <v>1800000</v>
      </c>
      <c r="AA210" s="714">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2">
        <f t="shared" si="34"/>
        <v>4.3920000000000003</v>
      </c>
      <c r="Z211" s="509">
        <v>1800000</v>
      </c>
      <c r="AA211" s="714">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2">
        <f t="shared" si="34"/>
        <v>3.66</v>
      </c>
      <c r="Z212" s="509">
        <v>1800000</v>
      </c>
      <c r="AA212" s="714">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2">
        <f t="shared" si="34"/>
        <v>3.66</v>
      </c>
      <c r="Z213" s="509">
        <v>1800000</v>
      </c>
      <c r="AA213" s="714">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2">
        <f t="shared" si="34"/>
        <v>3.66</v>
      </c>
      <c r="Z214" s="509">
        <v>1800000</v>
      </c>
      <c r="AA214" s="714">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2">
        <f t="shared" si="34"/>
        <v>5.7279999999999998</v>
      </c>
      <c r="Z215" s="509">
        <v>1800000</v>
      </c>
      <c r="AA215" s="714">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2">
        <f t="shared" si="34"/>
        <v>3.66</v>
      </c>
      <c r="Z216" s="509">
        <v>1800000</v>
      </c>
      <c r="AA216" s="714">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2">
        <f t="shared" si="34"/>
        <v>4.6619999999999999</v>
      </c>
      <c r="Z217" s="509">
        <v>1800000</v>
      </c>
      <c r="AA217" s="714">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2">
        <f t="shared" si="34"/>
        <v>6.3943200000000013</v>
      </c>
      <c r="Z218" s="509">
        <v>1800000</v>
      </c>
      <c r="AA218" s="714">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2">
        <f t="shared" si="34"/>
        <v>5.4780000000000006</v>
      </c>
      <c r="Z219" s="509">
        <v>1800000</v>
      </c>
      <c r="AA219" s="714">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2">
        <f t="shared" ref="Y220:Y283" si="46">X220/Z220</f>
        <v>3.33</v>
      </c>
      <c r="Z220" s="509">
        <v>1800000</v>
      </c>
      <c r="AA220" s="714">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2">
        <f t="shared" si="46"/>
        <v>3</v>
      </c>
      <c r="Z221" s="509">
        <v>1800000</v>
      </c>
      <c r="AA221" s="714">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2">
        <f t="shared" si="46"/>
        <v>4.8</v>
      </c>
      <c r="Z222" s="509">
        <v>1800000</v>
      </c>
      <c r="AA222" s="714">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2">
        <f t="shared" si="46"/>
        <v>5.5278000000000009</v>
      </c>
      <c r="Z223" s="509">
        <v>1800000</v>
      </c>
      <c r="AA223" s="714">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2">
        <f t="shared" si="46"/>
        <v>3.2040000000000002</v>
      </c>
      <c r="Z224" s="509">
        <v>1800000</v>
      </c>
      <c r="AA224" s="714">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2">
        <f t="shared" si="46"/>
        <v>3.6</v>
      </c>
      <c r="Z225" s="509">
        <v>1800000</v>
      </c>
      <c r="AA225" s="714">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2">
        <f t="shared" si="46"/>
        <v>4.32</v>
      </c>
      <c r="Z226" s="509">
        <v>1800000</v>
      </c>
      <c r="AA226" s="714">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2">
        <f t="shared" si="46"/>
        <v>3.2040000000000002</v>
      </c>
      <c r="Z227" s="509">
        <v>1800000</v>
      </c>
      <c r="AA227" s="714">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2">
        <f t="shared" si="46"/>
        <v>6.9338400000000009</v>
      </c>
      <c r="Z228" s="509">
        <v>1800000</v>
      </c>
      <c r="AA228" s="714">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2">
        <f t="shared" si="46"/>
        <v>8.1600000000000019</v>
      </c>
      <c r="Z229" s="509">
        <v>1800000</v>
      </c>
      <c r="AA229" s="714">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2">
        <f t="shared" si="46"/>
        <v>7.3521599999999996</v>
      </c>
      <c r="Z230" s="509">
        <v>1800000</v>
      </c>
      <c r="AA230" s="714">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2">
        <f t="shared" si="46"/>
        <v>5.2788000000000004</v>
      </c>
      <c r="Z231" s="509">
        <v>1800000</v>
      </c>
      <c r="AA231" s="714">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2">
        <f t="shared" si="46"/>
        <v>5.2788000000000004</v>
      </c>
      <c r="Z232" s="509">
        <v>1800000</v>
      </c>
      <c r="AA232" s="714">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2">
        <f t="shared" si="46"/>
        <v>4.6500000000000004</v>
      </c>
      <c r="Z233" s="509">
        <v>1800000</v>
      </c>
      <c r="AA233" s="714">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2">
        <f t="shared" si="46"/>
        <v>4.32</v>
      </c>
      <c r="Z234" s="509">
        <v>1800000</v>
      </c>
      <c r="AA234" s="714">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2">
        <f t="shared" si="46"/>
        <v>4.32</v>
      </c>
      <c r="Z235" s="509">
        <v>1800000</v>
      </c>
      <c r="AA235" s="714">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2">
        <f t="shared" si="46"/>
        <v>5.7279999999999998</v>
      </c>
      <c r="Z236" s="509">
        <v>1800000</v>
      </c>
      <c r="AA236" s="714">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2">
        <f t="shared" si="46"/>
        <v>4.32</v>
      </c>
      <c r="Z237" s="509">
        <v>1800000</v>
      </c>
      <c r="AA237" s="714">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2">
        <f t="shared" si="46"/>
        <v>4.6500000000000004</v>
      </c>
      <c r="Z238" s="509">
        <v>1800000</v>
      </c>
      <c r="AA238" s="714">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2">
        <f t="shared" si="46"/>
        <v>4.3920000000000003</v>
      </c>
      <c r="Z239" s="509">
        <v>1800000</v>
      </c>
      <c r="AA239" s="714">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2">
        <f t="shared" si="46"/>
        <v>3.99</v>
      </c>
      <c r="Z240" s="509">
        <v>1800000</v>
      </c>
      <c r="AA240" s="714">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2">
        <f t="shared" si="46"/>
        <v>3.66</v>
      </c>
      <c r="Z241" s="509">
        <v>1800000</v>
      </c>
      <c r="AA241" s="714">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2">
        <f t="shared" si="46"/>
        <v>5.8559999999999999</v>
      </c>
      <c r="Z242" s="509">
        <v>1800000</v>
      </c>
      <c r="AA242" s="714">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2">
        <f t="shared" si="46"/>
        <v>6.8740800000000002</v>
      </c>
      <c r="Z243" s="509">
        <v>1800000</v>
      </c>
      <c r="AA243" s="714">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2">
        <f t="shared" si="46"/>
        <v>5.6771999999999991</v>
      </c>
      <c r="Z244" s="509">
        <v>1800000</v>
      </c>
      <c r="AA244" s="714">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2">
        <f t="shared" si="46"/>
        <v>5.3784000000000001</v>
      </c>
      <c r="Z245" s="509">
        <v>1800000</v>
      </c>
      <c r="AA245" s="714">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2">
        <f t="shared" si="46"/>
        <v>4.32</v>
      </c>
      <c r="Z246" s="509">
        <v>1800000</v>
      </c>
      <c r="AA246" s="714">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2">
        <f t="shared" si="46"/>
        <v>4.32</v>
      </c>
      <c r="Z247" s="509">
        <v>1800000</v>
      </c>
      <c r="AA247" s="714">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2">
        <f t="shared" si="46"/>
        <v>4.6500000000000004</v>
      </c>
      <c r="Z248" s="509">
        <v>1800000</v>
      </c>
      <c r="AA248" s="714">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2">
        <f t="shared" si="46"/>
        <v>4.6500000000000004</v>
      </c>
      <c r="Z249" s="509">
        <v>1800000</v>
      </c>
      <c r="AA249" s="714">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2">
        <f t="shared" si="46"/>
        <v>4.6500000000000004</v>
      </c>
      <c r="Z250" s="509">
        <v>1800000</v>
      </c>
      <c r="AA250" s="714">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2">
        <f t="shared" si="46"/>
        <v>4.6500000000000004</v>
      </c>
      <c r="Z251" s="509">
        <v>1800000</v>
      </c>
      <c r="AA251" s="714">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2">
        <f t="shared" si="46"/>
        <v>3.99</v>
      </c>
      <c r="Z252" s="509">
        <v>1800000</v>
      </c>
      <c r="AA252" s="714">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2">
        <f t="shared" si="46"/>
        <v>3.996</v>
      </c>
      <c r="Z253" s="509">
        <v>1800000</v>
      </c>
      <c r="AA253" s="714">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2">
        <f t="shared" si="46"/>
        <v>3.504</v>
      </c>
      <c r="Z254" s="509">
        <v>1800000</v>
      </c>
      <c r="AA254" s="714">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2">
        <f t="shared" si="46"/>
        <v>3.504</v>
      </c>
      <c r="Z255" s="509">
        <v>1800000</v>
      </c>
      <c r="AA255" s="714">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2">
        <f t="shared" si="46"/>
        <v>3.99</v>
      </c>
      <c r="Z256" s="509">
        <v>1800000</v>
      </c>
      <c r="AA256" s="714">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2">
        <f t="shared" si="46"/>
        <v>2.67</v>
      </c>
      <c r="Z257" s="509">
        <v>1800000</v>
      </c>
      <c r="AA257" s="714">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2">
        <f t="shared" si="46"/>
        <v>2.8079999999999998</v>
      </c>
      <c r="Z258" s="509">
        <v>1800000</v>
      </c>
      <c r="AA258" s="714">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2">
        <f t="shared" si="46"/>
        <v>11.020000000000001</v>
      </c>
      <c r="Z259" s="509">
        <v>1800000</v>
      </c>
      <c r="AA259" s="714">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2">
        <f t="shared" si="46"/>
        <v>9.7059999999999995</v>
      </c>
      <c r="Z260" s="509">
        <v>1800000</v>
      </c>
      <c r="AA260" s="714">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2">
        <f t="shared" si="46"/>
        <v>4.57</v>
      </c>
      <c r="Z261" s="509">
        <v>1800000</v>
      </c>
      <c r="AA261" s="714">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2">
        <f t="shared" si="46"/>
        <v>4.7880000000000003</v>
      </c>
      <c r="Z262" s="509">
        <v>1800000</v>
      </c>
      <c r="AA262" s="714">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2">
        <f t="shared" si="46"/>
        <v>5.9359999999999999</v>
      </c>
      <c r="Z263" s="509">
        <v>1800000</v>
      </c>
      <c r="AA263" s="714">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2">
        <f t="shared" si="46"/>
        <v>3.66</v>
      </c>
      <c r="Z264" s="509">
        <v>1800000</v>
      </c>
      <c r="AA264" s="714">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2">
        <f t="shared" si="46"/>
        <v>3.66</v>
      </c>
      <c r="Z265" s="509">
        <v>1800000</v>
      </c>
      <c r="AA265" s="714">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2">
        <f t="shared" si="46"/>
        <v>3.99</v>
      </c>
      <c r="Z266" s="509">
        <v>1800000</v>
      </c>
      <c r="AA266" s="714">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2">
        <f t="shared" si="46"/>
        <v>3.66</v>
      </c>
      <c r="Z267" s="509">
        <v>1800000</v>
      </c>
      <c r="AA267" s="714">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2">
        <f t="shared" si="46"/>
        <v>3.66</v>
      </c>
      <c r="Z268" s="509">
        <v>1800000</v>
      </c>
      <c r="AA268" s="714">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2">
        <f t="shared" si="46"/>
        <v>3.66</v>
      </c>
      <c r="Z269" s="509">
        <v>1800000</v>
      </c>
      <c r="AA269" s="714">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2">
        <f t="shared" si="46"/>
        <v>5.7720000000000002</v>
      </c>
      <c r="Z270" s="509">
        <v>1800000</v>
      </c>
      <c r="AA270" s="714">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2">
        <f t="shared" si="46"/>
        <v>3.66</v>
      </c>
      <c r="Z271" s="509">
        <v>1800000</v>
      </c>
      <c r="AA271" s="714">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2">
        <f t="shared" si="46"/>
        <v>4.2960000000000003</v>
      </c>
      <c r="Z272" s="509">
        <v>1800000</v>
      </c>
      <c r="AA272" s="714">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2">
        <f t="shared" si="46"/>
        <v>3.33</v>
      </c>
      <c r="Z273" s="509">
        <v>1800000</v>
      </c>
      <c r="AA273" s="714">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2">
        <f t="shared" si="46"/>
        <v>2.67</v>
      </c>
      <c r="Z274" s="509">
        <v>1800000</v>
      </c>
      <c r="AA274" s="714">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2">
        <f t="shared" si="46"/>
        <v>3.2040000000000002</v>
      </c>
      <c r="Z275" s="509">
        <v>1800000</v>
      </c>
      <c r="AA275" s="714">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2">
        <f t="shared" si="46"/>
        <v>3.6</v>
      </c>
      <c r="Z276" s="509">
        <v>1800000</v>
      </c>
      <c r="AA276" s="714">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2">
        <f t="shared" si="46"/>
        <v>5.1239999999999997</v>
      </c>
      <c r="Z277" s="509">
        <v>1800000</v>
      </c>
      <c r="AA277" s="714">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2">
        <f t="shared" si="46"/>
        <v>2.34</v>
      </c>
      <c r="Z278" s="509">
        <v>1800000</v>
      </c>
      <c r="AA278" s="714">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2" t="s">
        <v>1927</v>
      </c>
      <c r="C279" s="577"/>
      <c r="D279" s="589" t="s">
        <v>1986</v>
      </c>
      <c r="E279" s="903" t="s">
        <v>1987</v>
      </c>
      <c r="F279" s="904">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6">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2">
        <f t="shared" si="46"/>
        <v>1.6379999999999999</v>
      </c>
      <c r="Z279" s="509">
        <v>1800000</v>
      </c>
      <c r="AA279" s="714">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2">
        <f t="shared" si="46"/>
        <v>2.34</v>
      </c>
      <c r="Z280" s="509">
        <v>1800000</v>
      </c>
      <c r="AA280" s="714">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2">
        <f t="shared" si="46"/>
        <v>2.34</v>
      </c>
      <c r="Z281" s="509">
        <v>1800000</v>
      </c>
      <c r="AA281" s="714">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2">
        <f t="shared" si="46"/>
        <v>6.1020000000000003</v>
      </c>
      <c r="Z282" s="509">
        <v>1800000</v>
      </c>
      <c r="AA282" s="714">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2">
        <f t="shared" si="46"/>
        <v>3.996</v>
      </c>
      <c r="Z283" s="509">
        <v>1800000</v>
      </c>
      <c r="AA283" s="714">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2">
        <f t="shared" ref="Y284:Y352" si="57">X284/Z284</f>
        <v>1.9890000000000001</v>
      </c>
      <c r="Z284" s="509">
        <v>1800000</v>
      </c>
      <c r="AA284" s="714">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2">
        <f>X285/Z285</f>
        <v>4.9320000000000004</v>
      </c>
      <c r="Z285" s="509">
        <v>1800000</v>
      </c>
      <c r="AA285" s="714">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2">
        <f>X286/Z286</f>
        <v>2.67</v>
      </c>
      <c r="Z286" s="509">
        <v>1800000</v>
      </c>
      <c r="AA286" s="714">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2">
        <f>X287/Z287</f>
        <v>2.8079999999999998</v>
      </c>
      <c r="Z287" s="509">
        <v>1800000</v>
      </c>
      <c r="AA287" s="714">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2">
        <f t="shared" si="57"/>
        <v>4.9320000000000004</v>
      </c>
      <c r="Z288" s="509">
        <v>1800000</v>
      </c>
      <c r="AA288" s="714">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2">
        <f t="shared" si="57"/>
        <v>5.88</v>
      </c>
      <c r="Z289" s="509">
        <v>1800000</v>
      </c>
      <c r="AA289" s="714">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2">
        <f t="shared" si="57"/>
        <v>4.9000000000000004</v>
      </c>
      <c r="Z290" s="509">
        <v>1800000</v>
      </c>
      <c r="AA290" s="714">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2">
        <f t="shared" si="57"/>
        <v>3.66</v>
      </c>
      <c r="Z291" s="509">
        <v>1800000</v>
      </c>
      <c r="AA291" s="714">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2">
        <f t="shared" si="57"/>
        <v>3.66</v>
      </c>
      <c r="Z292" s="509">
        <v>1800000</v>
      </c>
      <c r="AA292" s="714">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2">
        <f t="shared" si="57"/>
        <v>4.32</v>
      </c>
      <c r="Z293" s="509">
        <v>1800000</v>
      </c>
      <c r="AA293" s="714">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2">
        <f t="shared" si="57"/>
        <v>3.996</v>
      </c>
      <c r="Z294" s="509">
        <v>1800000</v>
      </c>
      <c r="AA294" s="714">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2">
        <f t="shared" si="57"/>
        <v>4.9800000000000004</v>
      </c>
      <c r="Z295" s="509">
        <v>1800000</v>
      </c>
      <c r="AA295" s="714">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7" t="s">
        <v>1560</v>
      </c>
      <c r="C296" s="928"/>
      <c r="D296" s="501" t="s">
        <v>1825</v>
      </c>
      <c r="E296" s="502">
        <v>1603215002692</v>
      </c>
      <c r="F296" s="929">
        <v>3.33</v>
      </c>
      <c r="G296" s="930"/>
      <c r="H296" s="931">
        <f t="shared" si="52"/>
        <v>3.33</v>
      </c>
      <c r="I296" s="932">
        <v>0.35</v>
      </c>
      <c r="J296" s="383" t="s">
        <v>2202</v>
      </c>
      <c r="K296" s="933">
        <f t="shared" si="53"/>
        <v>3.68</v>
      </c>
      <c r="L296" s="934">
        <f t="shared" si="54"/>
        <v>6624000</v>
      </c>
      <c r="M296" s="935" t="str">
        <f>VLOOKUP(B296,'[1]Gui chi Quynh'!$B$11:$E$400,4,FALSE)</f>
        <v>A3</v>
      </c>
      <c r="N296" s="936">
        <f t="shared" si="56"/>
        <v>7948800</v>
      </c>
      <c r="O296" s="937">
        <v>21</v>
      </c>
      <c r="P296" s="492">
        <f>IFERROR(INDEX('[2]CN BC'!$J$10:$J$276,MATCH(B296,'[2]CN BC'!$H$10:$H$276,0)),"")</f>
        <v>21</v>
      </c>
      <c r="Q296" s="936">
        <f>IF(P296&gt;=O296,N296,N296/O296*P296)</f>
        <v>7948800</v>
      </c>
      <c r="R296" s="938"/>
      <c r="S296" s="934">
        <f t="shared" si="55"/>
        <v>0</v>
      </c>
      <c r="T296" s="939"/>
      <c r="U296" s="934">
        <f>T296*$G$26*1</f>
        <v>0</v>
      </c>
      <c r="V296" s="940">
        <f t="shared" ref="V296" si="61">IF(OR(M296="A DN",M296="KXL", M296=""),"0",ROUND(K296*0.01*$G$26+R296*1%*$G$26+T296*1%*$G$26,))</f>
        <v>66240</v>
      </c>
      <c r="W296" s="940"/>
      <c r="X296" s="386">
        <f t="shared" si="59"/>
        <v>7948800</v>
      </c>
      <c r="Y296" s="913">
        <f t="shared" si="57"/>
        <v>4.4160000000000004</v>
      </c>
      <c r="Z296" s="941">
        <v>1800000</v>
      </c>
      <c r="AA296" s="941">
        <f t="shared" si="58"/>
        <v>7948800.0000000009</v>
      </c>
      <c r="AB296" s="593">
        <f t="shared" si="60"/>
        <v>267</v>
      </c>
      <c r="AC296" s="822">
        <f>IFERROR(INDEX('[2]CN BC'!$M$10:$M$276,MATCH(B296,'[2]CN BC'!$H$10:$H$276,0)),"")</f>
        <v>0</v>
      </c>
      <c r="AD296" s="147"/>
      <c r="AE296" s="113"/>
      <c r="AF296" s="114"/>
      <c r="AG296" s="161"/>
      <c r="AH296" s="114"/>
      <c r="AI296" s="114"/>
      <c r="AJ296" s="114"/>
      <c r="AK296" s="114"/>
      <c r="AL296" s="114"/>
      <c r="AM296" s="114"/>
      <c r="AN296" s="114"/>
      <c r="AO296" s="114"/>
      <c r="AP296" s="114"/>
      <c r="AQ296" s="114"/>
    </row>
    <row r="297" spans="1:53" s="960" customFormat="1" ht="24" customHeight="1">
      <c r="A297" s="858"/>
      <c r="B297" s="877" t="s">
        <v>2188</v>
      </c>
      <c r="C297" s="878"/>
      <c r="D297" s="860"/>
      <c r="E297" s="880"/>
      <c r="F297" s="862"/>
      <c r="G297" s="863"/>
      <c r="H297" s="864"/>
      <c r="I297" s="865"/>
      <c r="J297" s="865"/>
      <c r="K297" s="866"/>
      <c r="L297" s="867"/>
      <c r="M297" s="868"/>
      <c r="N297" s="869"/>
      <c r="O297" s="870"/>
      <c r="P297" s="871"/>
      <c r="Q297" s="869"/>
      <c r="R297" s="872"/>
      <c r="S297" s="867"/>
      <c r="T297" s="873"/>
      <c r="U297" s="867"/>
      <c r="V297" s="867"/>
      <c r="W297" s="867"/>
      <c r="X297" s="867"/>
      <c r="Y297" s="955">
        <f>SUM(Y30:Y296)</f>
        <v>1296.215504761906</v>
      </c>
      <c r="Z297" s="881"/>
      <c r="AA297" s="881">
        <f>SUM(AA30:AA296)</f>
        <v>2333187908.5714283</v>
      </c>
      <c r="AB297" s="875"/>
      <c r="AC297" s="876"/>
      <c r="AD297" s="956"/>
      <c r="AE297" s="957"/>
      <c r="AF297" s="958"/>
      <c r="AG297" s="959"/>
      <c r="AH297" s="958"/>
      <c r="AI297" s="958"/>
      <c r="AJ297" s="958"/>
      <c r="AK297" s="958"/>
      <c r="AL297" s="958"/>
      <c r="AM297" s="958"/>
      <c r="AN297" s="958"/>
      <c r="AO297" s="958"/>
      <c r="AP297" s="958"/>
      <c r="AQ297" s="958"/>
    </row>
    <row r="298" spans="1:53" s="960" customFormat="1" ht="24" customHeight="1">
      <c r="A298" s="858"/>
      <c r="B298" s="877" t="s">
        <v>2200</v>
      </c>
      <c r="C298" s="878"/>
      <c r="D298" s="860"/>
      <c r="E298" s="880"/>
      <c r="F298" s="862"/>
      <c r="G298" s="863"/>
      <c r="H298" s="864"/>
      <c r="I298" s="865"/>
      <c r="J298" s="865"/>
      <c r="K298" s="866"/>
      <c r="L298" s="867"/>
      <c r="M298" s="868"/>
      <c r="N298" s="869"/>
      <c r="O298" s="870"/>
      <c r="P298" s="871"/>
      <c r="Q298" s="869"/>
      <c r="R298" s="872"/>
      <c r="S298" s="867"/>
      <c r="T298" s="873"/>
      <c r="U298" s="867"/>
      <c r="V298" s="867"/>
      <c r="W298" s="867"/>
      <c r="X298" s="867"/>
      <c r="Y298" s="955"/>
      <c r="Z298" s="881"/>
      <c r="AA298" s="881"/>
      <c r="AB298" s="875"/>
      <c r="AC298" s="876"/>
      <c r="AD298" s="956"/>
      <c r="AE298" s="957"/>
      <c r="AF298" s="958"/>
      <c r="AG298" s="959"/>
      <c r="AH298" s="958"/>
      <c r="AI298" s="958"/>
      <c r="AJ298" s="958"/>
      <c r="AK298" s="958"/>
      <c r="AL298" s="958"/>
      <c r="AM298" s="958"/>
      <c r="AN298" s="958"/>
      <c r="AO298" s="958"/>
      <c r="AP298" s="958"/>
      <c r="AQ298" s="958"/>
    </row>
    <row r="299" spans="1:53" s="387" customFormat="1" ht="30.75" customHeight="1">
      <c r="A299" s="942">
        <f>_xlfn.AGGREGATE(4,7,A$29:A296)+1</f>
        <v>268</v>
      </c>
      <c r="B299" s="854" t="s">
        <v>2029</v>
      </c>
      <c r="C299" s="943" t="s">
        <v>1106</v>
      </c>
      <c r="D299" s="944" t="s">
        <v>2030</v>
      </c>
      <c r="E299" s="945">
        <v>1603205359393</v>
      </c>
      <c r="F299" s="945"/>
      <c r="G299" s="945"/>
      <c r="H299" s="855" t="s">
        <v>2031</v>
      </c>
      <c r="I299" s="946">
        <v>6914491</v>
      </c>
      <c r="J299" s="855" t="str">
        <f>VLOOKUP(B299,TH!B288:J620,9,FALSE)</f>
        <v xml:space="preserve">NV Bảo vệ </v>
      </c>
      <c r="K299" s="947">
        <f t="shared" ref="K299:K361" si="62">IF(H299="D.03",I299*30%,I299*70%)</f>
        <v>2074347.2999999998</v>
      </c>
      <c r="L299" s="637" t="str">
        <f>VLOOKUP(B299,'[1]Gui chi Quynh'!$B$11:$E$400,4,FALSE)</f>
        <v>A4</v>
      </c>
      <c r="M299" s="947">
        <f>ROUND(IF(AND(L299="A1",K299*1.6),K299*1.6,IF(AND(L299="A2",K299*1.4),K299*1.4,IF(AND(L299="A3",K299*1.2),K299*1.2,IF(AND(L299="A4",K299*1),K299*1,IF(AND(L299="B1",K299*0.7),K299*0.7,IF(AND(L299="B2",K299*0.5),K299*0.5,IF(AND(L299="C1",K299*0.3),K299*0.3,0))))))),)</f>
        <v>2074347</v>
      </c>
      <c r="N299" s="637">
        <v>26</v>
      </c>
      <c r="O299" s="637">
        <f>IFERROR(INDEX('[2]CN HĐ'!$J$10:$J$72,MATCH(B299,'[2]CN HĐ'!$H$10:$H$72,0)),"")</f>
        <v>26</v>
      </c>
      <c r="P299" s="948" t="e">
        <f>IF(M299&gt;#REF!,M299,#REF!)</f>
        <v>#REF!</v>
      </c>
      <c r="Q299" s="947">
        <f t="shared" ref="Q299:Q361" si="63">ROUND(IF(O299&gt;=N299,M299,M299/N299*O299),)</f>
        <v>2074347</v>
      </c>
      <c r="R299" s="949"/>
      <c r="S299" s="947">
        <v>0</v>
      </c>
      <c r="T299" s="950"/>
      <c r="U299" s="947">
        <v>0</v>
      </c>
      <c r="V299" s="951">
        <f t="shared" ref="V299:V361" si="64">I299*1%</f>
        <v>69144.91</v>
      </c>
      <c r="W299" s="951"/>
      <c r="X299" s="952">
        <f>(Q299+S299+U299)+W299</f>
        <v>2074347</v>
      </c>
      <c r="Y299" s="953">
        <f t="shared" si="57"/>
        <v>1.152415</v>
      </c>
      <c r="Z299" s="714">
        <v>1800000</v>
      </c>
      <c r="AA299" s="715">
        <f t="shared" si="58"/>
        <v>2074347</v>
      </c>
      <c r="AB299" s="954">
        <f t="shared" ref="AB299:AB359" si="65">A299</f>
        <v>268</v>
      </c>
      <c r="AC299" s="643">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4" t="s">
        <v>2034</v>
      </c>
      <c r="F300" s="634"/>
      <c r="G300" s="634"/>
      <c r="H300" s="383" t="s">
        <v>2031</v>
      </c>
      <c r="I300" s="635">
        <v>5417685</v>
      </c>
      <c r="J300" s="383" t="str">
        <f>VLOOKUP(B300,TH!B289:J621,9,FALSE)</f>
        <v>NV Bảo vệ</v>
      </c>
      <c r="K300" s="484">
        <f t="shared" si="62"/>
        <v>1625305.5</v>
      </c>
      <c r="L300" s="636" t="str">
        <f>VLOOKUP(B300,'[1]Gui chi Quynh'!$B$11:$E$400,4,FALSE)</f>
        <v>A4</v>
      </c>
      <c r="M300" s="484">
        <f>ROUND(IF(AND(L300="A1",K300*1.6),K300*1.6,IF(AND(L300="A2",K300*1.4),K300*1.4,IF(AND(L300="A3",K300*1.2),K300*1.2,IF(AND(L300="A4",K300*1),K300*1,IF(AND(L300="B1",K300*0.7),K300*0.7,IF(AND(L300="B2",K300*0.5),K300*0.5,IF(AND(L300="C1",K300*0.3),K300*0.3,0))))))),)</f>
        <v>1625306</v>
      </c>
      <c r="N300" s="636">
        <v>26</v>
      </c>
      <c r="O300" s="637">
        <f>IFERROR(INDEX('[2]CN HĐ'!$J$10:$J$72,MATCH(B300,'[2]CN HĐ'!$H$10:$H$72,0)),"")</f>
        <v>25</v>
      </c>
      <c r="P300" s="638" t="e">
        <f>IF(M300&gt;#REF!,M300,#REF!)</f>
        <v>#REF!</v>
      </c>
      <c r="Q300" s="484">
        <f t="shared" si="63"/>
        <v>1562794</v>
      </c>
      <c r="R300" s="639"/>
      <c r="S300" s="484">
        <v>0</v>
      </c>
      <c r="T300" s="640"/>
      <c r="U300" s="484">
        <v>0</v>
      </c>
      <c r="V300" s="679">
        <f t="shared" si="64"/>
        <v>54176.85</v>
      </c>
      <c r="W300" s="679"/>
      <c r="X300" s="952">
        <f t="shared" ref="X300:X361" si="66">(Q300+S300+U300)+W300</f>
        <v>1562794</v>
      </c>
      <c r="Y300" s="912">
        <f t="shared" si="57"/>
        <v>0.86821888888888887</v>
      </c>
      <c r="Z300" s="509">
        <v>1800000</v>
      </c>
      <c r="AA300" s="715">
        <f t="shared" si="58"/>
        <v>1562794</v>
      </c>
      <c r="AB300" s="642">
        <f t="shared" si="65"/>
        <v>269</v>
      </c>
      <c r="AC300" s="643"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4" t="s">
        <v>2036</v>
      </c>
      <c r="F301" s="634"/>
      <c r="G301" s="634"/>
      <c r="H301" s="383" t="s">
        <v>2031</v>
      </c>
      <c r="I301" s="635">
        <v>5159700</v>
      </c>
      <c r="J301" s="383" t="str">
        <f>VLOOKUP(B301,TH!B290:J622,9,FALSE)</f>
        <v>NV Bảo vệ</v>
      </c>
      <c r="K301" s="484">
        <f t="shared" si="62"/>
        <v>1547910</v>
      </c>
      <c r="L301" s="636" t="str">
        <f>VLOOKUP(B301,'[1]Gui chi Quynh'!$B$11:$E$400,4,FALSE)</f>
        <v>A3</v>
      </c>
      <c r="M301" s="484">
        <f>ROUND(IF(AND(L301="A1",K301*1.6),K301*1.6,IF(AND(L301="A2",K301*1.4),K301*1.4,IF(AND(L301="A3",K301*1.2),K301*1.2,IF(AND(L301="A4",K301*1),K301*1,IF(AND(L301="B1",K301*0.7),K301*0.7,IF(AND(L301="B2",K301*0.5),K301*0.5,IF(AND(L301="C1",K301*0.3),K301*0.3,0))))))),)</f>
        <v>1857492</v>
      </c>
      <c r="N301" s="636">
        <v>26</v>
      </c>
      <c r="O301" s="637">
        <f>IFERROR(INDEX('[2]CN HĐ'!$J$10:$J$72,MATCH(B301,'[2]CN HĐ'!$H$10:$H$72,0)),"")</f>
        <v>27</v>
      </c>
      <c r="P301" s="638" t="e">
        <f>IF(M301&gt;#REF!,M301,#REF!)</f>
        <v>#REF!</v>
      </c>
      <c r="Q301" s="484">
        <f t="shared" si="63"/>
        <v>1857492</v>
      </c>
      <c r="R301" s="639"/>
      <c r="S301" s="484">
        <v>0</v>
      </c>
      <c r="T301" s="640"/>
      <c r="U301" s="484">
        <v>0</v>
      </c>
      <c r="V301" s="679">
        <f t="shared" si="64"/>
        <v>51597</v>
      </c>
      <c r="W301" s="679"/>
      <c r="X301" s="952">
        <f t="shared" si="66"/>
        <v>1857492</v>
      </c>
      <c r="Y301" s="912">
        <f t="shared" si="57"/>
        <v>1.0319400000000001</v>
      </c>
      <c r="Z301" s="509">
        <v>1800000</v>
      </c>
      <c r="AA301" s="715">
        <f t="shared" si="58"/>
        <v>1857492.0000000002</v>
      </c>
      <c r="AB301" s="642">
        <f>A301</f>
        <v>270</v>
      </c>
      <c r="AC301" s="643">
        <f>IFERROR(INDEX('[2]CN HĐ'!$M$10:$M$72,MATCH(B301,'[2]CN HĐ'!$H$10:$H$72,0)),"")</f>
        <v>0</v>
      </c>
      <c r="AE301" s="505"/>
      <c r="AF301" s="505"/>
      <c r="AG301" s="505"/>
    </row>
    <row r="302" spans="1:53" s="387" customFormat="1" ht="27" customHeight="1">
      <c r="A302" s="33">
        <f>_xlfn.AGGREGATE(4,7,A$29:A301)+1</f>
        <v>271</v>
      </c>
      <c r="B302" s="462" t="s">
        <v>2037</v>
      </c>
      <c r="C302" s="436"/>
      <c r="D302" s="435"/>
      <c r="E302" s="644">
        <v>1603215005626</v>
      </c>
      <c r="F302" s="644"/>
      <c r="G302" s="644"/>
      <c r="H302" s="383" t="s">
        <v>2038</v>
      </c>
      <c r="I302" s="635">
        <v>5007600</v>
      </c>
      <c r="J302" s="383" t="str">
        <f>VLOOKUP(B302,TH!B291:J623,9,FALSE)</f>
        <v>NV Bảo vệ</v>
      </c>
      <c r="K302" s="484">
        <f t="shared" si="62"/>
        <v>3505320</v>
      </c>
      <c r="L302" s="636"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6">
        <v>26</v>
      </c>
      <c r="O302" s="637">
        <f>IFERROR(INDEX('[2]CN HĐ'!$J$10:$J$72,MATCH(B302,'[2]CN HĐ'!$H$10:$H$72,0)),"")</f>
        <v>25</v>
      </c>
      <c r="P302" s="638" t="e">
        <f>IF(M302&gt;#REF!,M302,#REF!)</f>
        <v>#REF!</v>
      </c>
      <c r="Q302" s="484">
        <f t="shared" si="63"/>
        <v>4718700</v>
      </c>
      <c r="R302" s="639"/>
      <c r="S302" s="484">
        <v>0</v>
      </c>
      <c r="T302" s="640"/>
      <c r="U302" s="484">
        <v>0</v>
      </c>
      <c r="V302" s="679">
        <f t="shared" si="64"/>
        <v>50076</v>
      </c>
      <c r="W302" s="679"/>
      <c r="X302" s="952">
        <f t="shared" si="66"/>
        <v>4718700</v>
      </c>
      <c r="Y302" s="912">
        <f t="shared" si="57"/>
        <v>2.6215000000000002</v>
      </c>
      <c r="Z302" s="509">
        <v>1800000</v>
      </c>
      <c r="AA302" s="715">
        <f t="shared" si="58"/>
        <v>4718700</v>
      </c>
      <c r="AB302" s="642">
        <f t="shared" si="65"/>
        <v>271</v>
      </c>
      <c r="AC302" s="643" t="str">
        <f>IFERROR(INDEX('[2]CN HĐ'!$M$10:$M$72,MATCH(B302,'[2]CN HĐ'!$H$10:$H$72,0)),"")</f>
        <v>Trừ 1 ngày nghỉ phép 18/3</v>
      </c>
      <c r="AD302" s="645"/>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4">
        <v>1603205287913</v>
      </c>
      <c r="F303" s="634"/>
      <c r="G303" s="634"/>
      <c r="H303" s="383" t="s">
        <v>2031</v>
      </c>
      <c r="I303" s="635">
        <v>7206216</v>
      </c>
      <c r="J303" s="383" t="str">
        <f>VLOOKUP(B303,TH!B292:J624,9,FALSE)</f>
        <v xml:space="preserve">NV Bảo vệ </v>
      </c>
      <c r="K303" s="484">
        <f t="shared" si="62"/>
        <v>2161864.7999999998</v>
      </c>
      <c r="L303" s="636" t="str">
        <f>VLOOKUP(B303,'[1]Gui chi Quynh'!$B$11:$E$400,4,FALSE)</f>
        <v>A4</v>
      </c>
      <c r="M303" s="484">
        <f t="shared" si="67"/>
        <v>2161865</v>
      </c>
      <c r="N303" s="636">
        <v>26</v>
      </c>
      <c r="O303" s="637">
        <f>IFERROR(INDEX('[2]CN HĐ'!$J$10:$J$72,MATCH(B303,'[2]CN HĐ'!$H$10:$H$72,0)),"")</f>
        <v>26</v>
      </c>
      <c r="P303" s="638" t="e">
        <f>IF(M303&gt;#REF!,M303,#REF!)</f>
        <v>#REF!</v>
      </c>
      <c r="Q303" s="484">
        <f t="shared" si="63"/>
        <v>2161865</v>
      </c>
      <c r="R303" s="639"/>
      <c r="S303" s="484">
        <v>0</v>
      </c>
      <c r="T303" s="640"/>
      <c r="U303" s="484">
        <v>0</v>
      </c>
      <c r="V303" s="679">
        <f t="shared" si="64"/>
        <v>72062.16</v>
      </c>
      <c r="W303" s="679"/>
      <c r="X303" s="952">
        <f t="shared" si="66"/>
        <v>2161865</v>
      </c>
      <c r="Y303" s="912">
        <f t="shared" si="57"/>
        <v>1.2010361111111112</v>
      </c>
      <c r="Z303" s="509">
        <v>1800000</v>
      </c>
      <c r="AA303" s="715">
        <f t="shared" si="58"/>
        <v>2161865</v>
      </c>
      <c r="AB303" s="642">
        <f t="shared" si="65"/>
        <v>272</v>
      </c>
      <c r="AC303" s="643">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4">
        <v>1603205447217</v>
      </c>
      <c r="F304" s="644"/>
      <c r="G304" s="644"/>
      <c r="H304" s="86" t="s">
        <v>2042</v>
      </c>
      <c r="I304" s="635">
        <v>6134525</v>
      </c>
      <c r="J304" s="383" t="str">
        <f>VLOOKUP(B304,TH!B293:J625,9,FALSE)</f>
        <v>Nhân viên bảo vệ</v>
      </c>
      <c r="K304" s="484">
        <f t="shared" si="62"/>
        <v>4294167.5</v>
      </c>
      <c r="L304" s="636" t="str">
        <f>VLOOKUP(B304,'[1]Gui chi Quynh'!$B$11:$E$400,4,FALSE)</f>
        <v>A2</v>
      </c>
      <c r="M304" s="484">
        <f t="shared" si="67"/>
        <v>6011835</v>
      </c>
      <c r="N304" s="636">
        <v>26</v>
      </c>
      <c r="O304" s="637">
        <f>IFERROR(INDEX('[2]CN HĐ'!$J$10:$J$72,MATCH(B304,'[2]CN HĐ'!$H$10:$H$72,0)),"")</f>
        <v>26</v>
      </c>
      <c r="P304" s="638" t="e">
        <f>IF(M304&gt;#REF!,M304,#REF!)</f>
        <v>#REF!</v>
      </c>
      <c r="Q304" s="484">
        <f t="shared" si="63"/>
        <v>6011835</v>
      </c>
      <c r="R304" s="639"/>
      <c r="S304" s="484">
        <v>0</v>
      </c>
      <c r="T304" s="640"/>
      <c r="U304" s="484">
        <v>0</v>
      </c>
      <c r="V304" s="679">
        <f t="shared" si="64"/>
        <v>61345.25</v>
      </c>
      <c r="W304" s="679"/>
      <c r="X304" s="952">
        <f t="shared" si="66"/>
        <v>6011835</v>
      </c>
      <c r="Y304" s="912">
        <f t="shared" si="57"/>
        <v>3.3399083333333333</v>
      </c>
      <c r="Z304" s="509">
        <v>1800000</v>
      </c>
      <c r="AA304" s="715">
        <f t="shared" si="58"/>
        <v>6011835</v>
      </c>
      <c r="AB304" s="642">
        <f t="shared" si="65"/>
        <v>273</v>
      </c>
      <c r="AC304" s="643">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6" t="s">
        <v>2045</v>
      </c>
      <c r="F305" s="646"/>
      <c r="G305" s="646"/>
      <c r="H305" s="86" t="s">
        <v>2031</v>
      </c>
      <c r="I305" s="635">
        <v>7623227</v>
      </c>
      <c r="J305" s="383" t="str">
        <f>VLOOKUP(B305,TH!B294:J626,9,FALSE)</f>
        <v xml:space="preserve">NV Bảo vệ </v>
      </c>
      <c r="K305" s="484">
        <f t="shared" si="62"/>
        <v>2286968.1</v>
      </c>
      <c r="L305" s="636" t="str">
        <f>VLOOKUP(B305,'[1]Gui chi Quynh'!$B$11:$E$400,4,FALSE)</f>
        <v>A3</v>
      </c>
      <c r="M305" s="484">
        <f t="shared" si="67"/>
        <v>2744362</v>
      </c>
      <c r="N305" s="636">
        <v>26</v>
      </c>
      <c r="O305" s="637">
        <f>IFERROR(INDEX('[2]CN HĐ'!$J$10:$J$72,MATCH(B305,'[2]CN HĐ'!$H$10:$H$72,0)),"")</f>
        <v>26</v>
      </c>
      <c r="P305" s="638" t="e">
        <f>IF(M305&gt;#REF!,M305,#REF!)</f>
        <v>#REF!</v>
      </c>
      <c r="Q305" s="484">
        <f t="shared" si="63"/>
        <v>2744362</v>
      </c>
      <c r="R305" s="639"/>
      <c r="S305" s="484">
        <v>0</v>
      </c>
      <c r="T305" s="640"/>
      <c r="U305" s="484">
        <v>0</v>
      </c>
      <c r="V305" s="679">
        <f t="shared" si="64"/>
        <v>76232.27</v>
      </c>
      <c r="W305" s="679"/>
      <c r="X305" s="952">
        <f t="shared" si="66"/>
        <v>2744362</v>
      </c>
      <c r="Y305" s="912">
        <f t="shared" si="57"/>
        <v>1.5246455555555556</v>
      </c>
      <c r="Z305" s="509">
        <v>1800000</v>
      </c>
      <c r="AA305" s="715">
        <f t="shared" si="58"/>
        <v>2744362</v>
      </c>
      <c r="AB305" s="642">
        <f t="shared" si="65"/>
        <v>274</v>
      </c>
      <c r="AC305" s="643">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4" t="s">
        <v>2048</v>
      </c>
      <c r="F306" s="634"/>
      <c r="G306" s="634"/>
      <c r="H306" s="86" t="s">
        <v>2031</v>
      </c>
      <c r="I306" s="635">
        <v>5972998</v>
      </c>
      <c r="J306" s="383" t="str">
        <f>VLOOKUP(B306,TH!B295:J627,9,FALSE)</f>
        <v>NV Bảo vệ</v>
      </c>
      <c r="K306" s="484">
        <f t="shared" si="62"/>
        <v>1791899.4</v>
      </c>
      <c r="L306" s="636" t="str">
        <f>VLOOKUP(B306,'[1]Gui chi Quynh'!$B$11:$E$400,4,FALSE)</f>
        <v>A4</v>
      </c>
      <c r="M306" s="484">
        <f t="shared" si="67"/>
        <v>1791899</v>
      </c>
      <c r="N306" s="636">
        <v>26</v>
      </c>
      <c r="O306" s="637">
        <f>IFERROR(INDEX('[2]CN HĐ'!$J$10:$J$72,MATCH(B306,'[2]CN HĐ'!$H$10:$H$72,0)),"")</f>
        <v>27</v>
      </c>
      <c r="P306" s="638" t="e">
        <f>IF(M306&gt;#REF!,M306,#REF!)</f>
        <v>#REF!</v>
      </c>
      <c r="Q306" s="484">
        <f t="shared" si="63"/>
        <v>1791899</v>
      </c>
      <c r="R306" s="639"/>
      <c r="S306" s="484">
        <v>0</v>
      </c>
      <c r="T306" s="640"/>
      <c r="U306" s="484">
        <v>0</v>
      </c>
      <c r="V306" s="679">
        <f t="shared" si="64"/>
        <v>59729.98</v>
      </c>
      <c r="W306" s="679"/>
      <c r="X306" s="952">
        <f t="shared" si="66"/>
        <v>1791899</v>
      </c>
      <c r="Y306" s="912">
        <f t="shared" si="57"/>
        <v>0.99549944444444449</v>
      </c>
      <c r="Z306" s="509">
        <v>1800000</v>
      </c>
      <c r="AA306" s="715">
        <f t="shared" si="58"/>
        <v>1791899</v>
      </c>
      <c r="AB306" s="642">
        <f t="shared" si="65"/>
        <v>275</v>
      </c>
      <c r="AC306" s="643">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4" t="s">
        <v>2051</v>
      </c>
      <c r="F307" s="634"/>
      <c r="G307" s="634"/>
      <c r="H307" s="383" t="s">
        <v>2031</v>
      </c>
      <c r="I307" s="635">
        <v>5972998</v>
      </c>
      <c r="J307" s="383" t="str">
        <f>VLOOKUP(B307,TH!B296:J628,9,FALSE)</f>
        <v>NV Bảo vệ</v>
      </c>
      <c r="K307" s="484">
        <f t="shared" si="62"/>
        <v>1791899.4</v>
      </c>
      <c r="L307" s="636" t="str">
        <f>VLOOKUP(B307,'[1]Gui chi Quynh'!$B$11:$E$400,4,FALSE)</f>
        <v>A3</v>
      </c>
      <c r="M307" s="484">
        <f t="shared" si="67"/>
        <v>2150279</v>
      </c>
      <c r="N307" s="636">
        <v>26</v>
      </c>
      <c r="O307" s="637">
        <f>IFERROR(INDEX('[2]CN HĐ'!$J$10:$J$72,MATCH(B307,'[2]CN HĐ'!$H$10:$H$72,0)),"")</f>
        <v>26</v>
      </c>
      <c r="P307" s="638" t="e">
        <f>IF(M307&gt;#REF!,M307,#REF!)</f>
        <v>#REF!</v>
      </c>
      <c r="Q307" s="484">
        <f t="shared" si="63"/>
        <v>2150279</v>
      </c>
      <c r="R307" s="639"/>
      <c r="S307" s="484">
        <v>0</v>
      </c>
      <c r="T307" s="640"/>
      <c r="U307" s="484">
        <v>0</v>
      </c>
      <c r="V307" s="679">
        <f t="shared" si="64"/>
        <v>59729.98</v>
      </c>
      <c r="W307" s="679"/>
      <c r="X307" s="952">
        <f t="shared" si="66"/>
        <v>2150279</v>
      </c>
      <c r="Y307" s="912">
        <f t="shared" si="57"/>
        <v>1.1945994444444445</v>
      </c>
      <c r="Z307" s="509">
        <v>1800000</v>
      </c>
      <c r="AA307" s="715">
        <f t="shared" si="58"/>
        <v>2150279</v>
      </c>
      <c r="AB307" s="642">
        <f t="shared" si="65"/>
        <v>276</v>
      </c>
      <c r="AC307" s="643">
        <f>IFERROR(INDEX('[2]CN HĐ'!$M$10:$M$72,MATCH(B307,'[2]CN HĐ'!$H$10:$H$72,0)),"")</f>
        <v>0</v>
      </c>
      <c r="AE307" s="505"/>
    </row>
    <row r="308" spans="1:53" s="387" customFormat="1" ht="54" customHeight="1">
      <c r="A308" s="567">
        <f>_xlfn.AGGREGATE(4,7,A$29:A307)+1</f>
        <v>277</v>
      </c>
      <c r="B308" s="600" t="s">
        <v>2052</v>
      </c>
      <c r="C308" s="682"/>
      <c r="D308" s="601"/>
      <c r="E308" s="905"/>
      <c r="F308" s="905"/>
      <c r="G308" s="905"/>
      <c r="H308" s="490" t="s">
        <v>2042</v>
      </c>
      <c r="I308" s="658">
        <v>5733201</v>
      </c>
      <c r="J308" s="490" t="str">
        <f>VLOOKUP(B308,TH!B297:J629,9,FALSE)</f>
        <v>NV Bảo vệ</v>
      </c>
      <c r="K308" s="659">
        <f t="shared" si="62"/>
        <v>4013240.6999999997</v>
      </c>
      <c r="L308" s="660" t="str">
        <f>VLOOKUP(B308,'[1]Gui chi Quynh'!$B$11:$E$400,4,FALSE)</f>
        <v>B1</v>
      </c>
      <c r="M308" s="659">
        <f t="shared" si="67"/>
        <v>2809268</v>
      </c>
      <c r="N308" s="660">
        <v>26</v>
      </c>
      <c r="O308" s="661">
        <f>IFERROR(INDEX('[2]CN HĐ'!$J$10:$J$72,MATCH(B308,'[2]CN HĐ'!$H$10:$H$72,0)),"")</f>
        <v>22</v>
      </c>
      <c r="P308" s="662" t="e">
        <f>IF(M308&gt;#REF!,M308,#REF!)</f>
        <v>#REF!</v>
      </c>
      <c r="Q308" s="659">
        <f t="shared" si="63"/>
        <v>2377073</v>
      </c>
      <c r="R308" s="663"/>
      <c r="S308" s="659">
        <v>0</v>
      </c>
      <c r="T308" s="664"/>
      <c r="U308" s="659">
        <v>0</v>
      </c>
      <c r="V308" s="659">
        <f t="shared" si="64"/>
        <v>57332.01</v>
      </c>
      <c r="W308" s="659"/>
      <c r="X308" s="952">
        <f t="shared" si="66"/>
        <v>2377073</v>
      </c>
      <c r="Y308" s="961">
        <f t="shared" si="57"/>
        <v>1.3205961111111111</v>
      </c>
      <c r="Z308" s="909">
        <v>1800000</v>
      </c>
      <c r="AA308" s="758">
        <f t="shared" si="58"/>
        <v>2377073</v>
      </c>
      <c r="AB308" s="665">
        <f t="shared" si="65"/>
        <v>277</v>
      </c>
      <c r="AC308" s="666" t="s">
        <v>2195</v>
      </c>
      <c r="AD308" s="647"/>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4"/>
      <c r="F309" s="634"/>
      <c r="G309" s="634"/>
      <c r="H309" s="383" t="s">
        <v>2031</v>
      </c>
      <c r="I309" s="635">
        <v>4680000</v>
      </c>
      <c r="J309" s="383" t="str">
        <f>VLOOKUP(B309,TH!B298:J630,9,FALSE)</f>
        <v>NV Bảo vệ</v>
      </c>
      <c r="K309" s="484">
        <f t="shared" si="62"/>
        <v>1404000</v>
      </c>
      <c r="L309" s="636" t="str">
        <f>VLOOKUP(B309,'[1]Gui chi Quynh'!$B$11:$E$400,4,FALSE)</f>
        <v>A4</v>
      </c>
      <c r="M309" s="484">
        <f t="shared" si="67"/>
        <v>1404000</v>
      </c>
      <c r="N309" s="636">
        <v>26</v>
      </c>
      <c r="O309" s="637">
        <f>IFERROR(INDEX('[2]CN HĐ'!$J$10:$J$72,MATCH(B309,'[2]CN HĐ'!$H$10:$H$72,0)),"")</f>
        <v>27</v>
      </c>
      <c r="P309" s="638"/>
      <c r="Q309" s="484">
        <f t="shared" si="63"/>
        <v>1404000</v>
      </c>
      <c r="R309" s="639"/>
      <c r="S309" s="484">
        <v>0</v>
      </c>
      <c r="T309" s="640"/>
      <c r="U309" s="484">
        <v>0</v>
      </c>
      <c r="V309" s="679">
        <f t="shared" si="64"/>
        <v>46800</v>
      </c>
      <c r="W309" s="679"/>
      <c r="X309" s="952">
        <f t="shared" si="66"/>
        <v>1404000</v>
      </c>
      <c r="Y309" s="912">
        <f t="shared" si="57"/>
        <v>0.78</v>
      </c>
      <c r="Z309" s="509">
        <v>1800000</v>
      </c>
      <c r="AA309" s="715">
        <f t="shared" si="58"/>
        <v>1404000</v>
      </c>
      <c r="AB309" s="642">
        <f t="shared" si="65"/>
        <v>278</v>
      </c>
      <c r="AC309" s="643">
        <f>IFERROR(INDEX('[2]CN HĐ'!$M$10:$M$72,MATCH(B309,'[2]CN HĐ'!$H$10:$H$72,0)),"")</f>
        <v>0</v>
      </c>
      <c r="AD309" s="647"/>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4">
        <v>1603205639357</v>
      </c>
      <c r="F310" s="644"/>
      <c r="G310" s="644"/>
      <c r="H310" s="383" t="s">
        <v>2038</v>
      </c>
      <c r="I310" s="635">
        <v>5257980</v>
      </c>
      <c r="J310" s="383" t="str">
        <f>VLOOKUP(B310,TH!B299:J631,9,FALSE)</f>
        <v>NV Lái xe</v>
      </c>
      <c r="K310" s="484">
        <f t="shared" si="62"/>
        <v>3680585.9999999995</v>
      </c>
      <c r="L310" s="636" t="str">
        <f>VLOOKUP(B310,'[1]Gui chi Quynh'!$B$11:$E$400,4,FALSE)</f>
        <v>A2</v>
      </c>
      <c r="M310" s="484">
        <f t="shared" si="67"/>
        <v>5152820</v>
      </c>
      <c r="N310" s="636">
        <v>26</v>
      </c>
      <c r="O310" s="637">
        <f>IFERROR(INDEX('[2]CN HĐ'!$J$10:$J$72,MATCH(B310,'[2]CN HĐ'!$H$10:$H$72,0)),"")</f>
        <v>29</v>
      </c>
      <c r="P310" s="638" t="e">
        <f>IF(M310&gt;#REF!,M310,#REF!)</f>
        <v>#REF!</v>
      </c>
      <c r="Q310" s="484">
        <f t="shared" si="63"/>
        <v>5152820</v>
      </c>
      <c r="R310" s="639"/>
      <c r="S310" s="484">
        <v>0</v>
      </c>
      <c r="T310" s="640"/>
      <c r="U310" s="484">
        <v>0</v>
      </c>
      <c r="V310" s="679">
        <f t="shared" si="64"/>
        <v>52579.8</v>
      </c>
      <c r="W310" s="679"/>
      <c r="X310" s="952">
        <f t="shared" si="66"/>
        <v>5152820</v>
      </c>
      <c r="Y310" s="912">
        <f t="shared" si="57"/>
        <v>2.8626777777777779</v>
      </c>
      <c r="Z310" s="509">
        <v>1800000</v>
      </c>
      <c r="AA310" s="715">
        <f t="shared" si="58"/>
        <v>5152820</v>
      </c>
      <c r="AB310" s="642">
        <f t="shared" si="65"/>
        <v>279</v>
      </c>
      <c r="AC310" s="643">
        <f>IFERROR(INDEX('[2]CN HĐ'!$M$10:$M$72,MATCH(B310,'[2]CN HĐ'!$H$10:$H$72,0)),"")</f>
        <v>0</v>
      </c>
      <c r="AD310" s="647"/>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6">
        <v>1603205641829</v>
      </c>
      <c r="F311" s="646"/>
      <c r="G311" s="646"/>
      <c r="H311" s="383" t="s">
        <v>2031</v>
      </c>
      <c r="I311" s="635">
        <v>5159700</v>
      </c>
      <c r="J311" s="383" t="str">
        <f>VLOOKUP(B311,TH!B300:J632,9,FALSE)</f>
        <v>NV Phuc vụ Phòng TC - HC - TH</v>
      </c>
      <c r="K311" s="484">
        <f t="shared" si="62"/>
        <v>1547910</v>
      </c>
      <c r="L311" s="636" t="str">
        <f>VLOOKUP(B311,'[1]Gui chi Quynh'!$B$11:$E$400,4,FALSE)</f>
        <v>A2</v>
      </c>
      <c r="M311" s="484">
        <f t="shared" si="67"/>
        <v>2167074</v>
      </c>
      <c r="N311" s="636">
        <v>26</v>
      </c>
      <c r="O311" s="637">
        <f>IFERROR(INDEX('[2]CN HĐ'!$J$10:$J$72,MATCH(B311,'[2]CN HĐ'!$H$10:$H$72,0)),"")</f>
        <v>26</v>
      </c>
      <c r="P311" s="638" t="e">
        <f>IF(M311&gt;#REF!,M311,#REF!)</f>
        <v>#REF!</v>
      </c>
      <c r="Q311" s="484">
        <f t="shared" si="63"/>
        <v>2167074</v>
      </c>
      <c r="R311" s="639"/>
      <c r="S311" s="484">
        <v>0</v>
      </c>
      <c r="T311" s="640"/>
      <c r="U311" s="484">
        <v>0</v>
      </c>
      <c r="V311" s="679">
        <f t="shared" si="64"/>
        <v>51597</v>
      </c>
      <c r="W311" s="679"/>
      <c r="X311" s="952">
        <f t="shared" si="66"/>
        <v>2167074</v>
      </c>
      <c r="Y311" s="912">
        <f t="shared" si="57"/>
        <v>1.2039299999999999</v>
      </c>
      <c r="Z311" s="509">
        <v>1800000</v>
      </c>
      <c r="AA311" s="715">
        <f t="shared" si="58"/>
        <v>2167074</v>
      </c>
      <c r="AB311" s="642">
        <f t="shared" si="65"/>
        <v>280</v>
      </c>
      <c r="AC311" s="643">
        <f>IFERROR(INDEX('[2]CN HĐ'!$M$10:$M$72,MATCH(B311,'[2]CN HĐ'!$H$10:$H$72,0)),"")</f>
        <v>0</v>
      </c>
      <c r="AD311" s="647"/>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6"/>
      <c r="F312" s="646"/>
      <c r="G312" s="646"/>
      <c r="H312" s="383" t="s">
        <v>2042</v>
      </c>
      <c r="I312" s="635">
        <v>5358132</v>
      </c>
      <c r="J312" s="383" t="str">
        <f>VLOOKUP(B312,TH!B301:J633,9,FALSE)</f>
        <v>Nhân viên phòng Thanh tra GD - Công tác SV</v>
      </c>
      <c r="K312" s="484">
        <f t="shared" si="62"/>
        <v>3750692.4</v>
      </c>
      <c r="L312" s="636" t="str">
        <f>VLOOKUP(B312,'[1]Gui chi Quynh'!$B$11:$E$400,4,FALSE)</f>
        <v>A4</v>
      </c>
      <c r="M312" s="484">
        <f t="shared" si="67"/>
        <v>3750692</v>
      </c>
      <c r="N312" s="636">
        <v>26</v>
      </c>
      <c r="O312" s="637">
        <f>IFERROR(INDEX('[2]CN HĐ'!$J$10:$J$72,MATCH(B312,'[2]CN HĐ'!$H$10:$H$72,0)),"")</f>
        <v>26</v>
      </c>
      <c r="P312" s="638"/>
      <c r="Q312" s="484">
        <f t="shared" si="63"/>
        <v>3750692</v>
      </c>
      <c r="R312" s="639"/>
      <c r="S312" s="484">
        <v>0</v>
      </c>
      <c r="T312" s="640"/>
      <c r="U312" s="484">
        <v>0</v>
      </c>
      <c r="V312" s="484">
        <f t="shared" si="64"/>
        <v>53581.32</v>
      </c>
      <c r="W312" s="484"/>
      <c r="X312" s="952">
        <f t="shared" si="66"/>
        <v>3750692</v>
      </c>
      <c r="Y312" s="912">
        <f t="shared" si="57"/>
        <v>2.0837177777777778</v>
      </c>
      <c r="Z312" s="509">
        <v>1800000</v>
      </c>
      <c r="AA312" s="715">
        <f t="shared" si="58"/>
        <v>3750692</v>
      </c>
      <c r="AB312" s="642">
        <f t="shared" si="65"/>
        <v>281</v>
      </c>
      <c r="AC312" s="643">
        <f>IFERROR(INDEX('[2]CN HĐ'!$M$10:$M$72,MATCH(B312,'[2]CN HĐ'!$H$10:$H$72,0)),"")</f>
        <v>0</v>
      </c>
      <c r="AD312" s="648"/>
      <c r="AE312" s="505"/>
    </row>
    <row r="313" spans="1:53" s="387" customFormat="1" ht="30.75" customHeight="1">
      <c r="A313" s="33">
        <f>_xlfn.AGGREGATE(4,7,A$29:A312)+1</f>
        <v>282</v>
      </c>
      <c r="B313" s="378" t="s">
        <v>2057</v>
      </c>
      <c r="C313" s="390"/>
      <c r="D313" s="451" t="s">
        <v>2058</v>
      </c>
      <c r="E313" s="646" t="s">
        <v>1256</v>
      </c>
      <c r="F313" s="646"/>
      <c r="G313" s="646"/>
      <c r="H313" s="383" t="s">
        <v>2038</v>
      </c>
      <c r="I313" s="635">
        <v>8992930</v>
      </c>
      <c r="J313" s="383" t="str">
        <f>VLOOKUP(B313,TH!B302:J634,9,FALSE)</f>
        <v>NV Phòng Tổ chức - Hành chính - Tổng hợp</v>
      </c>
      <c r="K313" s="484">
        <f t="shared" si="62"/>
        <v>6295051</v>
      </c>
      <c r="L313" s="636" t="str">
        <f>VLOOKUP(B313,'[1]Gui chi Quynh'!$B$11:$E$400,4,FALSE)</f>
        <v>A4</v>
      </c>
      <c r="M313" s="484">
        <f t="shared" si="67"/>
        <v>6295051</v>
      </c>
      <c r="N313" s="636">
        <v>26</v>
      </c>
      <c r="O313" s="637">
        <f>IFERROR(INDEX('[2]CN HĐ'!$J$10:$J$72,MATCH(B313,'[2]CN HĐ'!$H$10:$H$72,0)),"")</f>
        <v>26</v>
      </c>
      <c r="P313" s="638"/>
      <c r="Q313" s="484">
        <f t="shared" si="63"/>
        <v>6295051</v>
      </c>
      <c r="R313" s="639"/>
      <c r="S313" s="484">
        <v>0</v>
      </c>
      <c r="T313" s="640"/>
      <c r="U313" s="484">
        <v>0</v>
      </c>
      <c r="V313" s="679">
        <f t="shared" si="64"/>
        <v>89929.3</v>
      </c>
      <c r="W313" s="679"/>
      <c r="X313" s="952">
        <f t="shared" si="66"/>
        <v>6295051</v>
      </c>
      <c r="Y313" s="912">
        <f t="shared" si="57"/>
        <v>3.4972505555555555</v>
      </c>
      <c r="Z313" s="509">
        <v>1800000</v>
      </c>
      <c r="AA313" s="715">
        <f t="shared" si="58"/>
        <v>6295051</v>
      </c>
      <c r="AB313" s="642">
        <f t="shared" si="65"/>
        <v>282</v>
      </c>
      <c r="AC313" s="643">
        <f>IFERROR(INDEX('[2]CN HĐ'!$M$10:$M$72,MATCH(B313,'[2]CN HĐ'!$H$10:$H$72,0)),"")</f>
        <v>0</v>
      </c>
      <c r="AD313" s="649"/>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6"/>
      <c r="F314" s="646"/>
      <c r="G314" s="646"/>
      <c r="H314" s="383" t="s">
        <v>2031</v>
      </c>
      <c r="I314" s="635">
        <v>4680000</v>
      </c>
      <c r="J314" s="383" t="str">
        <f>VLOOKUP(B314,TH!B303:J635,9,FALSE)</f>
        <v>Nhân viên bảo vệ</v>
      </c>
      <c r="K314" s="484">
        <f t="shared" si="62"/>
        <v>1404000</v>
      </c>
      <c r="L314" s="636" t="str">
        <f>VLOOKUP(B314,'[1]Gui chi Quynh'!$B$11:$E$400,4,FALSE)</f>
        <v>A3</v>
      </c>
      <c r="M314" s="484">
        <f t="shared" si="67"/>
        <v>1684800</v>
      </c>
      <c r="N314" s="636">
        <v>26</v>
      </c>
      <c r="O314" s="637">
        <f>IFERROR(INDEX('[2]CN HĐ'!$J$10:$J$72,MATCH(B314,'[2]CN HĐ'!$H$10:$H$72,0)),"")</f>
        <v>25</v>
      </c>
      <c r="P314" s="638"/>
      <c r="Q314" s="484">
        <f t="shared" si="63"/>
        <v>1620000</v>
      </c>
      <c r="R314" s="639"/>
      <c r="S314" s="484">
        <v>0</v>
      </c>
      <c r="T314" s="640"/>
      <c r="U314" s="484">
        <v>0</v>
      </c>
      <c r="V314" s="679">
        <f t="shared" si="64"/>
        <v>46800</v>
      </c>
      <c r="W314" s="679"/>
      <c r="X314" s="952">
        <f t="shared" si="66"/>
        <v>1620000</v>
      </c>
      <c r="Y314" s="912">
        <f t="shared" si="57"/>
        <v>0.9</v>
      </c>
      <c r="Z314" s="509">
        <v>1800000</v>
      </c>
      <c r="AA314" s="715">
        <f t="shared" si="58"/>
        <v>1620000</v>
      </c>
      <c r="AB314" s="642">
        <f t="shared" si="65"/>
        <v>283</v>
      </c>
      <c r="AC314" s="643" t="str">
        <f>IFERROR(INDEX('[2]CN HĐ'!$M$10:$M$72,MATCH(B314,'[2]CN HĐ'!$H$10:$H$72,0)),"")</f>
        <v>Trừ 1 ngày nghỉ phép 16/3</v>
      </c>
      <c r="AD314" s="650"/>
      <c r="AE314" s="505"/>
    </row>
    <row r="315" spans="1:53" s="387" customFormat="1" ht="30" customHeight="1">
      <c r="A315" s="33">
        <f>_xlfn.AGGREGATE(4,7,A$29:A314)+1</f>
        <v>284</v>
      </c>
      <c r="B315" s="378" t="s">
        <v>2060</v>
      </c>
      <c r="C315" s="390"/>
      <c r="D315" s="451" t="s">
        <v>2061</v>
      </c>
      <c r="E315" s="646" t="s">
        <v>1275</v>
      </c>
      <c r="F315" s="646"/>
      <c r="G315" s="646"/>
      <c r="H315" s="86" t="s">
        <v>2042</v>
      </c>
      <c r="I315" s="635">
        <v>8041111</v>
      </c>
      <c r="J315" s="383" t="str">
        <f>VLOOKUP(B315,TH!B304:J636,9,FALSE)</f>
        <v>NV Phòng Tổ chức - Hành chính - Tổng hợp</v>
      </c>
      <c r="K315" s="484">
        <f t="shared" si="62"/>
        <v>5628777.6999999993</v>
      </c>
      <c r="L315" s="636" t="str">
        <f>VLOOKUP(B315,'[1]Gui chi Quynh'!$B$11:$E$400,4,FALSE)</f>
        <v>A3</v>
      </c>
      <c r="M315" s="484">
        <f t="shared" si="67"/>
        <v>6754533</v>
      </c>
      <c r="N315" s="636">
        <v>26</v>
      </c>
      <c r="O315" s="637">
        <f>IFERROR(INDEX('[2]CN HĐ'!$J$10:$J$72,MATCH(B315,'[2]CN HĐ'!$H$10:$H$72,0)),"")</f>
        <v>24.5</v>
      </c>
      <c r="P315" s="638"/>
      <c r="Q315" s="484">
        <f t="shared" si="63"/>
        <v>6364848</v>
      </c>
      <c r="R315" s="639"/>
      <c r="S315" s="484">
        <v>0</v>
      </c>
      <c r="T315" s="640"/>
      <c r="U315" s="484">
        <v>0</v>
      </c>
      <c r="V315" s="679">
        <f t="shared" si="64"/>
        <v>80411.11</v>
      </c>
      <c r="W315" s="679">
        <v>3756025.5599999996</v>
      </c>
      <c r="X315" s="952">
        <f t="shared" si="66"/>
        <v>10120873.559999999</v>
      </c>
      <c r="Y315" s="912">
        <f t="shared" si="57"/>
        <v>5.6227075333333323</v>
      </c>
      <c r="Z315" s="509">
        <v>1800000</v>
      </c>
      <c r="AA315" s="715">
        <f t="shared" si="58"/>
        <v>10120873.559999999</v>
      </c>
      <c r="AB315" s="642">
        <f t="shared" si="65"/>
        <v>284</v>
      </c>
      <c r="AC315" s="643" t="str">
        <f>IFERROR(INDEX('[2]CN HĐ'!$M$10:$M$72,MATCH(B315,'[2]CN HĐ'!$H$10:$H$72,0)),"")</f>
        <v>Trừ 1 ngày nghỉ phép 23/3</v>
      </c>
      <c r="AD315" s="649"/>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6" t="s">
        <v>2064</v>
      </c>
      <c r="F316" s="646"/>
      <c r="G316" s="646"/>
      <c r="H316" s="383" t="s">
        <v>2042</v>
      </c>
      <c r="I316" s="635">
        <v>7023418</v>
      </c>
      <c r="J316" s="383" t="str">
        <f>VLOOKUP(B316,TH!B305:J637,9,FALSE)</f>
        <v>NV P. QT 
Dịch vụ</v>
      </c>
      <c r="K316" s="484">
        <f t="shared" si="62"/>
        <v>4916392.5999999996</v>
      </c>
      <c r="L316" s="636" t="str">
        <f>VLOOKUP(B316,'[1]Gui chi Quynh'!$B$11:$E$400,4,FALSE)</f>
        <v>A4</v>
      </c>
      <c r="M316" s="484">
        <f t="shared" si="67"/>
        <v>4916393</v>
      </c>
      <c r="N316" s="636">
        <v>26</v>
      </c>
      <c r="O316" s="637">
        <f>IFERROR(INDEX('[2]CN HĐ'!$J$10:$J$72,MATCH(B316,'[2]CN HĐ'!$H$10:$H$72,0)),"")</f>
        <v>23</v>
      </c>
      <c r="P316" s="638" t="e">
        <f>IF(M316&gt;#REF!,M316,#REF!)</f>
        <v>#REF!</v>
      </c>
      <c r="Q316" s="484">
        <f t="shared" si="63"/>
        <v>4349117</v>
      </c>
      <c r="R316" s="639"/>
      <c r="S316" s="484">
        <v>0</v>
      </c>
      <c r="T316" s="640"/>
      <c r="U316" s="484">
        <v>0</v>
      </c>
      <c r="V316" s="679">
        <f t="shared" si="64"/>
        <v>70234.180000000008</v>
      </c>
      <c r="W316" s="679"/>
      <c r="X316" s="952">
        <f t="shared" si="66"/>
        <v>4349117</v>
      </c>
      <c r="Y316" s="912">
        <f t="shared" si="57"/>
        <v>2.4161761111111111</v>
      </c>
      <c r="Z316" s="509">
        <v>1800000</v>
      </c>
      <c r="AA316" s="715">
        <f t="shared" si="58"/>
        <v>4349117</v>
      </c>
      <c r="AB316" s="642">
        <f t="shared" si="65"/>
        <v>285</v>
      </c>
      <c r="AC316" s="643"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6">
        <v>1603205186060</v>
      </c>
      <c r="F317" s="646"/>
      <c r="G317" s="646"/>
      <c r="H317" s="383" t="s">
        <v>2038</v>
      </c>
      <c r="I317" s="635">
        <v>6391108</v>
      </c>
      <c r="J317" s="383" t="str">
        <f>VLOOKUP(B317,TH!B306:J638,9,FALSE)</f>
        <v>NV Phòng Quản trị - Dịch vụ</v>
      </c>
      <c r="K317" s="484">
        <f t="shared" si="62"/>
        <v>4473775.5999999996</v>
      </c>
      <c r="L317" s="636" t="str">
        <f>VLOOKUP(B317,'[1]Gui chi Quynh'!$B$11:$E$400,4,FALSE)</f>
        <v>A2</v>
      </c>
      <c r="M317" s="484">
        <f t="shared" si="67"/>
        <v>6263286</v>
      </c>
      <c r="N317" s="636">
        <v>26</v>
      </c>
      <c r="O317" s="637">
        <f>IFERROR(INDEX('[2]CN HĐ'!$J$10:$J$72,MATCH(B317,'[2]CN HĐ'!$H$10:$H$72,0)),"")</f>
        <v>26</v>
      </c>
      <c r="P317" s="638" t="e">
        <f>IF(M317&gt;#REF!,M317,#REF!)</f>
        <v>#REF!</v>
      </c>
      <c r="Q317" s="484">
        <f t="shared" si="63"/>
        <v>6263286</v>
      </c>
      <c r="R317" s="639"/>
      <c r="S317" s="484">
        <v>0</v>
      </c>
      <c r="T317" s="640"/>
      <c r="U317" s="484">
        <v>0</v>
      </c>
      <c r="V317" s="679">
        <f t="shared" si="64"/>
        <v>63911.08</v>
      </c>
      <c r="W317" s="679"/>
      <c r="X317" s="952">
        <f t="shared" si="66"/>
        <v>6263286</v>
      </c>
      <c r="Y317" s="912">
        <f t="shared" si="57"/>
        <v>3.4796033333333334</v>
      </c>
      <c r="Z317" s="509">
        <v>1800000</v>
      </c>
      <c r="AA317" s="715">
        <f t="shared" si="58"/>
        <v>6263286</v>
      </c>
      <c r="AB317" s="642">
        <f t="shared" si="65"/>
        <v>286</v>
      </c>
      <c r="AC317" s="643">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6">
        <v>1603205327532</v>
      </c>
      <c r="F318" s="646"/>
      <c r="G318" s="646"/>
      <c r="H318" s="383" t="s">
        <v>2042</v>
      </c>
      <c r="I318" s="635">
        <v>8041111</v>
      </c>
      <c r="J318" s="383" t="str">
        <f>VLOOKUP(B318,TH!B307:J639,9,FALSE)</f>
        <v>NV bảo trì</v>
      </c>
      <c r="K318" s="484">
        <f t="shared" si="62"/>
        <v>5628777.6999999993</v>
      </c>
      <c r="L318" s="636" t="str">
        <f>VLOOKUP(B318,'[1]Gui chi Quynh'!$B$11:$E$400,4,FALSE)</f>
        <v>A2</v>
      </c>
      <c r="M318" s="484">
        <f t="shared" si="67"/>
        <v>7880289</v>
      </c>
      <c r="N318" s="636">
        <v>26</v>
      </c>
      <c r="O318" s="637">
        <f>IFERROR(INDEX('[2]CN HĐ'!$J$10:$J$72,MATCH(B318,'[2]CN HĐ'!$H$10:$H$72,0)),"")</f>
        <v>28</v>
      </c>
      <c r="P318" s="638" t="e">
        <f>IF(M318&gt;#REF!,M318,#REF!)</f>
        <v>#REF!</v>
      </c>
      <c r="Q318" s="484">
        <f t="shared" si="63"/>
        <v>7880289</v>
      </c>
      <c r="R318" s="639"/>
      <c r="S318" s="484">
        <v>0</v>
      </c>
      <c r="T318" s="640"/>
      <c r="U318" s="484">
        <v>0</v>
      </c>
      <c r="V318" s="679">
        <f t="shared" si="64"/>
        <v>80411.11</v>
      </c>
      <c r="W318" s="679"/>
      <c r="X318" s="952">
        <f t="shared" si="66"/>
        <v>7880289</v>
      </c>
      <c r="Y318" s="912">
        <f t="shared" si="57"/>
        <v>4.3779383333333337</v>
      </c>
      <c r="Z318" s="509">
        <v>1800000</v>
      </c>
      <c r="AA318" s="715">
        <f t="shared" si="58"/>
        <v>7880289.0000000009</v>
      </c>
      <c r="AB318" s="642">
        <f t="shared" si="65"/>
        <v>287</v>
      </c>
      <c r="AC318" s="643">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4" t="s">
        <v>2072</v>
      </c>
      <c r="F319" s="634"/>
      <c r="G319" s="634"/>
      <c r="H319" s="383" t="s">
        <v>2038</v>
      </c>
      <c r="I319" s="635">
        <v>5520879</v>
      </c>
      <c r="J319" s="383" t="str">
        <f>VLOOKUP(B319,TH!B308:J640,9,FALSE)</f>
        <v>NV P. QT 
Dịch vụ</v>
      </c>
      <c r="K319" s="484">
        <f t="shared" si="62"/>
        <v>3864615.3</v>
      </c>
      <c r="L319" s="636" t="str">
        <f>VLOOKUP(B319,'[1]Gui chi Quynh'!$B$11:$E$400,4,FALSE)</f>
        <v>A3</v>
      </c>
      <c r="M319" s="484">
        <f t="shared" si="67"/>
        <v>4637538</v>
      </c>
      <c r="N319" s="636">
        <v>26</v>
      </c>
      <c r="O319" s="637">
        <f>IFERROR(INDEX('[2]CN HĐ'!$J$10:$J$72,MATCH(B319,'[2]CN HĐ'!$H$10:$H$72,0)),"")</f>
        <v>24</v>
      </c>
      <c r="P319" s="638" t="e">
        <f>IF(M319&gt;#REF!,M319,#REF!)</f>
        <v>#REF!</v>
      </c>
      <c r="Q319" s="484">
        <f t="shared" si="63"/>
        <v>4280804</v>
      </c>
      <c r="R319" s="639"/>
      <c r="S319" s="484">
        <v>0</v>
      </c>
      <c r="T319" s="640"/>
      <c r="U319" s="484">
        <v>0</v>
      </c>
      <c r="V319" s="679">
        <f t="shared" si="64"/>
        <v>55208.79</v>
      </c>
      <c r="W319" s="679"/>
      <c r="X319" s="952">
        <f t="shared" si="66"/>
        <v>4280804</v>
      </c>
      <c r="Y319" s="912">
        <f t="shared" si="57"/>
        <v>2.3782244444444443</v>
      </c>
      <c r="Z319" s="509">
        <v>1800000</v>
      </c>
      <c r="AA319" s="715">
        <f t="shared" si="58"/>
        <v>4280804</v>
      </c>
      <c r="AB319" s="642">
        <f t="shared" si="65"/>
        <v>288</v>
      </c>
      <c r="AC319" s="643"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1" t="s">
        <v>1266</v>
      </c>
      <c r="F320" s="651"/>
      <c r="G320" s="651"/>
      <c r="H320" s="383" t="s">
        <v>2038</v>
      </c>
      <c r="I320" s="635">
        <v>6086769</v>
      </c>
      <c r="J320" s="383" t="str">
        <f>VLOOKUP(B320,TH!B309:J641,9,FALSE)</f>
        <v>NV P. QT 
Dịch vụ</v>
      </c>
      <c r="K320" s="484">
        <f t="shared" si="62"/>
        <v>4260738.3</v>
      </c>
      <c r="L320" s="636" t="str">
        <f>VLOOKUP(B320,'[1]Gui chi Quynh'!$B$11:$E$400,4,FALSE)</f>
        <v>A3</v>
      </c>
      <c r="M320" s="484">
        <f t="shared" si="67"/>
        <v>5112886</v>
      </c>
      <c r="N320" s="636">
        <v>26</v>
      </c>
      <c r="O320" s="637">
        <f>IFERROR(INDEX('[2]CN HĐ'!$J$10:$J$72,MATCH(B320,'[2]CN HĐ'!$H$10:$H$72,0)),"")</f>
        <v>26</v>
      </c>
      <c r="P320" s="638" t="e">
        <f>IF(M320&gt;#REF!,M320,#REF!)</f>
        <v>#REF!</v>
      </c>
      <c r="Q320" s="484">
        <f t="shared" si="63"/>
        <v>5112886</v>
      </c>
      <c r="R320" s="639"/>
      <c r="S320" s="484">
        <v>0</v>
      </c>
      <c r="T320" s="652"/>
      <c r="U320" s="484">
        <v>0</v>
      </c>
      <c r="V320" s="679">
        <f t="shared" si="64"/>
        <v>60867.69</v>
      </c>
      <c r="W320" s="679"/>
      <c r="X320" s="952">
        <f t="shared" si="66"/>
        <v>5112886</v>
      </c>
      <c r="Y320" s="912">
        <f t="shared" si="57"/>
        <v>2.8404922222222222</v>
      </c>
      <c r="Z320" s="509">
        <v>1800000</v>
      </c>
      <c r="AA320" s="715">
        <f t="shared" si="58"/>
        <v>5112886</v>
      </c>
      <c r="AB320" s="642">
        <f t="shared" si="65"/>
        <v>289</v>
      </c>
      <c r="AC320" s="643">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6">
        <v>1603205185856</v>
      </c>
      <c r="F321" s="646"/>
      <c r="G321" s="646"/>
      <c r="H321" s="383" t="s">
        <v>2031</v>
      </c>
      <c r="I321" s="635">
        <v>8004388</v>
      </c>
      <c r="J321" s="383" t="str">
        <f>VLOOKUP(B321,TH!B310:J642,9,FALSE)</f>
        <v>NV Phục vụ</v>
      </c>
      <c r="K321" s="484">
        <f t="shared" si="62"/>
        <v>2401316.4</v>
      </c>
      <c r="L321" s="636" t="str">
        <f>VLOOKUP(B321,'[1]Gui chi Quynh'!$B$11:$E$400,4,FALSE)</f>
        <v>A2</v>
      </c>
      <c r="M321" s="484">
        <f t="shared" si="67"/>
        <v>3361843</v>
      </c>
      <c r="N321" s="636">
        <v>26</v>
      </c>
      <c r="O321" s="637">
        <f>IFERROR(INDEX('[2]CN HĐ'!$J$10:$J$72,MATCH(B321,'[2]CN HĐ'!$H$10:$H$72,0)),"")</f>
        <v>26</v>
      </c>
      <c r="P321" s="638" t="e">
        <f>IF(M321&gt;#REF!,M321,#REF!)</f>
        <v>#REF!</v>
      </c>
      <c r="Q321" s="484">
        <f t="shared" si="63"/>
        <v>3361843</v>
      </c>
      <c r="R321" s="639"/>
      <c r="S321" s="484">
        <v>0</v>
      </c>
      <c r="T321" s="640"/>
      <c r="U321" s="484">
        <v>0</v>
      </c>
      <c r="V321" s="679">
        <f t="shared" si="64"/>
        <v>80043.88</v>
      </c>
      <c r="W321" s="679"/>
      <c r="X321" s="952">
        <f t="shared" si="66"/>
        <v>3361843</v>
      </c>
      <c r="Y321" s="912">
        <f t="shared" si="57"/>
        <v>1.8676905555555556</v>
      </c>
      <c r="Z321" s="509">
        <v>1800000</v>
      </c>
      <c r="AA321" s="715">
        <f t="shared" si="58"/>
        <v>3361843</v>
      </c>
      <c r="AB321" s="642">
        <f t="shared" si="65"/>
        <v>290</v>
      </c>
      <c r="AC321" s="643">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4" t="s">
        <v>2079</v>
      </c>
      <c r="F322" s="634"/>
      <c r="G322" s="634"/>
      <c r="H322" s="383" t="s">
        <v>2031</v>
      </c>
      <c r="I322" s="635">
        <v>5159700</v>
      </c>
      <c r="J322" s="383" t="str">
        <f>VLOOKUP(B322,TH!B311:J643,9,FALSE)</f>
        <v>NV Phục vụ</v>
      </c>
      <c r="K322" s="484">
        <f t="shared" si="62"/>
        <v>1547910</v>
      </c>
      <c r="L322" s="636" t="str">
        <f>VLOOKUP(B322,'[1]Gui chi Quynh'!$B$11:$E$400,4,FALSE)</f>
        <v>A3</v>
      </c>
      <c r="M322" s="484">
        <f t="shared" si="67"/>
        <v>1857492</v>
      </c>
      <c r="N322" s="636">
        <v>26</v>
      </c>
      <c r="O322" s="637">
        <f>IFERROR(INDEX('[2]CN HĐ'!$J$10:$J$72,MATCH(B322,'[2]CN HĐ'!$H$10:$H$72,0)),"")</f>
        <v>26</v>
      </c>
      <c r="P322" s="638" t="e">
        <f>IF(M322&gt;#REF!,M322,#REF!)</f>
        <v>#REF!</v>
      </c>
      <c r="Q322" s="484">
        <f t="shared" si="63"/>
        <v>1857492</v>
      </c>
      <c r="R322" s="639"/>
      <c r="S322" s="484">
        <v>0</v>
      </c>
      <c r="T322" s="640"/>
      <c r="U322" s="484">
        <v>0</v>
      </c>
      <c r="V322" s="484">
        <f t="shared" si="64"/>
        <v>51597</v>
      </c>
      <c r="W322" s="484"/>
      <c r="X322" s="952">
        <f t="shared" si="66"/>
        <v>1857492</v>
      </c>
      <c r="Y322" s="912">
        <f t="shared" si="57"/>
        <v>1.0319400000000001</v>
      </c>
      <c r="Z322" s="509">
        <v>1800000</v>
      </c>
      <c r="AA322" s="715">
        <f t="shared" si="58"/>
        <v>1857492.0000000002</v>
      </c>
      <c r="AB322" s="642">
        <f t="shared" si="65"/>
        <v>291</v>
      </c>
      <c r="AC322" s="643">
        <f>IFERROR(INDEX('[2]CN HĐ'!$M$10:$M$72,MATCH(B322,'[2]CN HĐ'!$H$10:$H$72,0)),"")</f>
        <v>0</v>
      </c>
      <c r="AE322" s="505"/>
    </row>
    <row r="323" spans="1:70" s="387" customFormat="1" ht="28.5" customHeight="1">
      <c r="A323" s="33">
        <f>_xlfn.AGGREGATE(4,7,A$29:A322)+1</f>
        <v>292</v>
      </c>
      <c r="B323" s="378" t="s">
        <v>2080</v>
      </c>
      <c r="C323" s="390"/>
      <c r="D323" s="451"/>
      <c r="E323" s="653" t="s">
        <v>2081</v>
      </c>
      <c r="F323" s="653"/>
      <c r="G323" s="653"/>
      <c r="H323" s="383" t="s">
        <v>2031</v>
      </c>
      <c r="I323" s="635">
        <v>4914000</v>
      </c>
      <c r="J323" s="383" t="str">
        <f>VLOOKUP(B323,TH!B312:J644,9,FALSE)</f>
        <v>NV Phục vụ</v>
      </c>
      <c r="K323" s="484">
        <f t="shared" si="62"/>
        <v>1474200</v>
      </c>
      <c r="L323" s="636" t="str">
        <f>VLOOKUP(B323,'[1]Gui chi Quynh'!$B$11:$E$400,4,FALSE)</f>
        <v>A3</v>
      </c>
      <c r="M323" s="484">
        <f t="shared" si="67"/>
        <v>1769040</v>
      </c>
      <c r="N323" s="636">
        <v>26</v>
      </c>
      <c r="O323" s="637">
        <f>IFERROR(INDEX('[2]CN HĐ'!$J$10:$J$72,MATCH(B323,'[2]CN HĐ'!$H$10:$H$72,0)),"")</f>
        <v>26</v>
      </c>
      <c r="P323" s="638" t="e">
        <f>IF(M323&gt;#REF!,M323,#REF!)</f>
        <v>#REF!</v>
      </c>
      <c r="Q323" s="484">
        <f t="shared" si="63"/>
        <v>1769040</v>
      </c>
      <c r="R323" s="639"/>
      <c r="S323" s="484">
        <v>0</v>
      </c>
      <c r="T323" s="640"/>
      <c r="U323" s="484">
        <v>0</v>
      </c>
      <c r="V323" s="679">
        <f t="shared" si="64"/>
        <v>49140</v>
      </c>
      <c r="W323" s="679"/>
      <c r="X323" s="952">
        <f t="shared" si="66"/>
        <v>1769040</v>
      </c>
      <c r="Y323" s="912">
        <f t="shared" si="57"/>
        <v>0.98280000000000001</v>
      </c>
      <c r="Z323" s="509">
        <v>1800000</v>
      </c>
      <c r="AA323" s="715">
        <f t="shared" si="58"/>
        <v>1769040</v>
      </c>
      <c r="AB323" s="642">
        <f t="shared" si="65"/>
        <v>292</v>
      </c>
      <c r="AC323" s="643">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4" t="s">
        <v>2083</v>
      </c>
      <c r="F324" s="654"/>
      <c r="G324" s="654"/>
      <c r="H324" s="383" t="s">
        <v>2031</v>
      </c>
      <c r="I324" s="635">
        <v>4914000</v>
      </c>
      <c r="J324" s="383" t="str">
        <f>VLOOKUP(B324,TH!B313:J645,9,FALSE)</f>
        <v>NV Phục vụ</v>
      </c>
      <c r="K324" s="484">
        <f t="shared" si="62"/>
        <v>1474200</v>
      </c>
      <c r="L324" s="636" t="str">
        <f>VLOOKUP(B324,'[1]Gui chi Quynh'!$B$11:$E$400,4,FALSE)</f>
        <v>A3</v>
      </c>
      <c r="M324" s="484">
        <f t="shared" si="67"/>
        <v>1769040</v>
      </c>
      <c r="N324" s="636">
        <v>26</v>
      </c>
      <c r="O324" s="637">
        <f>IFERROR(INDEX('[2]CN HĐ'!$J$10:$J$72,MATCH(B324,'[2]CN HĐ'!$H$10:$H$72,0)),"")</f>
        <v>26</v>
      </c>
      <c r="P324" s="638" t="e">
        <f>IF(M324&gt;#REF!,M324,#REF!)</f>
        <v>#REF!</v>
      </c>
      <c r="Q324" s="484">
        <f t="shared" si="63"/>
        <v>1769040</v>
      </c>
      <c r="R324" s="639"/>
      <c r="S324" s="484">
        <v>0</v>
      </c>
      <c r="T324" s="640"/>
      <c r="U324" s="484">
        <v>0</v>
      </c>
      <c r="V324" s="679">
        <f t="shared" si="64"/>
        <v>49140</v>
      </c>
      <c r="W324" s="679"/>
      <c r="X324" s="952">
        <f t="shared" si="66"/>
        <v>1769040</v>
      </c>
      <c r="Y324" s="912">
        <f t="shared" si="57"/>
        <v>0.98280000000000001</v>
      </c>
      <c r="Z324" s="509">
        <v>1800000</v>
      </c>
      <c r="AA324" s="715">
        <f t="shared" si="58"/>
        <v>1769040</v>
      </c>
      <c r="AB324" s="642">
        <f t="shared" si="65"/>
        <v>293</v>
      </c>
      <c r="AC324" s="643">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4" t="s">
        <v>2085</v>
      </c>
      <c r="F325" s="654"/>
      <c r="G325" s="654"/>
      <c r="H325" s="383" t="s">
        <v>2031</v>
      </c>
      <c r="I325" s="635">
        <v>4914000</v>
      </c>
      <c r="J325" s="383" t="str">
        <f>VLOOKUP(B325,TH!B314:J646,9,FALSE)</f>
        <v>NV Phục vụ</v>
      </c>
      <c r="K325" s="484">
        <f t="shared" si="62"/>
        <v>1474200</v>
      </c>
      <c r="L325" s="636" t="str">
        <f>VLOOKUP(B325,'[1]Gui chi Quynh'!$B$11:$E$400,4,FALSE)</f>
        <v>A3</v>
      </c>
      <c r="M325" s="484">
        <f t="shared" si="67"/>
        <v>1769040</v>
      </c>
      <c r="N325" s="636">
        <v>26</v>
      </c>
      <c r="O325" s="637">
        <f>IFERROR(INDEX('[2]CN HĐ'!$J$10:$J$72,MATCH(B325,'[2]CN HĐ'!$H$10:$H$72,0)),"")</f>
        <v>26</v>
      </c>
      <c r="P325" s="638" t="e">
        <f>IF(M325&gt;#REF!,M325,#REF!)</f>
        <v>#REF!</v>
      </c>
      <c r="Q325" s="484">
        <f t="shared" si="63"/>
        <v>1769040</v>
      </c>
      <c r="R325" s="639"/>
      <c r="S325" s="484">
        <v>0</v>
      </c>
      <c r="T325" s="640"/>
      <c r="U325" s="484">
        <v>0</v>
      </c>
      <c r="V325" s="679">
        <f t="shared" si="64"/>
        <v>49140</v>
      </c>
      <c r="W325" s="679"/>
      <c r="X325" s="952">
        <f t="shared" si="66"/>
        <v>1769040</v>
      </c>
      <c r="Y325" s="912">
        <f t="shared" si="57"/>
        <v>0.98280000000000001</v>
      </c>
      <c r="Z325" s="509">
        <v>1800000</v>
      </c>
      <c r="AA325" s="715">
        <f t="shared" si="58"/>
        <v>1769040</v>
      </c>
      <c r="AB325" s="642">
        <f t="shared" si="65"/>
        <v>294</v>
      </c>
      <c r="AC325" s="643">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4"/>
      <c r="F326" s="654"/>
      <c r="G326" s="654"/>
      <c r="H326" s="383" t="s">
        <v>2031</v>
      </c>
      <c r="I326" s="635">
        <v>4914000</v>
      </c>
      <c r="J326" s="383" t="str">
        <f>VLOOKUP(B326,TH!B315:J647,9,FALSE)</f>
        <v>Nhân viên phòng Quản trị - Dịch vụ</v>
      </c>
      <c r="K326" s="484">
        <f t="shared" si="62"/>
        <v>1474200</v>
      </c>
      <c r="L326" s="636" t="str">
        <f>VLOOKUP(B326,'[1]Gui chi Quynh'!$B$11:$E$400,4,FALSE)</f>
        <v>A3</v>
      </c>
      <c r="M326" s="484">
        <f t="shared" si="67"/>
        <v>1769040</v>
      </c>
      <c r="N326" s="636">
        <v>26</v>
      </c>
      <c r="O326" s="637">
        <f>IFERROR(INDEX('[2]CN HĐ'!$J$10:$J$72,MATCH(B326,'[2]CN HĐ'!$H$10:$H$72,0)),"")</f>
        <v>26</v>
      </c>
      <c r="P326" s="638"/>
      <c r="Q326" s="484">
        <f t="shared" si="63"/>
        <v>1769040</v>
      </c>
      <c r="R326" s="639"/>
      <c r="S326" s="484">
        <v>0</v>
      </c>
      <c r="T326" s="640"/>
      <c r="U326" s="484">
        <v>0</v>
      </c>
      <c r="V326" s="679">
        <f t="shared" si="64"/>
        <v>49140</v>
      </c>
      <c r="W326" s="679"/>
      <c r="X326" s="952">
        <f t="shared" si="66"/>
        <v>1769040</v>
      </c>
      <c r="Y326" s="912">
        <f t="shared" si="57"/>
        <v>0.98280000000000001</v>
      </c>
      <c r="Z326" s="509">
        <v>1800000</v>
      </c>
      <c r="AA326" s="715">
        <f t="shared" si="58"/>
        <v>1769040</v>
      </c>
      <c r="AB326" s="642">
        <f t="shared" si="65"/>
        <v>295</v>
      </c>
      <c r="AC326" s="643">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4"/>
      <c r="F327" s="654"/>
      <c r="G327" s="654"/>
      <c r="H327" s="383" t="s">
        <v>2031</v>
      </c>
      <c r="I327" s="635">
        <v>4914000</v>
      </c>
      <c r="J327" s="383" t="str">
        <f>VLOOKUP(B327,TH!B316:J648,9,FALSE)</f>
        <v>Nhân viên phòng Quản trị - Dịch vụ</v>
      </c>
      <c r="K327" s="484">
        <f t="shared" si="62"/>
        <v>1474200</v>
      </c>
      <c r="L327" s="636" t="str">
        <f>VLOOKUP(B327,'[1]Gui chi Quynh'!$B$11:$E$400,4,FALSE)</f>
        <v>A4</v>
      </c>
      <c r="M327" s="484">
        <f t="shared" si="67"/>
        <v>1474200</v>
      </c>
      <c r="N327" s="636">
        <v>26</v>
      </c>
      <c r="O327" s="637">
        <f>IFERROR(INDEX('[2]CN HĐ'!$J$10:$J$72,MATCH(B327,'[2]CN HĐ'!$H$10:$H$72,0)),"")</f>
        <v>27</v>
      </c>
      <c r="P327" s="638"/>
      <c r="Q327" s="484">
        <f t="shared" si="63"/>
        <v>1474200</v>
      </c>
      <c r="R327" s="639"/>
      <c r="S327" s="484">
        <v>0</v>
      </c>
      <c r="T327" s="640"/>
      <c r="U327" s="484">
        <v>0</v>
      </c>
      <c r="V327" s="679">
        <f t="shared" si="64"/>
        <v>49140</v>
      </c>
      <c r="W327" s="679"/>
      <c r="X327" s="952">
        <f t="shared" si="66"/>
        <v>1474200</v>
      </c>
      <c r="Y327" s="912">
        <f t="shared" si="57"/>
        <v>0.81899999999999995</v>
      </c>
      <c r="Z327" s="509">
        <v>1800000</v>
      </c>
      <c r="AA327" s="715">
        <f t="shared" si="58"/>
        <v>1474200</v>
      </c>
      <c r="AB327" s="642">
        <f t="shared" si="65"/>
        <v>296</v>
      </c>
      <c r="AC327" s="643">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4"/>
      <c r="F328" s="654"/>
      <c r="G328" s="654"/>
      <c r="H328" s="383" t="s">
        <v>2031</v>
      </c>
      <c r="I328" s="635">
        <v>4680000</v>
      </c>
      <c r="J328" s="383" t="str">
        <f>VLOOKUP(B328,TH!B317:J649,9,FALSE)</f>
        <v>Nhân viên phòng Quản trị - Dịch vụ</v>
      </c>
      <c r="K328" s="484">
        <f t="shared" si="62"/>
        <v>1404000</v>
      </c>
      <c r="L328" s="636" t="str">
        <f>VLOOKUP(B328,'[1]Gui chi Quynh'!$B$11:$E$400,4,FALSE)</f>
        <v>A2</v>
      </c>
      <c r="M328" s="484">
        <f t="shared" si="67"/>
        <v>1965600</v>
      </c>
      <c r="N328" s="636">
        <v>26</v>
      </c>
      <c r="O328" s="637">
        <f>IFERROR(INDEX('[2]CN HĐ'!$J$10:$J$72,MATCH(B328,'[2]CN HĐ'!$H$10:$H$72,0)),"")</f>
        <v>26</v>
      </c>
      <c r="P328" s="638"/>
      <c r="Q328" s="484">
        <f t="shared" si="63"/>
        <v>1965600</v>
      </c>
      <c r="R328" s="639"/>
      <c r="S328" s="484">
        <v>0</v>
      </c>
      <c r="T328" s="640"/>
      <c r="U328" s="484">
        <v>0</v>
      </c>
      <c r="V328" s="679">
        <f t="shared" si="64"/>
        <v>46800</v>
      </c>
      <c r="W328" s="679"/>
      <c r="X328" s="952">
        <f t="shared" si="66"/>
        <v>1965600</v>
      </c>
      <c r="Y328" s="912">
        <f t="shared" si="57"/>
        <v>1.0920000000000001</v>
      </c>
      <c r="Z328" s="509">
        <v>1800000</v>
      </c>
      <c r="AA328" s="715">
        <f t="shared" si="58"/>
        <v>1965600.0000000002</v>
      </c>
      <c r="AB328" s="642">
        <f t="shared" si="65"/>
        <v>297</v>
      </c>
      <c r="AC328" s="643">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6">
        <v>1603205194204</v>
      </c>
      <c r="F329" s="646"/>
      <c r="G329" s="646"/>
      <c r="H329" s="383" t="s">
        <v>2038</v>
      </c>
      <c r="I329" s="635">
        <v>7046196</v>
      </c>
      <c r="J329" s="383" t="str">
        <f>VLOOKUP(B329,TH!B318:J650,9,FALSE)</f>
        <v>Nhân viên Y tế</v>
      </c>
      <c r="K329" s="484">
        <f t="shared" si="62"/>
        <v>4932337.1999999993</v>
      </c>
      <c r="L329" s="636" t="str">
        <f>VLOOKUP(B329,'[1]Gui chi Quynh'!$B$11:$E$400,4,FALSE)</f>
        <v>A1</v>
      </c>
      <c r="M329" s="484">
        <f t="shared" si="67"/>
        <v>7891740</v>
      </c>
      <c r="N329" s="636">
        <v>26</v>
      </c>
      <c r="O329" s="637">
        <f>IFERROR(INDEX('[2]CN HĐ'!$J$10:$J$72,MATCH(B329,'[2]CN HĐ'!$H$10:$H$72,0)),"")</f>
        <v>26</v>
      </c>
      <c r="P329" s="638" t="e">
        <f>IF(M329&gt;#REF!,M329,#REF!)</f>
        <v>#REF!</v>
      </c>
      <c r="Q329" s="484">
        <f t="shared" si="63"/>
        <v>7891740</v>
      </c>
      <c r="R329" s="639"/>
      <c r="S329" s="484">
        <v>0</v>
      </c>
      <c r="T329" s="640"/>
      <c r="U329" s="484">
        <v>0</v>
      </c>
      <c r="V329" s="484">
        <f t="shared" si="64"/>
        <v>70461.960000000006</v>
      </c>
      <c r="W329" s="484">
        <v>3757969.5999999996</v>
      </c>
      <c r="X329" s="952">
        <f t="shared" si="66"/>
        <v>11649709.6</v>
      </c>
      <c r="Y329" s="912">
        <f t="shared" si="57"/>
        <v>6.4720608888888886</v>
      </c>
      <c r="Z329" s="509">
        <v>1800000</v>
      </c>
      <c r="AA329" s="715">
        <f t="shared" si="58"/>
        <v>11649709.6</v>
      </c>
      <c r="AB329" s="642">
        <f t="shared" si="65"/>
        <v>298</v>
      </c>
      <c r="AC329" s="643">
        <f>IFERROR(INDEX('[2]CN HĐ'!$M$10:$M$72,MATCH(B329,'[2]CN HĐ'!$H$10:$H$72,0)),"")</f>
        <v>0</v>
      </c>
      <c r="AD329" s="695"/>
    </row>
    <row r="330" spans="1:70" s="387" customFormat="1" ht="31.5" customHeight="1">
      <c r="A330" s="33">
        <f>_xlfn.AGGREGATE(4,7,A$29:A329)+1</f>
        <v>299</v>
      </c>
      <c r="B330" s="462" t="s">
        <v>2091</v>
      </c>
      <c r="C330" s="436"/>
      <c r="D330" s="435"/>
      <c r="E330" s="646"/>
      <c r="F330" s="646"/>
      <c r="G330" s="646"/>
      <c r="H330" s="383" t="s">
        <v>2031</v>
      </c>
      <c r="I330" s="635">
        <v>4680000</v>
      </c>
      <c r="J330" s="383" t="str">
        <f>VLOOKUP(B330,TH!B319:J651,9,FALSE)</f>
        <v>Nhân viên Ký túc xá</v>
      </c>
      <c r="K330" s="484">
        <f t="shared" si="62"/>
        <v>1404000</v>
      </c>
      <c r="L330" s="636" t="str">
        <f>VLOOKUP(B330,'[1]Gui chi Quynh'!$B$11:$E$400,4,FALSE)</f>
        <v>A4</v>
      </c>
      <c r="M330" s="484">
        <f t="shared" si="67"/>
        <v>1404000</v>
      </c>
      <c r="N330" s="636">
        <v>26</v>
      </c>
      <c r="O330" s="637">
        <f>IFERROR(INDEX('[2]CN HĐ'!$J$10:$J$72,MATCH(B330,'[2]CN HĐ'!$H$10:$H$72,0)),"")</f>
        <v>26</v>
      </c>
      <c r="P330" s="638"/>
      <c r="Q330" s="484">
        <f t="shared" si="63"/>
        <v>1404000</v>
      </c>
      <c r="R330" s="639"/>
      <c r="S330" s="484">
        <v>0</v>
      </c>
      <c r="T330" s="640"/>
      <c r="U330" s="484">
        <v>0</v>
      </c>
      <c r="V330" s="679">
        <f t="shared" si="64"/>
        <v>46800</v>
      </c>
      <c r="W330" s="679"/>
      <c r="X330" s="952">
        <f t="shared" si="66"/>
        <v>1404000</v>
      </c>
      <c r="Y330" s="912">
        <f t="shared" si="57"/>
        <v>0.78</v>
      </c>
      <c r="Z330" s="509">
        <v>1800000</v>
      </c>
      <c r="AA330" s="715">
        <f t="shared" si="58"/>
        <v>1404000</v>
      </c>
      <c r="AB330" s="642">
        <f t="shared" si="65"/>
        <v>299</v>
      </c>
      <c r="AC330" s="643">
        <f>IFERROR(INDEX('[2]CN HĐ'!$M$10:$M$72,MATCH(B330,'[2]CN HĐ'!$H$10:$H$72,0)),"")</f>
        <v>0</v>
      </c>
      <c r="AD330" s="648"/>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5" t="s">
        <v>2092</v>
      </c>
      <c r="C331" s="656"/>
      <c r="D331" s="435"/>
      <c r="E331" s="644" t="s">
        <v>2093</v>
      </c>
      <c r="F331" s="644"/>
      <c r="G331" s="644"/>
      <c r="H331" s="383" t="s">
        <v>2042</v>
      </c>
      <c r="I331" s="635">
        <v>12518663</v>
      </c>
      <c r="J331" s="383" t="str">
        <f>VLOOKUP(B331,TH!B320:J652,9,FALSE)</f>
        <v>Nhân viên</v>
      </c>
      <c r="K331" s="484">
        <f t="shared" si="62"/>
        <v>8763064.0999999996</v>
      </c>
      <c r="L331" s="636" t="str">
        <f>VLOOKUP(B331,'[1]Gui chi Quynh'!$B$11:$E$400,4,FALSE)</f>
        <v>A1</v>
      </c>
      <c r="M331" s="484">
        <f t="shared" si="67"/>
        <v>14020903</v>
      </c>
      <c r="N331" s="636">
        <v>26</v>
      </c>
      <c r="O331" s="637">
        <f>IFERROR(INDEX('[2]CN HĐ'!$J$10:$J$72,MATCH(B331,'[2]CN HĐ'!$H$10:$H$72,0)),"")</f>
        <v>31</v>
      </c>
      <c r="P331" s="638" t="e">
        <f>IF(M331&gt;#REF!,M331,#REF!)</f>
        <v>#REF!</v>
      </c>
      <c r="Q331" s="484">
        <f t="shared" si="63"/>
        <v>14020903</v>
      </c>
      <c r="R331" s="639"/>
      <c r="S331" s="484">
        <v>0</v>
      </c>
      <c r="T331" s="657"/>
      <c r="U331" s="484">
        <v>0</v>
      </c>
      <c r="V331" s="679">
        <f t="shared" si="64"/>
        <v>125186.63</v>
      </c>
      <c r="W331" s="679"/>
      <c r="X331" s="952">
        <f t="shared" si="66"/>
        <v>14020903</v>
      </c>
      <c r="Y331" s="912">
        <f t="shared" si="57"/>
        <v>7.7893905555555554</v>
      </c>
      <c r="Z331" s="509">
        <v>1800000</v>
      </c>
      <c r="AA331" s="715">
        <f t="shared" si="58"/>
        <v>14020903</v>
      </c>
      <c r="AB331" s="642">
        <f t="shared" si="65"/>
        <v>300</v>
      </c>
      <c r="AC331" s="643">
        <f>IFERROR(INDEX('[2]CN HĐ'!$M$10:$M$72,MATCH(B331,'[2]CN HĐ'!$H$10:$H$72,0)),"")</f>
        <v>0</v>
      </c>
      <c r="AD331" s="647"/>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4">
        <v>1603205341982</v>
      </c>
      <c r="F332" s="634"/>
      <c r="G332" s="634"/>
      <c r="H332" s="383" t="s">
        <v>2042</v>
      </c>
      <c r="I332" s="635">
        <v>7515057</v>
      </c>
      <c r="J332" s="383" t="str">
        <f>VLOOKUP(B332,TH!B321:J653,9,FALSE)</f>
        <v>NV Kế toán</v>
      </c>
      <c r="K332" s="484">
        <f t="shared" si="62"/>
        <v>5260539.8999999994</v>
      </c>
      <c r="L332" s="636" t="str">
        <f>VLOOKUP(B332,'[1]Gui chi Quynh'!$B$11:$E$400,4,FALSE)</f>
        <v>A2</v>
      </c>
      <c r="M332" s="484">
        <f t="shared" si="67"/>
        <v>7364756</v>
      </c>
      <c r="N332" s="636">
        <v>26</v>
      </c>
      <c r="O332" s="637">
        <f>IFERROR(INDEX('[2]CN HĐ'!$J$10:$J$72,MATCH(B332,'[2]CN HĐ'!$H$10:$H$72,0)),"")</f>
        <v>26</v>
      </c>
      <c r="P332" s="638" t="e">
        <f>IF(M332&gt;#REF!,M332,#REF!)</f>
        <v>#REF!</v>
      </c>
      <c r="Q332" s="484">
        <f t="shared" si="63"/>
        <v>7364756</v>
      </c>
      <c r="R332" s="639"/>
      <c r="S332" s="484">
        <v>0</v>
      </c>
      <c r="T332" s="484" t="e">
        <f>S332*#REF!*0.5</f>
        <v>#REF!</v>
      </c>
      <c r="U332" s="484">
        <v>0</v>
      </c>
      <c r="V332" s="679">
        <f t="shared" si="64"/>
        <v>75150.570000000007</v>
      </c>
      <c r="W332" s="679"/>
      <c r="X332" s="952">
        <f t="shared" si="66"/>
        <v>7364756</v>
      </c>
      <c r="Y332" s="912">
        <f t="shared" si="57"/>
        <v>4.0915311111111112</v>
      </c>
      <c r="Z332" s="509">
        <v>1800000</v>
      </c>
      <c r="AA332" s="715">
        <f t="shared" si="58"/>
        <v>7364756</v>
      </c>
      <c r="AB332" s="642">
        <f t="shared" si="65"/>
        <v>301</v>
      </c>
      <c r="AC332" s="643">
        <f>IFERROR(INDEX('[2]CN HĐ'!$M$10:$M$72,MATCH(B332,'[2]CN HĐ'!$H$10:$H$72,0)),"")</f>
        <v>0</v>
      </c>
      <c r="AD332" s="647"/>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3" t="s">
        <v>2097</v>
      </c>
      <c r="F333" s="653"/>
      <c r="G333" s="653"/>
      <c r="H333" s="383" t="s">
        <v>2042</v>
      </c>
      <c r="I333" s="635">
        <v>5733201</v>
      </c>
      <c r="J333" s="383" t="str">
        <f>VLOOKUP(B333,TH!B322:J654,9,FALSE)</f>
        <v>NV Kế toán</v>
      </c>
      <c r="K333" s="484">
        <f t="shared" si="62"/>
        <v>4013240.6999999997</v>
      </c>
      <c r="L333" s="636" t="str">
        <f>VLOOKUP(B333,'[1]Gui chi Quynh'!$B$11:$E$400,4,FALSE)</f>
        <v>A2</v>
      </c>
      <c r="M333" s="484">
        <f t="shared" si="67"/>
        <v>5618537</v>
      </c>
      <c r="N333" s="636">
        <v>26</v>
      </c>
      <c r="O333" s="637">
        <f>IFERROR(INDEX('[2]CN HĐ'!$J$10:$J$72,MATCH(B333,'[2]CN HĐ'!$H$10:$H$72,0)),"")</f>
        <v>26</v>
      </c>
      <c r="P333" s="638" t="e">
        <f>IF(M333&gt;#REF!,M333,#REF!)</f>
        <v>#REF!</v>
      </c>
      <c r="Q333" s="484">
        <f t="shared" si="63"/>
        <v>5618537</v>
      </c>
      <c r="R333" s="639"/>
      <c r="S333" s="484">
        <v>0</v>
      </c>
      <c r="T333" s="484"/>
      <c r="U333" s="484">
        <v>0</v>
      </c>
      <c r="V333" s="679">
        <f t="shared" si="64"/>
        <v>57332.01</v>
      </c>
      <c r="W333" s="679"/>
      <c r="X333" s="952">
        <f t="shared" si="66"/>
        <v>5618537</v>
      </c>
      <c r="Y333" s="912">
        <f t="shared" si="57"/>
        <v>3.1214094444444442</v>
      </c>
      <c r="Z333" s="509">
        <v>1800000</v>
      </c>
      <c r="AA333" s="715">
        <f t="shared" si="58"/>
        <v>5618537</v>
      </c>
      <c r="AB333" s="642">
        <f t="shared" si="65"/>
        <v>302</v>
      </c>
      <c r="AC333" s="643">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6"/>
      <c r="F334" s="646"/>
      <c r="G334" s="646"/>
      <c r="H334" s="383" t="s">
        <v>2042</v>
      </c>
      <c r="I334" s="635">
        <v>5733201</v>
      </c>
      <c r="J334" s="383" t="str">
        <f>VLOOKUP(B334,TH!B323:J655,9,FALSE)</f>
        <v>NV Kế toán</v>
      </c>
      <c r="K334" s="484">
        <f t="shared" si="62"/>
        <v>4013240.6999999997</v>
      </c>
      <c r="L334" s="636" t="str">
        <f>VLOOKUP(B334,'[1]Gui chi Quynh'!$B$11:$E$400,4,FALSE)</f>
        <v>A2</v>
      </c>
      <c r="M334" s="484">
        <f t="shared" si="67"/>
        <v>5618537</v>
      </c>
      <c r="N334" s="636">
        <v>26</v>
      </c>
      <c r="O334" s="637">
        <f>IFERROR(INDEX('[2]CN HĐ'!$J$10:$J$72,MATCH(B334,'[2]CN HĐ'!$H$10:$H$72,0)),"")</f>
        <v>26</v>
      </c>
      <c r="P334" s="638"/>
      <c r="Q334" s="484">
        <f t="shared" si="63"/>
        <v>5618537</v>
      </c>
      <c r="R334" s="639"/>
      <c r="S334" s="484">
        <v>0</v>
      </c>
      <c r="T334" s="484"/>
      <c r="U334" s="484">
        <v>0</v>
      </c>
      <c r="V334" s="679">
        <f t="shared" si="64"/>
        <v>57332.01</v>
      </c>
      <c r="W334" s="679">
        <v>3675676.1999999993</v>
      </c>
      <c r="X334" s="952">
        <f t="shared" si="66"/>
        <v>9294213.1999999993</v>
      </c>
      <c r="Y334" s="912">
        <f t="shared" si="57"/>
        <v>5.1634517777777775</v>
      </c>
      <c r="Z334" s="509">
        <v>1800000</v>
      </c>
      <c r="AA334" s="715">
        <f t="shared" si="58"/>
        <v>9294213.1999999993</v>
      </c>
      <c r="AB334" s="642">
        <f t="shared" si="65"/>
        <v>303</v>
      </c>
      <c r="AC334" s="643">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6"/>
      <c r="F335" s="646"/>
      <c r="G335" s="646"/>
      <c r="H335" s="383" t="s">
        <v>2042</v>
      </c>
      <c r="I335" s="635">
        <v>5358132</v>
      </c>
      <c r="J335" s="383" t="str">
        <f>VLOOKUP(B335,TH!B324:J656,9,FALSE)</f>
        <v>NV Kế toán</v>
      </c>
      <c r="K335" s="484">
        <f t="shared" si="62"/>
        <v>3750692.4</v>
      </c>
      <c r="L335" s="636" t="str">
        <f>VLOOKUP(B335,'[1]Gui chi Quynh'!$B$11:$E$400,4,FALSE)</f>
        <v>A3</v>
      </c>
      <c r="M335" s="484">
        <f t="shared" si="67"/>
        <v>4500831</v>
      </c>
      <c r="N335" s="636">
        <v>26</v>
      </c>
      <c r="O335" s="637">
        <f>IFERROR(INDEX('[2]CN HĐ'!$J$10:$J$72,MATCH(B335,'[2]CN HĐ'!$H$10:$H$72,0)),"")</f>
        <v>26</v>
      </c>
      <c r="P335" s="638"/>
      <c r="Q335" s="484">
        <f t="shared" si="63"/>
        <v>4500831</v>
      </c>
      <c r="R335" s="639"/>
      <c r="S335" s="484">
        <v>0</v>
      </c>
      <c r="T335" s="484"/>
      <c r="U335" s="484">
        <v>0</v>
      </c>
      <c r="V335" s="679">
        <f t="shared" si="64"/>
        <v>53581.32</v>
      </c>
      <c r="W335" s="679"/>
      <c r="X335" s="952">
        <f t="shared" si="66"/>
        <v>4500831</v>
      </c>
      <c r="Y335" s="912">
        <f t="shared" si="57"/>
        <v>2.5004616666666668</v>
      </c>
      <c r="Z335" s="509">
        <v>1800000</v>
      </c>
      <c r="AA335" s="715">
        <f t="shared" si="58"/>
        <v>4500831</v>
      </c>
      <c r="AB335" s="642">
        <f t="shared" si="65"/>
        <v>304</v>
      </c>
      <c r="AC335" s="643">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5" t="s">
        <v>2100</v>
      </c>
      <c r="C336" s="656" t="s">
        <v>1053</v>
      </c>
      <c r="D336" s="435" t="s">
        <v>2101</v>
      </c>
      <c r="E336" s="644">
        <v>1603205399011</v>
      </c>
      <c r="F336" s="644"/>
      <c r="G336" s="644"/>
      <c r="H336" s="86" t="s">
        <v>2042</v>
      </c>
      <c r="I336" s="635">
        <v>8041111</v>
      </c>
      <c r="J336" s="383" t="str">
        <f>VLOOKUP(B336,TH!B325:J657,9,FALSE)</f>
        <v>Nhân viên</v>
      </c>
      <c r="K336" s="484">
        <f t="shared" si="62"/>
        <v>5628777.6999999993</v>
      </c>
      <c r="L336" s="636" t="str">
        <f>VLOOKUP(B336,'[1]Gui chi Quynh'!$B$11:$E$400,4,FALSE)</f>
        <v>A3</v>
      </c>
      <c r="M336" s="484">
        <f t="shared" si="67"/>
        <v>6754533</v>
      </c>
      <c r="N336" s="636">
        <v>26</v>
      </c>
      <c r="O336" s="637">
        <f>IFERROR(INDEX('[2]CN HĐ'!$J$10:$J$72,MATCH(B336,'[2]CN HĐ'!$H$10:$H$72,0)),"")</f>
        <v>24</v>
      </c>
      <c r="P336" s="638" t="e">
        <f>IF(M336&gt;#REF!,M336,#REF!)</f>
        <v>#REF!</v>
      </c>
      <c r="Q336" s="484">
        <f t="shared" si="63"/>
        <v>6234954</v>
      </c>
      <c r="R336" s="639"/>
      <c r="S336" s="484">
        <v>0</v>
      </c>
      <c r="T336" s="657"/>
      <c r="U336" s="484">
        <v>0</v>
      </c>
      <c r="V336" s="679">
        <f t="shared" si="64"/>
        <v>80411.11</v>
      </c>
      <c r="W336" s="679"/>
      <c r="X336" s="952">
        <f t="shared" si="66"/>
        <v>6234954</v>
      </c>
      <c r="Y336" s="912">
        <f t="shared" si="57"/>
        <v>3.4638633333333333</v>
      </c>
      <c r="Z336" s="509">
        <v>1800000</v>
      </c>
      <c r="AA336" s="715">
        <f t="shared" si="58"/>
        <v>6234954</v>
      </c>
      <c r="AB336" s="642">
        <f t="shared" si="65"/>
        <v>305</v>
      </c>
      <c r="AC336" s="643"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4" t="s">
        <v>2105</v>
      </c>
      <c r="F337" s="634"/>
      <c r="G337" s="634"/>
      <c r="H337" s="383" t="s">
        <v>2038</v>
      </c>
      <c r="I337" s="635">
        <v>6086769</v>
      </c>
      <c r="J337" s="383" t="str">
        <f>VLOOKUP(B337,TH!B326:J658,9,FALSE)</f>
        <v>NV Phòng Quản trị - Dịch vụ</v>
      </c>
      <c r="K337" s="484">
        <f t="shared" si="62"/>
        <v>4260738.3</v>
      </c>
      <c r="L337" s="636" t="str">
        <f>VLOOKUP(B337,'[1]Gui chi Quynh'!$B$11:$E$400,4,FALSE)</f>
        <v>A4</v>
      </c>
      <c r="M337" s="484">
        <f t="shared" si="67"/>
        <v>4260738</v>
      </c>
      <c r="N337" s="636">
        <v>26</v>
      </c>
      <c r="O337" s="637">
        <f>IFERROR(INDEX('[2]CN HĐ'!$J$10:$J$72,MATCH(B337,'[2]CN HĐ'!$H$10:$H$72,0)),"")</f>
        <v>27</v>
      </c>
      <c r="P337" s="638" t="e">
        <f>IF(M337&gt;#REF!,M337,#REF!)</f>
        <v>#REF!</v>
      </c>
      <c r="Q337" s="484">
        <f t="shared" si="63"/>
        <v>4260738</v>
      </c>
      <c r="R337" s="639"/>
      <c r="S337" s="484">
        <v>0</v>
      </c>
      <c r="T337" s="640"/>
      <c r="U337" s="484">
        <v>0</v>
      </c>
      <c r="V337" s="679">
        <f t="shared" si="64"/>
        <v>60867.69</v>
      </c>
      <c r="W337" s="679"/>
      <c r="X337" s="952">
        <f t="shared" si="66"/>
        <v>4260738</v>
      </c>
      <c r="Y337" s="912">
        <f t="shared" si="57"/>
        <v>2.3670766666666667</v>
      </c>
      <c r="Z337" s="509">
        <v>1800000</v>
      </c>
      <c r="AA337" s="715">
        <f t="shared" si="58"/>
        <v>4260738</v>
      </c>
      <c r="AB337" s="642">
        <f t="shared" si="65"/>
        <v>306</v>
      </c>
      <c r="AC337" s="643">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6">
        <v>1603205192034</v>
      </c>
      <c r="F338" s="646"/>
      <c r="G338" s="646"/>
      <c r="H338" s="383" t="s">
        <v>2038</v>
      </c>
      <c r="I338" s="635">
        <v>6086769</v>
      </c>
      <c r="J338" s="383" t="s">
        <v>2206</v>
      </c>
      <c r="K338" s="484">
        <f t="shared" si="62"/>
        <v>4260738.3</v>
      </c>
      <c r="L338" s="636" t="str">
        <f>VLOOKUP(B338,'[1]Gui chi Quynh'!$B$11:$E$400,4,FALSE)</f>
        <v>A4</v>
      </c>
      <c r="M338" s="484">
        <f t="shared" si="67"/>
        <v>4260738</v>
      </c>
      <c r="N338" s="636">
        <v>26</v>
      </c>
      <c r="O338" s="637">
        <f>IFERROR(INDEX('[2]CN HĐ'!$J$10:$J$72,MATCH(B338,'[2]CN HĐ'!$H$10:$H$72,0)),"")</f>
        <v>25</v>
      </c>
      <c r="P338" s="638" t="e">
        <f>IF(M338&gt;#REF!,M338,#REF!)</f>
        <v>#REF!</v>
      </c>
      <c r="Q338" s="484">
        <f t="shared" si="63"/>
        <v>4096863</v>
      </c>
      <c r="R338" s="639"/>
      <c r="S338" s="484">
        <v>0</v>
      </c>
      <c r="T338" s="640"/>
      <c r="U338" s="484">
        <v>0</v>
      </c>
      <c r="V338" s="679">
        <f t="shared" si="64"/>
        <v>60867.69</v>
      </c>
      <c r="W338" s="679"/>
      <c r="X338" s="952">
        <f t="shared" si="66"/>
        <v>4096863</v>
      </c>
      <c r="Y338" s="912">
        <f t="shared" si="57"/>
        <v>2.2760349999999998</v>
      </c>
      <c r="Z338" s="509">
        <v>1800000</v>
      </c>
      <c r="AA338" s="715">
        <f t="shared" si="58"/>
        <v>4096862.9999999995</v>
      </c>
      <c r="AB338" s="642">
        <f t="shared" si="65"/>
        <v>307</v>
      </c>
      <c r="AC338" s="643"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6"/>
      <c r="F339" s="646"/>
      <c r="G339" s="646"/>
      <c r="H339" s="383" t="s">
        <v>2042</v>
      </c>
      <c r="I339" s="635">
        <v>5733201</v>
      </c>
      <c r="J339" s="383" t="s">
        <v>2206</v>
      </c>
      <c r="K339" s="484">
        <f t="shared" si="62"/>
        <v>4013240.6999999997</v>
      </c>
      <c r="L339" s="636" t="str">
        <f>VLOOKUP(B339,'[1]Gui chi Quynh'!$B$11:$E$400,4,FALSE)</f>
        <v>A2</v>
      </c>
      <c r="M339" s="484">
        <f t="shared" si="67"/>
        <v>5618537</v>
      </c>
      <c r="N339" s="636">
        <v>26</v>
      </c>
      <c r="O339" s="637">
        <f>IFERROR(INDEX('[2]CN HĐ'!$J$10:$J$72,MATCH(B339,'[2]CN HĐ'!$H$10:$H$72,0)),"")</f>
        <v>26</v>
      </c>
      <c r="P339" s="638" t="e">
        <f>IF(M339&gt;#REF!,M339,#REF!)</f>
        <v>#REF!</v>
      </c>
      <c r="Q339" s="484">
        <f t="shared" si="63"/>
        <v>5618537</v>
      </c>
      <c r="R339" s="639"/>
      <c r="S339" s="484">
        <v>0</v>
      </c>
      <c r="T339" s="640"/>
      <c r="U339" s="484">
        <v>0</v>
      </c>
      <c r="V339" s="679">
        <f t="shared" si="64"/>
        <v>57332.01</v>
      </c>
      <c r="W339" s="679"/>
      <c r="X339" s="952">
        <f t="shared" si="66"/>
        <v>5618537</v>
      </c>
      <c r="Y339" s="912">
        <f t="shared" si="57"/>
        <v>3.1214094444444442</v>
      </c>
      <c r="Z339" s="509">
        <v>1800000</v>
      </c>
      <c r="AA339" s="715">
        <f t="shared" si="58"/>
        <v>5618537</v>
      </c>
      <c r="AB339" s="642">
        <f t="shared" si="65"/>
        <v>308</v>
      </c>
      <c r="AC339" s="643">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6" t="s">
        <v>2109</v>
      </c>
      <c r="C340" s="907"/>
      <c r="D340" s="908"/>
      <c r="E340" s="680"/>
      <c r="F340" s="680"/>
      <c r="G340" s="680"/>
      <c r="H340" s="490" t="s">
        <v>2038</v>
      </c>
      <c r="I340" s="658">
        <v>5257980</v>
      </c>
      <c r="J340" s="490" t="s">
        <v>2206</v>
      </c>
      <c r="K340" s="659">
        <f t="shared" si="62"/>
        <v>3680585.9999999995</v>
      </c>
      <c r="L340" s="660" t="str">
        <f>VLOOKUP(B340,'[1]Gui chi Quynh'!$B$11:$E$400,4,FALSE)</f>
        <v>B1</v>
      </c>
      <c r="M340" s="659">
        <f t="shared" si="67"/>
        <v>2576410</v>
      </c>
      <c r="N340" s="660">
        <v>26</v>
      </c>
      <c r="O340" s="661">
        <v>21</v>
      </c>
      <c r="P340" s="662"/>
      <c r="Q340" s="659">
        <f t="shared" si="63"/>
        <v>2080947</v>
      </c>
      <c r="R340" s="663"/>
      <c r="S340" s="659">
        <v>0</v>
      </c>
      <c r="T340" s="664"/>
      <c r="U340" s="659">
        <v>0</v>
      </c>
      <c r="V340" s="659">
        <f t="shared" si="64"/>
        <v>52579.8</v>
      </c>
      <c r="W340" s="659">
        <v>1121702.3999999999</v>
      </c>
      <c r="X340" s="952">
        <f t="shared" si="66"/>
        <v>3202649.4</v>
      </c>
      <c r="Y340" s="961">
        <f t="shared" si="57"/>
        <v>1.7792496666666666</v>
      </c>
      <c r="Z340" s="909">
        <v>1800000</v>
      </c>
      <c r="AA340" s="758">
        <f t="shared" si="58"/>
        <v>3202649.4</v>
      </c>
      <c r="AB340" s="665">
        <f t="shared" si="65"/>
        <v>309</v>
      </c>
      <c r="AC340" s="666"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6">
        <v>1603205355935</v>
      </c>
      <c r="F341" s="646"/>
      <c r="G341" s="646"/>
      <c r="H341" s="383" t="s">
        <v>2038</v>
      </c>
      <c r="I341" s="635">
        <v>5520879</v>
      </c>
      <c r="J341" s="383" t="s">
        <v>2206</v>
      </c>
      <c r="K341" s="484">
        <f t="shared" si="62"/>
        <v>3864615.3</v>
      </c>
      <c r="L341" s="636" t="str">
        <f>VLOOKUP(B341,'[1]Gui chi Quynh'!$B$11:$E$400,4,FALSE)</f>
        <v>A3</v>
      </c>
      <c r="M341" s="484">
        <f t="shared" si="67"/>
        <v>4637538</v>
      </c>
      <c r="N341" s="636">
        <v>26</v>
      </c>
      <c r="O341" s="637">
        <f>IFERROR(INDEX('[2]CN HĐ'!$J$10:$J$72,MATCH(B341,'[2]CN HĐ'!$H$10:$H$72,0)),"")</f>
        <v>26</v>
      </c>
      <c r="P341" s="638" t="e">
        <f>IF(M341&gt;#REF!,M341,#REF!)</f>
        <v>#REF!</v>
      </c>
      <c r="Q341" s="484">
        <f t="shared" si="63"/>
        <v>4637538</v>
      </c>
      <c r="R341" s="639"/>
      <c r="S341" s="484">
        <v>0</v>
      </c>
      <c r="T341" s="640"/>
      <c r="U341" s="484">
        <v>0</v>
      </c>
      <c r="V341" s="484">
        <f t="shared" si="64"/>
        <v>55208.79</v>
      </c>
      <c r="W341" s="484"/>
      <c r="X341" s="952">
        <f t="shared" si="66"/>
        <v>4637538</v>
      </c>
      <c r="Y341" s="912">
        <f t="shared" si="57"/>
        <v>2.5764100000000001</v>
      </c>
      <c r="Z341" s="509">
        <v>1800000</v>
      </c>
      <c r="AA341" s="715">
        <f t="shared" si="58"/>
        <v>4637538</v>
      </c>
      <c r="AB341" s="642">
        <f t="shared" si="65"/>
        <v>310</v>
      </c>
      <c r="AC341" s="643">
        <f>IFERROR(INDEX('[2]CN HĐ'!$M$10:$M$72,MATCH(B341,'[2]CN HĐ'!$H$10:$H$72,0)),"")</f>
        <v>0</v>
      </c>
    </row>
    <row r="342" spans="1:53" s="387" customFormat="1" ht="29.25" customHeight="1">
      <c r="A342" s="33">
        <f>_xlfn.AGGREGATE(4,7,A$29:A341)+1</f>
        <v>311</v>
      </c>
      <c r="B342" s="462" t="s">
        <v>2113</v>
      </c>
      <c r="C342" s="436"/>
      <c r="D342" s="435"/>
      <c r="E342" s="634">
        <v>1603205639363</v>
      </c>
      <c r="F342" s="634"/>
      <c r="G342" s="634"/>
      <c r="H342" s="383" t="s">
        <v>2042</v>
      </c>
      <c r="I342" s="635">
        <v>5733201</v>
      </c>
      <c r="J342" s="383" t="s">
        <v>2206</v>
      </c>
      <c r="K342" s="484">
        <f t="shared" si="62"/>
        <v>4013240.6999999997</v>
      </c>
      <c r="L342" s="636" t="str">
        <f>VLOOKUP(B342,'[1]Gui chi Quynh'!$B$11:$E$400,4,FALSE)</f>
        <v>A4</v>
      </c>
      <c r="M342" s="484">
        <f t="shared" si="67"/>
        <v>4013241</v>
      </c>
      <c r="N342" s="636">
        <v>26</v>
      </c>
      <c r="O342" s="637">
        <f>IFERROR(INDEX('[2]CN HĐ'!$J$10:$J$72,MATCH(B342,'[2]CN HĐ'!$H$10:$H$72,0)),"")</f>
        <v>26</v>
      </c>
      <c r="P342" s="638" t="e">
        <f>IF(M342&gt;#REF!,M342,#REF!)</f>
        <v>#REF!</v>
      </c>
      <c r="Q342" s="484">
        <f t="shared" si="63"/>
        <v>4013241</v>
      </c>
      <c r="R342" s="639"/>
      <c r="S342" s="484">
        <v>0</v>
      </c>
      <c r="T342" s="640"/>
      <c r="U342" s="484">
        <v>0</v>
      </c>
      <c r="V342" s="679">
        <f t="shared" si="64"/>
        <v>57332.01</v>
      </c>
      <c r="W342" s="679"/>
      <c r="X342" s="952">
        <f t="shared" si="66"/>
        <v>4013241</v>
      </c>
      <c r="Y342" s="912">
        <f t="shared" si="57"/>
        <v>2.2295783333333334</v>
      </c>
      <c r="Z342" s="509">
        <v>1800000</v>
      </c>
      <c r="AA342" s="715">
        <f t="shared" si="58"/>
        <v>4013241</v>
      </c>
      <c r="AB342" s="642">
        <f t="shared" si="65"/>
        <v>311</v>
      </c>
      <c r="AC342" s="643">
        <f>IFERROR(INDEX('[2]CN HĐ'!$M$10:$M$72,MATCH(B342,'[2]CN HĐ'!$H$10:$H$72,0)),"")</f>
        <v>0</v>
      </c>
    </row>
    <row r="343" spans="1:53" s="387" customFormat="1" ht="39" customHeight="1">
      <c r="A343" s="33">
        <f>_xlfn.AGGREGATE(4,7,A$29:A342)+1</f>
        <v>312</v>
      </c>
      <c r="B343" s="462" t="s">
        <v>2114</v>
      </c>
      <c r="C343" s="436" t="s">
        <v>2115</v>
      </c>
      <c r="D343" s="435" t="s">
        <v>2116</v>
      </c>
      <c r="E343" s="634">
        <v>1603205324898</v>
      </c>
      <c r="F343" s="634"/>
      <c r="G343" s="634"/>
      <c r="H343" s="383" t="s">
        <v>2042</v>
      </c>
      <c r="I343" s="635">
        <v>7515057</v>
      </c>
      <c r="J343" s="383" t="str">
        <f>VLOOKUP(B343,TH!B332:J664,9,FALSE)</f>
        <v>Nhân viên phòng KHCN &amp; HTQT</v>
      </c>
      <c r="K343" s="484">
        <f t="shared" si="62"/>
        <v>5260539.8999999994</v>
      </c>
      <c r="L343" s="636" t="str">
        <f>VLOOKUP(B343,'[1]Gui chi Quynh'!$B$11:$E$400,4,FALSE)</f>
        <v>A1</v>
      </c>
      <c r="M343" s="484">
        <f t="shared" si="67"/>
        <v>8416864</v>
      </c>
      <c r="N343" s="636">
        <v>26</v>
      </c>
      <c r="O343" s="637">
        <f>IFERROR(INDEX('[2]CN HĐ'!$J$10:$J$72,MATCH(B343,'[2]CN HĐ'!$H$10:$H$72,0)),"")</f>
        <v>26</v>
      </c>
      <c r="P343" s="638" t="e">
        <f>IF(M343&gt;#REF!,M343,#REF!)</f>
        <v>#REF!</v>
      </c>
      <c r="Q343" s="484">
        <f t="shared" si="63"/>
        <v>8416864</v>
      </c>
      <c r="R343" s="639"/>
      <c r="S343" s="484">
        <v>0</v>
      </c>
      <c r="T343" s="640"/>
      <c r="U343" s="484">
        <v>0</v>
      </c>
      <c r="V343" s="679">
        <f t="shared" si="64"/>
        <v>75150.570000000007</v>
      </c>
      <c r="W343" s="679"/>
      <c r="X343" s="952">
        <f t="shared" si="66"/>
        <v>8416864</v>
      </c>
      <c r="Y343" s="912">
        <f t="shared" si="57"/>
        <v>4.6760355555555559</v>
      </c>
      <c r="Z343" s="509">
        <v>1800000</v>
      </c>
      <c r="AA343" s="715">
        <f t="shared" si="58"/>
        <v>8416864</v>
      </c>
      <c r="AB343" s="642">
        <f t="shared" si="65"/>
        <v>312</v>
      </c>
      <c r="AC343" s="643">
        <f>IFERROR(INDEX('[2]CN HĐ'!$M$10:$M$72,MATCH(B343,'[2]CN HĐ'!$H$10:$H$72,0)),"")</f>
        <v>0</v>
      </c>
    </row>
    <row r="344" spans="1:53" s="387" customFormat="1" ht="33" customHeight="1">
      <c r="A344" s="33">
        <f>_xlfn.AGGREGATE(4,7,A$29:A343)+1</f>
        <v>313</v>
      </c>
      <c r="B344" s="462" t="s">
        <v>2117</v>
      </c>
      <c r="C344" s="436"/>
      <c r="D344" s="435"/>
      <c r="E344" s="644" t="s">
        <v>2118</v>
      </c>
      <c r="F344" s="644"/>
      <c r="G344" s="644"/>
      <c r="H344" s="383" t="s">
        <v>2042</v>
      </c>
      <c r="I344" s="635">
        <v>5733201</v>
      </c>
      <c r="J344" s="383" t="str">
        <f>VLOOKUP(B344,TH!B333:J665,9,FALSE)</f>
        <v>Nhân viên phòng KHCN &amp; HTQT</v>
      </c>
      <c r="K344" s="484">
        <f t="shared" si="62"/>
        <v>4013240.6999999997</v>
      </c>
      <c r="L344" s="636" t="str">
        <f>VLOOKUP(B344,'[1]Gui chi Quynh'!$B$11:$E$400,4,FALSE)</f>
        <v>A4</v>
      </c>
      <c r="M344" s="484">
        <f t="shared" si="67"/>
        <v>4013241</v>
      </c>
      <c r="N344" s="636">
        <v>26</v>
      </c>
      <c r="O344" s="637">
        <f>IFERROR(INDEX('[2]CN HĐ'!$J$10:$J$72,MATCH(B344,'[2]CN HĐ'!$H$10:$H$72,0)),"")</f>
        <v>26</v>
      </c>
      <c r="P344" s="638" t="e">
        <f>IF(M344&gt;#REF!,M344,#REF!)</f>
        <v>#REF!</v>
      </c>
      <c r="Q344" s="484">
        <f t="shared" si="63"/>
        <v>4013241</v>
      </c>
      <c r="R344" s="639"/>
      <c r="S344" s="484">
        <v>0</v>
      </c>
      <c r="T344" s="640"/>
      <c r="U344" s="484">
        <v>0</v>
      </c>
      <c r="V344" s="679">
        <f t="shared" si="64"/>
        <v>57332.01</v>
      </c>
      <c r="W344" s="679"/>
      <c r="X344" s="952">
        <f t="shared" si="66"/>
        <v>4013241</v>
      </c>
      <c r="Y344" s="912">
        <f t="shared" si="57"/>
        <v>2.2295783333333334</v>
      </c>
      <c r="Z344" s="509">
        <v>1800000</v>
      </c>
      <c r="AA344" s="715">
        <f t="shared" si="58"/>
        <v>4013241</v>
      </c>
      <c r="AB344" s="642">
        <f t="shared" si="65"/>
        <v>313</v>
      </c>
      <c r="AC344" s="643">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4" t="s">
        <v>2122</v>
      </c>
      <c r="F345" s="634"/>
      <c r="G345" s="634"/>
      <c r="H345" s="86" t="s">
        <v>2042</v>
      </c>
      <c r="I345" s="635">
        <v>5733201</v>
      </c>
      <c r="J345" s="383" t="s">
        <v>2206</v>
      </c>
      <c r="K345" s="484">
        <f t="shared" si="62"/>
        <v>4013240.6999999997</v>
      </c>
      <c r="L345" s="636" t="str">
        <f>VLOOKUP(B345,'[1]Gui chi Quynh'!$B$11:$E$400,4,FALSE)</f>
        <v>A3</v>
      </c>
      <c r="M345" s="484">
        <f t="shared" si="67"/>
        <v>4815889</v>
      </c>
      <c r="N345" s="636">
        <v>26</v>
      </c>
      <c r="O345" s="637">
        <f>IFERROR(INDEX('[2]CN HĐ'!$J$10:$J$72,MATCH(B345,'[2]CN HĐ'!$H$10:$H$72,0)),"")</f>
        <v>27</v>
      </c>
      <c r="P345" s="638" t="e">
        <f>IF(M345&gt;#REF!,M345,#REF!)</f>
        <v>#REF!</v>
      </c>
      <c r="Q345" s="484">
        <f t="shared" si="63"/>
        <v>4815889</v>
      </c>
      <c r="R345" s="639"/>
      <c r="S345" s="484">
        <v>0</v>
      </c>
      <c r="T345" s="640"/>
      <c r="U345" s="484">
        <v>0</v>
      </c>
      <c r="V345" s="679">
        <f t="shared" si="64"/>
        <v>57332.01</v>
      </c>
      <c r="W345" s="679"/>
      <c r="X345" s="952">
        <f t="shared" si="66"/>
        <v>4815889</v>
      </c>
      <c r="Y345" s="912">
        <f t="shared" si="57"/>
        <v>2.6754938888888891</v>
      </c>
      <c r="Z345" s="509">
        <v>1800000</v>
      </c>
      <c r="AA345" s="715">
        <f t="shared" si="58"/>
        <v>4815889</v>
      </c>
      <c r="AB345" s="642">
        <f t="shared" si="65"/>
        <v>314</v>
      </c>
      <c r="AC345" s="643">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4">
        <v>1603205327079</v>
      </c>
      <c r="F346" s="634"/>
      <c r="G346" s="634"/>
      <c r="H346" s="383" t="s">
        <v>2038</v>
      </c>
      <c r="I346" s="635">
        <v>6391108</v>
      </c>
      <c r="J346" s="383" t="s">
        <v>2206</v>
      </c>
      <c r="K346" s="484">
        <f t="shared" si="62"/>
        <v>4473775.5999999996</v>
      </c>
      <c r="L346" s="636" t="str">
        <f>VLOOKUP(B346,'[1]Gui chi Quynh'!$B$11:$E$400,4,FALSE)</f>
        <v>A4</v>
      </c>
      <c r="M346" s="484">
        <f t="shared" si="67"/>
        <v>4473776</v>
      </c>
      <c r="N346" s="636">
        <v>26</v>
      </c>
      <c r="O346" s="637">
        <f>IFERROR(INDEX('[2]CN HĐ'!$J$10:$J$72,MATCH(B346,'[2]CN HĐ'!$H$10:$H$72,0)),"")</f>
        <v>26</v>
      </c>
      <c r="P346" s="638" t="e">
        <f>IF(M346&gt;#REF!,M346,#REF!)</f>
        <v>#REF!</v>
      </c>
      <c r="Q346" s="484">
        <f t="shared" si="63"/>
        <v>4473776</v>
      </c>
      <c r="R346" s="639"/>
      <c r="S346" s="484">
        <v>0</v>
      </c>
      <c r="T346" s="640"/>
      <c r="U346" s="484">
        <v>0</v>
      </c>
      <c r="V346" s="679">
        <f t="shared" si="64"/>
        <v>63911.08</v>
      </c>
      <c r="W346" s="679"/>
      <c r="X346" s="952">
        <f t="shared" si="66"/>
        <v>4473776</v>
      </c>
      <c r="Y346" s="912">
        <f t="shared" si="57"/>
        <v>2.4854311111111111</v>
      </c>
      <c r="Z346" s="509">
        <v>1800000</v>
      </c>
      <c r="AA346" s="715">
        <f t="shared" si="58"/>
        <v>4473776</v>
      </c>
      <c r="AB346" s="642">
        <f t="shared" si="65"/>
        <v>315</v>
      </c>
      <c r="AC346" s="643">
        <f>IFERROR(INDEX('[2]CN HĐ'!$M$10:$M$72,MATCH(B346,'[2]CN HĐ'!$H$10:$H$72,0)),"")</f>
        <v>0</v>
      </c>
    </row>
    <row r="347" spans="1:53" s="387" customFormat="1" ht="27.75" customHeight="1">
      <c r="A347" s="33">
        <f>_xlfn.AGGREGATE(4,7,A$29:A346)+1</f>
        <v>316</v>
      </c>
      <c r="B347" s="462" t="s">
        <v>2125</v>
      </c>
      <c r="C347" s="436" t="s">
        <v>1431</v>
      </c>
      <c r="D347" s="435" t="s">
        <v>2126</v>
      </c>
      <c r="E347" s="634" t="s">
        <v>2127</v>
      </c>
      <c r="F347" s="634"/>
      <c r="G347" s="634"/>
      <c r="H347" s="383" t="s">
        <v>2042</v>
      </c>
      <c r="I347" s="635">
        <v>6563942</v>
      </c>
      <c r="J347" s="383" t="str">
        <f>VLOOKUP(B347,TH!B336:J668,9,FALSE)</f>
        <v>NV Phòng Tuyển sinh - Đào tạo</v>
      </c>
      <c r="K347" s="484">
        <f t="shared" si="62"/>
        <v>4594759.3999999994</v>
      </c>
      <c r="L347" s="636" t="str">
        <f>VLOOKUP(B347,'[1]Gui chi Quynh'!$B$11:$E$400,4,FALSE)</f>
        <v>A2</v>
      </c>
      <c r="M347" s="484">
        <f t="shared" si="67"/>
        <v>6432663</v>
      </c>
      <c r="N347" s="636">
        <v>26</v>
      </c>
      <c r="O347" s="637">
        <f>IFERROR(INDEX('[2]CN HĐ'!$J$10:$J$72,MATCH(B347,'[2]CN HĐ'!$H$10:$H$72,0)),"")</f>
        <v>29</v>
      </c>
      <c r="P347" s="638" t="e">
        <f>IF(M347&gt;#REF!,M347,#REF!)</f>
        <v>#REF!</v>
      </c>
      <c r="Q347" s="484">
        <f>ROUND(IF(O347&gt;=N347,M347,M347/N347*O347),)</f>
        <v>6432663</v>
      </c>
      <c r="R347" s="639"/>
      <c r="S347" s="484">
        <v>0</v>
      </c>
      <c r="T347" s="640"/>
      <c r="U347" s="484">
        <v>0</v>
      </c>
      <c r="V347" s="679">
        <f t="shared" si="64"/>
        <v>65639.42</v>
      </c>
      <c r="W347" s="679"/>
      <c r="X347" s="952">
        <f t="shared" si="66"/>
        <v>6432663</v>
      </c>
      <c r="Y347" s="912">
        <f t="shared" si="57"/>
        <v>3.5737016666666666</v>
      </c>
      <c r="Z347" s="509">
        <v>1800000</v>
      </c>
      <c r="AA347" s="715">
        <f t="shared" si="58"/>
        <v>6432663</v>
      </c>
      <c r="AB347" s="642">
        <f t="shared" si="65"/>
        <v>316</v>
      </c>
      <c r="AC347" s="643">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4" t="s">
        <v>2130</v>
      </c>
      <c r="F348" s="634"/>
      <c r="G348" s="634"/>
      <c r="H348" s="383" t="s">
        <v>2042</v>
      </c>
      <c r="I348" s="635">
        <v>5733201</v>
      </c>
      <c r="J348" s="383" t="str">
        <f>VLOOKUP(B348,TH!B337:J669,9,FALSE)</f>
        <v>NV phòng TS - Đào tạo</v>
      </c>
      <c r="K348" s="484">
        <f t="shared" si="62"/>
        <v>4013240.6999999997</v>
      </c>
      <c r="L348" s="636" t="str">
        <f>VLOOKUP(B348,'[1]Gui chi Quynh'!$B$11:$E$400,4,FALSE)</f>
        <v>A3</v>
      </c>
      <c r="M348" s="484">
        <f t="shared" si="67"/>
        <v>4815889</v>
      </c>
      <c r="N348" s="636">
        <v>26</v>
      </c>
      <c r="O348" s="637">
        <f>IFERROR(INDEX('[2]CN HĐ'!$J$10:$J$72,MATCH(B348,'[2]CN HĐ'!$H$10:$H$72,0)),"")</f>
        <v>27.5</v>
      </c>
      <c r="P348" s="638" t="e">
        <f>IF(M348&gt;#REF!,M348,#REF!)</f>
        <v>#REF!</v>
      </c>
      <c r="Q348" s="484">
        <f t="shared" si="63"/>
        <v>4815889</v>
      </c>
      <c r="R348" s="639"/>
      <c r="S348" s="484">
        <v>0</v>
      </c>
      <c r="T348" s="640"/>
      <c r="U348" s="484">
        <v>0</v>
      </c>
      <c r="V348" s="679">
        <f t="shared" si="64"/>
        <v>57332.01</v>
      </c>
      <c r="W348" s="679"/>
      <c r="X348" s="952">
        <f t="shared" si="66"/>
        <v>4815889</v>
      </c>
      <c r="Y348" s="912">
        <f t="shared" si="57"/>
        <v>2.6754938888888891</v>
      </c>
      <c r="Z348" s="509">
        <v>1800000</v>
      </c>
      <c r="AA348" s="715">
        <f t="shared" si="58"/>
        <v>4815889</v>
      </c>
      <c r="AB348" s="642">
        <f t="shared" si="65"/>
        <v>317</v>
      </c>
      <c r="AC348" s="643">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4" t="s">
        <v>2133</v>
      </c>
      <c r="F349" s="634"/>
      <c r="G349" s="634"/>
      <c r="H349" s="383" t="s">
        <v>2042</v>
      </c>
      <c r="I349" s="635">
        <v>7515057</v>
      </c>
      <c r="J349" s="383" t="str">
        <f>VLOOKUP(B349,TH!B338:J670,9,FALSE)</f>
        <v>NV phòng TS - Đào tạo</v>
      </c>
      <c r="K349" s="484">
        <f t="shared" si="62"/>
        <v>5260539.8999999994</v>
      </c>
      <c r="L349" s="636" t="str">
        <f>VLOOKUP(B349,'[1]Gui chi Quynh'!$B$11:$E$400,4,FALSE)</f>
        <v>A2</v>
      </c>
      <c r="M349" s="484">
        <f t="shared" si="67"/>
        <v>7364756</v>
      </c>
      <c r="N349" s="636">
        <v>26</v>
      </c>
      <c r="O349" s="637">
        <f>IFERROR(INDEX('[2]CN HĐ'!$J$10:$J$72,MATCH(B349,'[2]CN HĐ'!$H$10:$H$72,0)),"")</f>
        <v>28</v>
      </c>
      <c r="P349" s="638" t="e">
        <f>IF(M349&gt;#REF!,M349,#REF!)</f>
        <v>#REF!</v>
      </c>
      <c r="Q349" s="484">
        <f t="shared" si="63"/>
        <v>7364756</v>
      </c>
      <c r="R349" s="639"/>
      <c r="S349" s="484">
        <v>0</v>
      </c>
      <c r="T349" s="640"/>
      <c r="U349" s="484">
        <v>0</v>
      </c>
      <c r="V349" s="679">
        <f t="shared" si="64"/>
        <v>75150.570000000007</v>
      </c>
      <c r="W349" s="679"/>
      <c r="X349" s="952">
        <f t="shared" si="66"/>
        <v>7364756</v>
      </c>
      <c r="Y349" s="912">
        <f t="shared" si="57"/>
        <v>4.0915311111111112</v>
      </c>
      <c r="Z349" s="509">
        <v>1800000</v>
      </c>
      <c r="AA349" s="715">
        <f t="shared" si="58"/>
        <v>7364756</v>
      </c>
      <c r="AB349" s="642">
        <f t="shared" si="65"/>
        <v>318</v>
      </c>
      <c r="AC349" s="643">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4" t="s">
        <v>2136</v>
      </c>
      <c r="F350" s="634"/>
      <c r="G350" s="634"/>
      <c r="H350" s="383" t="s">
        <v>2042</v>
      </c>
      <c r="I350" s="635">
        <v>8041111</v>
      </c>
      <c r="J350" s="383" t="str">
        <f>VLOOKUP(B350,TH!B339:J671,9,FALSE)</f>
        <v>NV phòng TS - Đào tạo</v>
      </c>
      <c r="K350" s="484">
        <f t="shared" si="62"/>
        <v>5628777.6999999993</v>
      </c>
      <c r="L350" s="636" t="str">
        <f>VLOOKUP(B350,'[1]Gui chi Quynh'!$B$11:$E$400,4,FALSE)</f>
        <v>A2</v>
      </c>
      <c r="M350" s="484">
        <f t="shared" si="67"/>
        <v>7880289</v>
      </c>
      <c r="N350" s="636">
        <v>26</v>
      </c>
      <c r="O350" s="637">
        <f>IFERROR(INDEX('[2]CN HĐ'!$J$10:$J$72,MATCH(B350,'[2]CN HĐ'!$H$10:$H$72,0)),"")</f>
        <v>27</v>
      </c>
      <c r="P350" s="638" t="e">
        <f>IF(M350&gt;#REF!,M350,#REF!)</f>
        <v>#REF!</v>
      </c>
      <c r="Q350" s="484">
        <f t="shared" si="63"/>
        <v>7880289</v>
      </c>
      <c r="R350" s="639"/>
      <c r="S350" s="484">
        <v>0</v>
      </c>
      <c r="T350" s="640"/>
      <c r="U350" s="484">
        <v>0</v>
      </c>
      <c r="V350" s="679">
        <f t="shared" si="64"/>
        <v>80411.11</v>
      </c>
      <c r="W350" s="679"/>
      <c r="X350" s="952">
        <f t="shared" si="66"/>
        <v>7880289</v>
      </c>
      <c r="Y350" s="912">
        <f t="shared" si="57"/>
        <v>4.3779383333333337</v>
      </c>
      <c r="Z350" s="509">
        <v>1800000</v>
      </c>
      <c r="AA350" s="715">
        <f t="shared" si="58"/>
        <v>7880289.0000000009</v>
      </c>
      <c r="AB350" s="642">
        <f t="shared" si="65"/>
        <v>319</v>
      </c>
      <c r="AC350" s="643">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4"/>
      <c r="F351" s="634"/>
      <c r="G351" s="634"/>
      <c r="H351" s="383" t="s">
        <v>2042</v>
      </c>
      <c r="I351" s="635">
        <f>5358132</f>
        <v>5358132</v>
      </c>
      <c r="J351" s="383" t="str">
        <f>VLOOKUP(B351,TH!B340:J672,9,FALSE)</f>
        <v>NV phòng TS - Đào tạo</v>
      </c>
      <c r="K351" s="484">
        <f t="shared" si="62"/>
        <v>3750692.4</v>
      </c>
      <c r="L351" s="636" t="str">
        <f>VLOOKUP(B351,'[1]Gui chi Quynh'!$B$11:$E$400,4,FALSE)</f>
        <v>A2</v>
      </c>
      <c r="M351" s="484">
        <f t="shared" si="67"/>
        <v>5250969</v>
      </c>
      <c r="N351" s="636">
        <v>26</v>
      </c>
      <c r="O351" s="637">
        <f>IFERROR(INDEX('[2]CN HĐ'!$J$10:$J$72,MATCH(B351,'[2]CN HĐ'!$H$10:$H$72,0)),"")</f>
        <v>28</v>
      </c>
      <c r="P351" s="638"/>
      <c r="Q351" s="484">
        <f t="shared" si="63"/>
        <v>5250969</v>
      </c>
      <c r="R351" s="639"/>
      <c r="S351" s="484">
        <v>0</v>
      </c>
      <c r="T351" s="640"/>
      <c r="U351" s="484">
        <v>0</v>
      </c>
      <c r="V351" s="679">
        <f t="shared" si="64"/>
        <v>53581.32</v>
      </c>
      <c r="W351" s="679"/>
      <c r="X351" s="952">
        <f t="shared" si="66"/>
        <v>5250969</v>
      </c>
      <c r="Y351" s="912">
        <f t="shared" si="57"/>
        <v>2.917205</v>
      </c>
      <c r="Z351" s="509">
        <v>1800000</v>
      </c>
      <c r="AA351" s="715">
        <f t="shared" si="58"/>
        <v>5250969</v>
      </c>
      <c r="AB351" s="642"/>
      <c r="AC351" s="643">
        <f>IFERROR(INDEX('[2]CN HĐ'!$M$10:$M$72,MATCH(B351,'[2]CN HĐ'!$H$10:$H$72,0)),"")</f>
        <v>0</v>
      </c>
    </row>
    <row r="352" spans="1:53" s="387" customFormat="1" ht="39.75" customHeight="1">
      <c r="A352" s="394">
        <f>_xlfn.AGGREGATE(4,7,A$29:A351)+1</f>
        <v>321</v>
      </c>
      <c r="B352" s="462" t="s">
        <v>2138</v>
      </c>
      <c r="C352" s="436" t="s">
        <v>2139</v>
      </c>
      <c r="D352" s="435" t="s">
        <v>2140</v>
      </c>
      <c r="E352" s="667" t="s">
        <v>2141</v>
      </c>
      <c r="F352" s="667"/>
      <c r="G352" s="667"/>
      <c r="H352" s="383" t="s">
        <v>2031</v>
      </c>
      <c r="I352" s="635">
        <v>5417685</v>
      </c>
      <c r="J352" s="383" t="str">
        <f>VLOOKUP(B352,TH!B341:J673,9,FALSE)</f>
        <v>NV TT Điều hành và QLDL</v>
      </c>
      <c r="K352" s="484">
        <f t="shared" si="62"/>
        <v>1625305.5</v>
      </c>
      <c r="L352" s="636" t="str">
        <f>VLOOKUP(B352,'[1]Gui chi Quynh'!$B$11:$E$400,4,FALSE)</f>
        <v>A4</v>
      </c>
      <c r="M352" s="484">
        <f t="shared" si="67"/>
        <v>1625306</v>
      </c>
      <c r="N352" s="636">
        <v>26</v>
      </c>
      <c r="O352" s="637">
        <f>IFERROR(INDEX('[2]CN HĐ'!$J$10:$J$72,MATCH(B352,'[2]CN HĐ'!$H$10:$H$72,0)),"")</f>
        <v>22</v>
      </c>
      <c r="P352" s="638" t="e">
        <f>IF(M352&gt;#REF!,M352,#REF!)</f>
        <v>#REF!</v>
      </c>
      <c r="Q352" s="484">
        <f t="shared" si="63"/>
        <v>1375259</v>
      </c>
      <c r="R352" s="639"/>
      <c r="S352" s="484">
        <v>0</v>
      </c>
      <c r="T352" s="640"/>
      <c r="U352" s="484">
        <v>0</v>
      </c>
      <c r="V352" s="679">
        <f t="shared" si="64"/>
        <v>54176.85</v>
      </c>
      <c r="W352" s="679"/>
      <c r="X352" s="952">
        <f t="shared" si="66"/>
        <v>1375259</v>
      </c>
      <c r="Y352" s="912">
        <f t="shared" si="57"/>
        <v>0.76403277777777778</v>
      </c>
      <c r="Z352" s="509">
        <v>1800000</v>
      </c>
      <c r="AA352" s="715">
        <f t="shared" si="58"/>
        <v>1375259</v>
      </c>
      <c r="AB352" s="642">
        <f t="shared" si="65"/>
        <v>321</v>
      </c>
      <c r="AC352" s="643" t="str">
        <f>IFERROR(INDEX('[2]CN HĐ'!$M$10:$M$72,MATCH(B352,'[2]CN HĐ'!$H$10:$H$72,0)),"")</f>
        <v>Trừ 4 ngày nghỉ phép 9+14+19+25/3</v>
      </c>
    </row>
    <row r="353" spans="1:53" s="387" customFormat="1" ht="31.5" customHeight="1">
      <c r="A353" s="33">
        <f>_xlfn.AGGREGATE(4,7,A$29:A352)+1</f>
        <v>322</v>
      </c>
      <c r="B353" s="462" t="s">
        <v>2142</v>
      </c>
      <c r="C353" s="436"/>
      <c r="D353" s="435"/>
      <c r="E353" s="634"/>
      <c r="F353" s="634"/>
      <c r="G353" s="634"/>
      <c r="H353" s="383" t="s">
        <v>2038</v>
      </c>
      <c r="I353" s="635">
        <v>5007600</v>
      </c>
      <c r="J353" s="383" t="str">
        <f>VLOOKUP(B353,TH!B342:J674,9,FALSE)</f>
        <v>NV TT Điều hành và QLDL</v>
      </c>
      <c r="K353" s="484">
        <f t="shared" si="62"/>
        <v>3505320</v>
      </c>
      <c r="L353" s="636" t="str">
        <f>VLOOKUP(B353,'[1]Gui chi Quynh'!$B$11:$E$400,4,FALSE)</f>
        <v>A1</v>
      </c>
      <c r="M353" s="484">
        <f t="shared" si="67"/>
        <v>5608512</v>
      </c>
      <c r="N353" s="636">
        <v>26</v>
      </c>
      <c r="O353" s="637">
        <f>IFERROR(INDEX('[2]CN HĐ'!$J$10:$J$72,MATCH(B353,'[2]CN HĐ'!$H$10:$H$72,0)),"")</f>
        <v>29</v>
      </c>
      <c r="P353" s="638"/>
      <c r="Q353" s="484">
        <f t="shared" si="63"/>
        <v>5608512</v>
      </c>
      <c r="R353" s="639"/>
      <c r="S353" s="484">
        <v>0</v>
      </c>
      <c r="T353" s="640"/>
      <c r="U353" s="484">
        <v>0</v>
      </c>
      <c r="V353" s="679">
        <f t="shared" si="64"/>
        <v>50076</v>
      </c>
      <c r="W353" s="679"/>
      <c r="X353" s="952">
        <f t="shared" si="66"/>
        <v>5608512</v>
      </c>
      <c r="Y353" s="912">
        <f t="shared" ref="Y353:Y361" si="68">X353/Z353</f>
        <v>3.1158399999999999</v>
      </c>
      <c r="Z353" s="509">
        <v>1800000</v>
      </c>
      <c r="AA353" s="715">
        <f t="shared" ref="AA353:AA361" si="69">Y353*Z353</f>
        <v>5608512</v>
      </c>
      <c r="AB353" s="642">
        <f t="shared" si="65"/>
        <v>322</v>
      </c>
      <c r="AC353" s="643">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6" t="s">
        <v>2143</v>
      </c>
      <c r="C354" s="907"/>
      <c r="D354" s="908"/>
      <c r="E354" s="905"/>
      <c r="F354" s="905"/>
      <c r="G354" s="905"/>
      <c r="H354" s="490" t="s">
        <v>2038</v>
      </c>
      <c r="I354" s="658">
        <v>5007600</v>
      </c>
      <c r="J354" s="490" t="str">
        <f>VLOOKUP(B354,TH!B343:J675,9,FALSE)</f>
        <v>NV TT Điều hành và QLDL</v>
      </c>
      <c r="K354" s="659">
        <f t="shared" si="62"/>
        <v>3505320</v>
      </c>
      <c r="L354" s="660" t="str">
        <f>VLOOKUP(B354,'[1]Gui chi Quynh'!$B$11:$E$400,4,FALSE)</f>
        <v>B1</v>
      </c>
      <c r="M354" s="659">
        <f t="shared" si="67"/>
        <v>2453724</v>
      </c>
      <c r="N354" s="660">
        <v>26</v>
      </c>
      <c r="O354" s="661">
        <f>IFERROR(INDEX('[2]CN HĐ'!$J$10:$J$72,MATCH(B354,'[2]CN HĐ'!$H$10:$H$72,0)),"")</f>
        <v>27</v>
      </c>
      <c r="P354" s="662"/>
      <c r="Q354" s="659">
        <f t="shared" si="63"/>
        <v>2453724</v>
      </c>
      <c r="R354" s="663"/>
      <c r="S354" s="659">
        <v>0</v>
      </c>
      <c r="T354" s="664"/>
      <c r="U354" s="659">
        <v>0</v>
      </c>
      <c r="V354" s="659">
        <f t="shared" si="64"/>
        <v>50076</v>
      </c>
      <c r="W354" s="659"/>
      <c r="X354" s="952">
        <f t="shared" si="66"/>
        <v>2453724</v>
      </c>
      <c r="Y354" s="961">
        <f t="shared" si="68"/>
        <v>1.3631800000000001</v>
      </c>
      <c r="Z354" s="909">
        <v>1800000</v>
      </c>
      <c r="AA354" s="758">
        <f t="shared" si="69"/>
        <v>2453724</v>
      </c>
      <c r="AB354" s="665"/>
      <c r="AC354" s="666" t="s">
        <v>2197</v>
      </c>
    </row>
    <row r="355" spans="1:53" s="387" customFormat="1" ht="41.25" customHeight="1">
      <c r="A355" s="33">
        <f>_xlfn.AGGREGATE(4,7,A$29:A354)+1</f>
        <v>324</v>
      </c>
      <c r="B355" s="462" t="s">
        <v>2144</v>
      </c>
      <c r="C355" s="436" t="s">
        <v>2145</v>
      </c>
      <c r="D355" s="435" t="s">
        <v>2146</v>
      </c>
      <c r="E355" s="634">
        <v>1603205351493</v>
      </c>
      <c r="F355" s="634"/>
      <c r="G355" s="634"/>
      <c r="H355" s="383" t="s">
        <v>2042</v>
      </c>
      <c r="I355" s="635">
        <v>7515057</v>
      </c>
      <c r="J355" s="383" t="str">
        <f>VLOOKUP(B355,TH!B344:J676,9,FALSE)</f>
        <v>NV phòng Khảo thí và ĐBCL</v>
      </c>
      <c r="K355" s="484">
        <f t="shared" si="62"/>
        <v>5260539.8999999994</v>
      </c>
      <c r="L355" s="636" t="str">
        <f>VLOOKUP(B355,'[1]Gui chi Quynh'!$B$11:$E$400,4,FALSE)</f>
        <v>A3</v>
      </c>
      <c r="M355" s="484">
        <f t="shared" si="67"/>
        <v>6312648</v>
      </c>
      <c r="N355" s="636">
        <v>26</v>
      </c>
      <c r="O355" s="637">
        <f>IFERROR(INDEX('[2]CN HĐ'!$J$10:$J$72,MATCH(B355,'[2]CN HĐ'!$H$10:$H$72,0)),"")</f>
        <v>26</v>
      </c>
      <c r="P355" s="638" t="e">
        <f>IF(M355&gt;#REF!,M355,#REF!)</f>
        <v>#REF!</v>
      </c>
      <c r="Q355" s="484">
        <f t="shared" si="63"/>
        <v>6312648</v>
      </c>
      <c r="R355" s="639"/>
      <c r="S355" s="484">
        <v>0</v>
      </c>
      <c r="T355" s="640"/>
      <c r="U355" s="484">
        <v>0</v>
      </c>
      <c r="V355" s="679">
        <f t="shared" si="64"/>
        <v>75150.570000000007</v>
      </c>
      <c r="W355" s="679"/>
      <c r="X355" s="952">
        <f t="shared" si="66"/>
        <v>6312648</v>
      </c>
      <c r="Y355" s="912">
        <f t="shared" si="68"/>
        <v>3.5070266666666665</v>
      </c>
      <c r="Z355" s="509">
        <v>1800000</v>
      </c>
      <c r="AA355" s="715">
        <f t="shared" si="69"/>
        <v>6312648</v>
      </c>
      <c r="AB355" s="642">
        <f t="shared" si="65"/>
        <v>324</v>
      </c>
      <c r="AC355" s="643">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5">
        <v>10540257</v>
      </c>
      <c r="J356" s="383" t="str">
        <f>VLOOKUP(B356,TH!B345:J677,9,FALSE)</f>
        <v>Khoa Động lực</v>
      </c>
      <c r="K356" s="484">
        <f t="shared" si="62"/>
        <v>7378179.8999999994</v>
      </c>
      <c r="L356" s="636" t="str">
        <f>VLOOKUP(B356,'[1]Gui chi Quynh'!$B$11:$E$400,4,FALSE)</f>
        <v>A1</v>
      </c>
      <c r="M356" s="484">
        <f t="shared" si="67"/>
        <v>11805088</v>
      </c>
      <c r="N356" s="636">
        <v>26</v>
      </c>
      <c r="O356" s="637">
        <f>IFERROR(INDEX('[2]CN HĐ'!$J$10:$J$72,MATCH(B356,'[2]CN HĐ'!$H$10:$H$72,0)),"")</f>
        <v>26</v>
      </c>
      <c r="P356" s="638" t="e">
        <f>IF(M356&gt;#REF!,M356,#REF!)</f>
        <v>#REF!</v>
      </c>
      <c r="Q356" s="484">
        <f t="shared" si="63"/>
        <v>11805088</v>
      </c>
      <c r="R356" s="639"/>
      <c r="S356" s="484">
        <v>0</v>
      </c>
      <c r="T356" s="640"/>
      <c r="U356" s="484">
        <v>0</v>
      </c>
      <c r="V356" s="679">
        <f t="shared" si="64"/>
        <v>105402.57</v>
      </c>
      <c r="W356" s="679"/>
      <c r="X356" s="952">
        <f t="shared" si="66"/>
        <v>11805088</v>
      </c>
      <c r="Y356" s="912">
        <f t="shared" si="68"/>
        <v>6.5583822222222219</v>
      </c>
      <c r="Z356" s="509">
        <v>1800000</v>
      </c>
      <c r="AA356" s="715">
        <f t="shared" si="69"/>
        <v>11805088</v>
      </c>
      <c r="AB356" s="642">
        <f t="shared" si="65"/>
        <v>325</v>
      </c>
      <c r="AC356" s="643">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5">
        <v>6086769</v>
      </c>
      <c r="J357" s="383" t="str">
        <f>VLOOKUP(B357,TH!B346:J678,9,FALSE)</f>
        <v>NV TT Đào tạo Lý Tự Trọng</v>
      </c>
      <c r="K357" s="484">
        <f t="shared" si="62"/>
        <v>4260738.3</v>
      </c>
      <c r="L357" s="636" t="str">
        <f>VLOOKUP(B357,'[1]Gui chi Quynh'!$B$11:$E$400,4,FALSE)</f>
        <v>A4</v>
      </c>
      <c r="M357" s="484">
        <f t="shared" si="67"/>
        <v>4260738</v>
      </c>
      <c r="N357" s="636">
        <v>26</v>
      </c>
      <c r="O357" s="637">
        <f>IFERROR(INDEX('[2]CN HĐ'!$J$10:$J$72,MATCH(B357,'[2]CN HĐ'!$H$10:$H$72,0)),"")</f>
        <v>28</v>
      </c>
      <c r="P357" s="638"/>
      <c r="Q357" s="484">
        <f t="shared" si="63"/>
        <v>4260738</v>
      </c>
      <c r="R357" s="639"/>
      <c r="S357" s="484">
        <v>0</v>
      </c>
      <c r="T357" s="640"/>
      <c r="U357" s="484">
        <v>0</v>
      </c>
      <c r="V357" s="679">
        <f t="shared" si="64"/>
        <v>60867.69</v>
      </c>
      <c r="W357" s="679"/>
      <c r="X357" s="952">
        <f t="shared" si="66"/>
        <v>4260738</v>
      </c>
      <c r="Y357" s="912">
        <f t="shared" si="68"/>
        <v>2.3670766666666667</v>
      </c>
      <c r="Z357" s="509">
        <v>1800000</v>
      </c>
      <c r="AA357" s="715">
        <f t="shared" si="69"/>
        <v>4260738</v>
      </c>
      <c r="AB357" s="642">
        <f t="shared" si="65"/>
        <v>326</v>
      </c>
      <c r="AC357" s="643">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7"/>
      <c r="F358" s="667"/>
      <c r="G358" s="667"/>
      <c r="H358" s="383" t="s">
        <v>2031</v>
      </c>
      <c r="I358" s="635">
        <v>4680000</v>
      </c>
      <c r="J358" s="383" t="str">
        <f>VLOOKUP(B358,TH!B347:J679,9,FALSE)</f>
        <v>NV TT Đào tạo Lý Tự Trọng</v>
      </c>
      <c r="K358" s="484">
        <f t="shared" si="62"/>
        <v>1404000</v>
      </c>
      <c r="L358" s="636" t="str">
        <f>VLOOKUP(B358,'[1]Gui chi Quynh'!$B$11:$E$400,4,FALSE)</f>
        <v>A3</v>
      </c>
      <c r="M358" s="484">
        <f t="shared" si="67"/>
        <v>1684800</v>
      </c>
      <c r="N358" s="636">
        <v>26</v>
      </c>
      <c r="O358" s="637">
        <f>IFERROR(INDEX('[2]CN HĐ'!$J$10:$J$72,MATCH(B358,'[2]CN HĐ'!$H$10:$H$72,0)),"")</f>
        <v>31</v>
      </c>
      <c r="P358" s="638"/>
      <c r="Q358" s="484">
        <f t="shared" si="63"/>
        <v>1684800</v>
      </c>
      <c r="R358" s="639"/>
      <c r="S358" s="484">
        <v>0</v>
      </c>
      <c r="T358" s="640"/>
      <c r="U358" s="484">
        <v>0</v>
      </c>
      <c r="V358" s="679">
        <f t="shared" si="64"/>
        <v>46800</v>
      </c>
      <c r="W358" s="679"/>
      <c r="X358" s="952">
        <f t="shared" si="66"/>
        <v>1684800</v>
      </c>
      <c r="Y358" s="912">
        <f t="shared" si="68"/>
        <v>0.93600000000000005</v>
      </c>
      <c r="Z358" s="509">
        <v>1800000</v>
      </c>
      <c r="AA358" s="715">
        <f t="shared" si="69"/>
        <v>1684800</v>
      </c>
      <c r="AB358" s="642">
        <f t="shared" si="65"/>
        <v>327</v>
      </c>
      <c r="AC358" s="643">
        <f>IFERROR(INDEX('[2]CN HĐ'!$M$10:$M$72,MATCH(B358,'[2]CN HĐ'!$H$10:$H$72,0)),"")</f>
        <v>0</v>
      </c>
    </row>
    <row r="359" spans="1:53" s="387" customFormat="1" ht="29.25" customHeight="1">
      <c r="A359" s="33">
        <f>_xlfn.AGGREGATE(4,7,A$29:A358)+1</f>
        <v>328</v>
      </c>
      <c r="B359" s="462" t="s">
        <v>2152</v>
      </c>
      <c r="C359" s="436" t="s">
        <v>960</v>
      </c>
      <c r="D359" s="435" t="s">
        <v>2153</v>
      </c>
      <c r="E359" s="634" t="s">
        <v>2154</v>
      </c>
      <c r="F359" s="634"/>
      <c r="G359" s="634"/>
      <c r="H359" s="383" t="s">
        <v>2042</v>
      </c>
      <c r="I359" s="635">
        <v>6563942</v>
      </c>
      <c r="J359" s="383" t="str">
        <f>VLOOKUP(B359,TH!B348:J680,9,FALSE)</f>
        <v xml:space="preserve">NV Thư viện  </v>
      </c>
      <c r="K359" s="484">
        <f t="shared" si="62"/>
        <v>4594759.3999999994</v>
      </c>
      <c r="L359" s="636" t="str">
        <f>VLOOKUP(B359,'[1]Gui chi Quynh'!$B$11:$E$400,4,FALSE)</f>
        <v>A3</v>
      </c>
      <c r="M359" s="484">
        <f t="shared" si="67"/>
        <v>5513711</v>
      </c>
      <c r="N359" s="636">
        <v>26</v>
      </c>
      <c r="O359" s="637">
        <f>IFERROR(INDEX('[2]CN HĐ'!$J$10:$J$72,MATCH(B359,'[2]CN HĐ'!$H$10:$H$72,0)),"")</f>
        <v>24</v>
      </c>
      <c r="P359" s="638" t="e">
        <f>IF(M359&gt;#REF!,M359,#REF!)</f>
        <v>#REF!</v>
      </c>
      <c r="Q359" s="484">
        <f t="shared" si="63"/>
        <v>5089579</v>
      </c>
      <c r="R359" s="639"/>
      <c r="S359" s="484">
        <v>0</v>
      </c>
      <c r="T359" s="640"/>
      <c r="U359" s="484">
        <v>0</v>
      </c>
      <c r="V359" s="679">
        <f t="shared" si="64"/>
        <v>65639.42</v>
      </c>
      <c r="W359" s="679"/>
      <c r="X359" s="952">
        <f t="shared" si="66"/>
        <v>5089579</v>
      </c>
      <c r="Y359" s="912">
        <f t="shared" si="68"/>
        <v>2.8275438888888891</v>
      </c>
      <c r="Z359" s="509">
        <v>1800000</v>
      </c>
      <c r="AA359" s="715">
        <f t="shared" si="69"/>
        <v>5089579</v>
      </c>
      <c r="AB359" s="642">
        <f t="shared" si="65"/>
        <v>328</v>
      </c>
      <c r="AC359" s="643"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4"/>
      <c r="F360" s="634"/>
      <c r="G360" s="634"/>
      <c r="H360" s="383" t="s">
        <v>2038</v>
      </c>
      <c r="I360" s="635">
        <v>5520879</v>
      </c>
      <c r="J360" s="383" t="str">
        <f>VLOOKUP(B360,TH!B349:J681,9,FALSE)</f>
        <v xml:space="preserve">NV Thư viện  </v>
      </c>
      <c r="K360" s="484">
        <f t="shared" si="62"/>
        <v>3864615.3</v>
      </c>
      <c r="L360" s="636" t="str">
        <f>VLOOKUP(B360,'[1]Gui chi Quynh'!$B$11:$E$400,4,FALSE)</f>
        <v>A3</v>
      </c>
      <c r="M360" s="484">
        <f t="shared" si="67"/>
        <v>4637538</v>
      </c>
      <c r="N360" s="636">
        <v>26</v>
      </c>
      <c r="O360" s="637">
        <f>IFERROR(INDEX('[2]CN HĐ'!$J$10:$J$72,MATCH(B360,'[2]CN HĐ'!$H$10:$H$72,0)),"")</f>
        <v>26.5</v>
      </c>
      <c r="P360" s="638" t="e">
        <f>IF(M360&gt;#REF!,M360,#REF!)</f>
        <v>#REF!</v>
      </c>
      <c r="Q360" s="484">
        <f t="shared" si="63"/>
        <v>4637538</v>
      </c>
      <c r="R360" s="639"/>
      <c r="S360" s="484">
        <v>0</v>
      </c>
      <c r="T360" s="640"/>
      <c r="U360" s="484">
        <v>0</v>
      </c>
      <c r="V360" s="679">
        <f t="shared" si="64"/>
        <v>55208.79</v>
      </c>
      <c r="W360" s="679">
        <v>809728.91999999993</v>
      </c>
      <c r="X360" s="952">
        <f t="shared" si="66"/>
        <v>5447266.9199999999</v>
      </c>
      <c r="Y360" s="912">
        <f t="shared" si="68"/>
        <v>3.0262593999999998</v>
      </c>
      <c r="Z360" s="509">
        <v>1800000</v>
      </c>
      <c r="AA360" s="715">
        <f t="shared" si="69"/>
        <v>5447266.9199999999</v>
      </c>
      <c r="AB360" s="642">
        <f t="shared" ref="AB360:AB361" si="70">A360</f>
        <v>329</v>
      </c>
      <c r="AC360" s="643">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9">
        <f>_xlfn.AGGREGATE(4,7,A$29:A360)+1</f>
        <v>330</v>
      </c>
      <c r="B361" s="980" t="s">
        <v>2156</v>
      </c>
      <c r="C361" s="981" t="s">
        <v>920</v>
      </c>
      <c r="D361" s="982" t="s">
        <v>2157</v>
      </c>
      <c r="E361" s="668" t="s">
        <v>2158</v>
      </c>
      <c r="F361" s="668"/>
      <c r="G361" s="668"/>
      <c r="H361" s="89" t="s">
        <v>2042</v>
      </c>
      <c r="I361" s="983">
        <v>6563942</v>
      </c>
      <c r="J361" s="932" t="str">
        <f>VLOOKUP(B361,TH!B350:J682,9,FALSE)</f>
        <v xml:space="preserve">NV Thư viện  </v>
      </c>
      <c r="K361" s="984">
        <f t="shared" si="62"/>
        <v>4594759.3999999994</v>
      </c>
      <c r="L361" s="985" t="str">
        <f>VLOOKUP(B361,'[1]Gui chi Quynh'!$B$11:$E$400,4,FALSE)</f>
        <v>A3</v>
      </c>
      <c r="M361" s="984">
        <f t="shared" si="67"/>
        <v>5513711</v>
      </c>
      <c r="N361" s="985">
        <v>26</v>
      </c>
      <c r="O361" s="985">
        <f>IFERROR(INDEX('[2]CN HĐ'!$J$10:$J$72,MATCH(B361,'[2]CN HĐ'!$H$10:$H$72,0)),"")</f>
        <v>26</v>
      </c>
      <c r="P361" s="986" t="e">
        <f>IF(M361&gt;#REF!,M361,#REF!)</f>
        <v>#REF!</v>
      </c>
      <c r="Q361" s="984">
        <f t="shared" si="63"/>
        <v>5513711</v>
      </c>
      <c r="R361" s="987"/>
      <c r="S361" s="984">
        <v>0</v>
      </c>
      <c r="T361" s="988"/>
      <c r="U361" s="984">
        <v>0</v>
      </c>
      <c r="V361" s="989">
        <f t="shared" si="64"/>
        <v>65639.42</v>
      </c>
      <c r="W361" s="989"/>
      <c r="X361" s="952">
        <f t="shared" si="66"/>
        <v>5513711</v>
      </c>
      <c r="Y361" s="913">
        <f t="shared" si="68"/>
        <v>3.063172777777778</v>
      </c>
      <c r="Z361" s="941">
        <v>1800000</v>
      </c>
      <c r="AA361" s="993">
        <f t="shared" si="69"/>
        <v>5513711</v>
      </c>
      <c r="AB361" s="990">
        <f t="shared" si="70"/>
        <v>330</v>
      </c>
      <c r="AC361" s="991">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3"/>
      <c r="B362" s="994" t="s">
        <v>2208</v>
      </c>
      <c r="C362" s="964"/>
      <c r="D362" s="965"/>
      <c r="E362" s="966"/>
      <c r="F362" s="967"/>
      <c r="G362" s="967"/>
      <c r="H362" s="968"/>
      <c r="I362" s="969"/>
      <c r="J362" s="767"/>
      <c r="K362" s="970"/>
      <c r="L362" s="971"/>
      <c r="M362" s="970"/>
      <c r="N362" s="971"/>
      <c r="O362" s="971"/>
      <c r="P362" s="972"/>
      <c r="Q362" s="970"/>
      <c r="R362" s="973"/>
      <c r="S362" s="970"/>
      <c r="T362" s="974"/>
      <c r="U362" s="970"/>
      <c r="V362" s="975"/>
      <c r="W362" s="975"/>
      <c r="X362" s="976"/>
      <c r="Y362" s="992">
        <f>SUM(Y299:Y361)</f>
        <v>161.39775871111107</v>
      </c>
      <c r="Z362" s="781"/>
      <c r="AA362" s="779">
        <f>SUM(AA299:AA361)</f>
        <v>290515965.68000001</v>
      </c>
      <c r="AB362" s="977"/>
      <c r="AC362" s="978"/>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5">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7"/>
      <c r="N365" s="17"/>
      <c r="O365" s="887"/>
      <c r="P365" s="887"/>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7"/>
      <c r="N366" s="17"/>
      <c r="O366" s="887"/>
      <c r="P366" s="887"/>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680" t="s">
        <v>2199</v>
      </c>
      <c r="V367" s="1680"/>
      <c r="W367" s="1680"/>
      <c r="X367" s="1680"/>
      <c r="Y367" s="1680"/>
      <c r="Z367" s="1680"/>
      <c r="AA367" s="1680"/>
      <c r="AB367" s="1680"/>
      <c r="AC367" s="1680"/>
    </row>
    <row r="368" spans="1:53" s="16" customFormat="1">
      <c r="A368" s="1678" t="s">
        <v>859</v>
      </c>
      <c r="B368" s="1678"/>
      <c r="C368" s="1678"/>
      <c r="D368" s="1678"/>
      <c r="E368" s="1678"/>
      <c r="F368" s="1678"/>
      <c r="G368" s="1678"/>
      <c r="H368" s="1678"/>
      <c r="I368" s="1678"/>
      <c r="J368" s="1678"/>
      <c r="K368" s="1681" t="s">
        <v>1446</v>
      </c>
      <c r="L368" s="1681"/>
      <c r="M368" s="1681"/>
      <c r="N368" s="1681"/>
      <c r="O368" s="1681"/>
      <c r="P368" s="1678" t="s">
        <v>1191</v>
      </c>
      <c r="Q368" s="1678"/>
      <c r="R368" s="1678"/>
      <c r="S368" s="1678"/>
      <c r="T368" s="19"/>
      <c r="U368" s="19" t="s">
        <v>41</v>
      </c>
      <c r="V368" s="19"/>
      <c r="W368" s="19"/>
      <c r="X368" s="19"/>
      <c r="Y368" s="1678" t="s">
        <v>1191</v>
      </c>
      <c r="Z368" s="1678"/>
      <c r="AA368" s="1678" t="s">
        <v>41</v>
      </c>
      <c r="AB368" s="1678"/>
      <c r="AC368" s="1678"/>
      <c r="AD368" s="111"/>
      <c r="AE368" s="514"/>
      <c r="AG368" s="158"/>
    </row>
    <row r="369" spans="1:33" s="16" customFormat="1" ht="13.5" customHeight="1">
      <c r="A369" s="888"/>
      <c r="B369" s="888"/>
      <c r="C369" s="19"/>
      <c r="D369" s="19"/>
      <c r="E369" s="19"/>
      <c r="F369" s="19"/>
      <c r="G369" s="19"/>
      <c r="H369" s="19"/>
      <c r="I369" s="888"/>
      <c r="J369" s="888"/>
      <c r="K369" s="235"/>
      <c r="L369" s="366"/>
      <c r="M369" s="676"/>
      <c r="N369" s="14"/>
      <c r="O369" s="888"/>
      <c r="P369" s="19"/>
      <c r="Q369" s="888"/>
      <c r="R369" s="475"/>
      <c r="S369" s="888"/>
      <c r="T369" s="403"/>
      <c r="V369" s="615"/>
      <c r="W369" s="615"/>
      <c r="X369" s="888"/>
      <c r="Y369" s="888"/>
      <c r="Z369" s="888"/>
      <c r="AA369" s="888"/>
      <c r="AC369" s="103"/>
      <c r="AD369" s="111"/>
      <c r="AE369" s="514"/>
      <c r="AG369" s="158"/>
    </row>
    <row r="370" spans="1:33" s="16" customFormat="1" ht="10.5" customHeight="1">
      <c r="A370" s="888"/>
      <c r="B370" s="888"/>
      <c r="C370" s="19"/>
      <c r="D370" s="19"/>
      <c r="E370" s="19"/>
      <c r="F370" s="19"/>
      <c r="G370" s="19"/>
      <c r="H370" s="19"/>
      <c r="I370" s="888"/>
      <c r="J370" s="888"/>
      <c r="K370" s="235"/>
      <c r="L370" s="366"/>
      <c r="M370" s="681">
        <f>COUNTIF(M30:M296,"A1")</f>
        <v>42</v>
      </c>
      <c r="N370" s="14"/>
      <c r="O370" s="888"/>
      <c r="P370" s="19"/>
      <c r="Q370" s="888"/>
      <c r="R370" s="475"/>
      <c r="S370" s="888"/>
      <c r="T370" s="403"/>
      <c r="V370" s="615"/>
      <c r="W370" s="615"/>
      <c r="X370" s="888"/>
      <c r="Y370" s="888"/>
      <c r="Z370" s="888"/>
      <c r="AA370" s="888"/>
      <c r="AC370" s="103"/>
      <c r="AD370" s="111"/>
      <c r="AE370" s="514"/>
      <c r="AG370" s="158"/>
    </row>
    <row r="371" spans="1:33" s="16" customFormat="1" ht="13.5" customHeight="1">
      <c r="G371" s="889"/>
      <c r="H371" s="887"/>
      <c r="K371" s="235"/>
      <c r="L371" s="372"/>
      <c r="M371" s="681">
        <f>COUNTIF($M$30:$M$296,"A2")</f>
        <v>37</v>
      </c>
      <c r="N371" s="888"/>
      <c r="O371" s="888"/>
      <c r="P371" s="887"/>
      <c r="Q371" s="887"/>
      <c r="R371" s="476"/>
      <c r="S371" s="887"/>
      <c r="T371" s="404"/>
      <c r="U371" s="887"/>
      <c r="V371" s="616"/>
      <c r="W371" s="616"/>
      <c r="X371" s="887"/>
      <c r="Y371" s="887"/>
      <c r="Z371" s="887"/>
      <c r="AA371" s="887"/>
      <c r="AC371" s="101"/>
      <c r="AD371" s="111"/>
      <c r="AE371" s="514"/>
      <c r="AG371" s="158"/>
    </row>
    <row r="372" spans="1:33" s="16" customFormat="1" ht="13.5" customHeight="1">
      <c r="G372" s="889"/>
      <c r="H372" s="887"/>
      <c r="K372" s="235"/>
      <c r="L372" s="372"/>
      <c r="M372" s="681">
        <f>COUNTIF($M$30:$M$296,"A3")</f>
        <v>73</v>
      </c>
      <c r="N372" s="888"/>
      <c r="O372" s="888"/>
      <c r="P372" s="887"/>
      <c r="Q372" s="410"/>
      <c r="R372" s="476"/>
      <c r="S372" s="887"/>
      <c r="T372" s="404"/>
      <c r="U372" s="887"/>
      <c r="V372" s="616"/>
      <c r="W372" s="616"/>
      <c r="X372" s="887"/>
      <c r="Y372" s="887"/>
      <c r="Z372" s="887"/>
      <c r="AA372" s="887"/>
      <c r="AC372" s="466"/>
      <c r="AD372" s="111"/>
      <c r="AE372" s="514"/>
      <c r="AG372" s="158"/>
    </row>
    <row r="373" spans="1:33" s="16" customFormat="1" ht="13.5" customHeight="1">
      <c r="G373" s="889"/>
      <c r="H373" s="887"/>
      <c r="K373" s="235"/>
      <c r="L373" s="372"/>
      <c r="M373" s="681">
        <f>COUNTIF($M$30:$M$296,"A4")</f>
        <v>110</v>
      </c>
      <c r="N373" s="888"/>
      <c r="O373" s="888"/>
      <c r="P373" s="887"/>
      <c r="Q373" s="49"/>
      <c r="R373" s="476"/>
      <c r="S373" s="887"/>
      <c r="T373" s="404"/>
      <c r="U373" s="887"/>
      <c r="V373" s="616"/>
      <c r="W373" s="616"/>
      <c r="X373" s="49"/>
      <c r="Y373" s="49"/>
      <c r="Z373" s="49"/>
      <c r="AA373" s="49"/>
      <c r="AC373" s="101"/>
      <c r="AD373" s="111"/>
      <c r="AE373" s="514"/>
      <c r="AG373" s="158"/>
    </row>
    <row r="374" spans="1:33" s="16" customFormat="1" ht="13.5" customHeight="1">
      <c r="G374" s="889"/>
      <c r="H374" s="887"/>
      <c r="I374" s="887"/>
      <c r="J374" s="887"/>
      <c r="K374" s="893"/>
      <c r="L374" s="367"/>
      <c r="M374" s="681"/>
      <c r="N374" s="888"/>
      <c r="O374" s="887"/>
      <c r="P374" s="887"/>
      <c r="Q374" s="887"/>
      <c r="R374" s="476"/>
      <c r="S374" s="887"/>
      <c r="T374" s="404"/>
      <c r="U374" s="887"/>
      <c r="V374" s="616"/>
      <c r="W374" s="616"/>
      <c r="X374" s="887"/>
      <c r="Y374" s="887"/>
      <c r="Z374" s="887"/>
      <c r="AA374" s="887"/>
      <c r="AC374" s="466"/>
      <c r="AD374" s="111"/>
      <c r="AE374" s="514"/>
      <c r="AG374" s="158"/>
    </row>
    <row r="375" spans="1:33" s="16" customFormat="1" ht="13.5" customHeight="1">
      <c r="G375" s="1698"/>
      <c r="H375" s="1698"/>
      <c r="I375" s="887"/>
      <c r="J375" s="887"/>
      <c r="K375" s="893"/>
      <c r="L375" s="367"/>
      <c r="M375" s="676"/>
      <c r="N375" s="888"/>
      <c r="O375" s="887"/>
      <c r="P375" s="887"/>
      <c r="Q375" s="887"/>
      <c r="R375" s="476"/>
      <c r="S375" s="887"/>
      <c r="T375" s="404"/>
      <c r="U375" s="887"/>
      <c r="V375" s="616"/>
      <c r="W375" s="616"/>
      <c r="X375" s="887"/>
      <c r="Y375" s="887"/>
      <c r="Z375" s="887"/>
      <c r="AA375" s="887"/>
      <c r="AC375" s="101"/>
      <c r="AD375" s="111"/>
      <c r="AE375" s="514"/>
      <c r="AG375" s="158"/>
    </row>
    <row r="376" spans="1:33" s="16" customFormat="1">
      <c r="A376" s="1678" t="s">
        <v>1827</v>
      </c>
      <c r="B376" s="1678"/>
      <c r="C376" s="1678"/>
      <c r="D376" s="1678"/>
      <c r="E376" s="1678"/>
      <c r="F376" s="1678"/>
      <c r="G376" s="1678"/>
      <c r="H376" s="1678"/>
      <c r="I376" s="1678"/>
      <c r="J376" s="1678"/>
      <c r="K376" s="1681" t="s">
        <v>1458</v>
      </c>
      <c r="L376" s="1681"/>
      <c r="M376" s="1681"/>
      <c r="N376" s="1681"/>
      <c r="O376" s="1681"/>
      <c r="P376" s="1678" t="s">
        <v>1445</v>
      </c>
      <c r="Q376" s="1678"/>
      <c r="R376" s="1678"/>
      <c r="S376" s="1678"/>
      <c r="T376" s="19"/>
      <c r="U376" s="19" t="s">
        <v>1433</v>
      </c>
      <c r="V376" s="19"/>
      <c r="W376" s="19"/>
      <c r="X376" s="19"/>
      <c r="Y376" s="1678" t="s">
        <v>1445</v>
      </c>
      <c r="Z376" s="1678"/>
      <c r="AA376" s="1678" t="s">
        <v>1433</v>
      </c>
      <c r="AB376" s="1678"/>
      <c r="AC376" s="1678"/>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312" priority="243" stopIfTrue="1" operator="equal">
      <formula>"KXL"</formula>
    </cfRule>
    <cfRule type="cellIs" dxfId="2311" priority="244" stopIfTrue="1" operator="equal">
      <formula>"A DN"</formula>
    </cfRule>
    <cfRule type="cellIs" dxfId="2310" priority="245" stopIfTrue="1" operator="equal">
      <formula>"C"</formula>
    </cfRule>
    <cfRule type="cellIs" dxfId="2309" priority="246" stopIfTrue="1" operator="equal">
      <formula>"B"</formula>
    </cfRule>
  </conditionalFormatting>
  <conditionalFormatting sqref="B288:C288 R288 T288">
    <cfRule type="cellIs" dxfId="2308" priority="239" stopIfTrue="1" operator="equal">
      <formula>"KXL"</formula>
    </cfRule>
    <cfRule type="cellIs" dxfId="2307" priority="240" stopIfTrue="1" operator="equal">
      <formula>"A DN"</formula>
    </cfRule>
    <cfRule type="cellIs" dxfId="2306" priority="241" stopIfTrue="1" operator="equal">
      <formula>"C"</formula>
    </cfRule>
    <cfRule type="cellIs" dxfId="2305" priority="242" stopIfTrue="1" operator="equal">
      <formula>"B"</formula>
    </cfRule>
  </conditionalFormatting>
  <conditionalFormatting sqref="B69:C69 R69 T69 F69:G69 AD69:IZ69 AD82:IZ82 AD130:IZ130 I69 AD131:AD164">
    <cfRule type="cellIs" dxfId="2304" priority="236" stopIfTrue="1" operator="equal">
      <formula>"C"</formula>
    </cfRule>
    <cfRule type="cellIs" dxfId="2303" priority="237" stopIfTrue="1" operator="equal">
      <formula>"B"</formula>
    </cfRule>
    <cfRule type="cellIs" dxfId="2302" priority="238" stopIfTrue="1" operator="equal">
      <formula>"A DN"</formula>
    </cfRule>
  </conditionalFormatting>
  <conditionalFormatting sqref="R82 B82:C82 T82 F82:G82 I82">
    <cfRule type="cellIs" dxfId="2301" priority="233" stopIfTrue="1" operator="equal">
      <formula>"C"</formula>
    </cfRule>
    <cfRule type="cellIs" dxfId="2300" priority="234" stopIfTrue="1" operator="equal">
      <formula>"B"</formula>
    </cfRule>
    <cfRule type="cellIs" dxfId="2299" priority="235" stopIfTrue="1" operator="equal">
      <formula>"A DN"</formula>
    </cfRule>
  </conditionalFormatting>
  <conditionalFormatting sqref="B130:C130 F130:G130 R130 T130 I130">
    <cfRule type="cellIs" dxfId="2298" priority="230" stopIfTrue="1" operator="equal">
      <formula>"C"</formula>
    </cfRule>
    <cfRule type="cellIs" dxfId="2297" priority="231" stopIfTrue="1" operator="equal">
      <formula>"B"</formula>
    </cfRule>
    <cfRule type="cellIs" dxfId="2296" priority="232" stopIfTrue="1" operator="equal">
      <formula>"A DN"</formula>
    </cfRule>
  </conditionalFormatting>
  <conditionalFormatting sqref="E130">
    <cfRule type="cellIs" dxfId="2295" priority="226" stopIfTrue="1" operator="equal">
      <formula>"KXL"</formula>
    </cfRule>
    <cfRule type="cellIs" dxfId="2294" priority="227" stopIfTrue="1" operator="equal">
      <formula>"A DN"</formula>
    </cfRule>
    <cfRule type="cellIs" dxfId="2293" priority="228" stopIfTrue="1" operator="equal">
      <formula>"C"</formula>
    </cfRule>
    <cfRule type="cellIs" dxfId="2292" priority="229" stopIfTrue="1" operator="equal">
      <formula>"B"</formula>
    </cfRule>
  </conditionalFormatting>
  <conditionalFormatting sqref="D35:G35 I35 R35 T35">
    <cfRule type="cellIs" dxfId="2291" priority="222" stopIfTrue="1" operator="equal">
      <formula>"KXL"</formula>
    </cfRule>
    <cfRule type="cellIs" dxfId="2290" priority="223" stopIfTrue="1" operator="equal">
      <formula>"A DN"</formula>
    </cfRule>
    <cfRule type="cellIs" dxfId="2289" priority="224" stopIfTrue="1" operator="equal">
      <formula>"C"</formula>
    </cfRule>
    <cfRule type="cellIs" dxfId="2288" priority="225" stopIfTrue="1" operator="equal">
      <formula>"B"</formula>
    </cfRule>
  </conditionalFormatting>
  <conditionalFormatting sqref="R44:R45 D44:G45 I44:I45 T44:T45">
    <cfRule type="cellIs" dxfId="2287" priority="218" stopIfTrue="1" operator="equal">
      <formula>"KXL"</formula>
    </cfRule>
    <cfRule type="cellIs" dxfId="2286" priority="219" stopIfTrue="1" operator="equal">
      <formula>"A DN"</formula>
    </cfRule>
    <cfRule type="cellIs" dxfId="2285" priority="220" stopIfTrue="1" operator="equal">
      <formula>"C"</formula>
    </cfRule>
    <cfRule type="cellIs" dxfId="2284" priority="221" stopIfTrue="1" operator="equal">
      <formula>"B"</formula>
    </cfRule>
  </conditionalFormatting>
  <conditionalFormatting sqref="D55:G55 R55:R56 I55:I56 T55:T56 D56 F56:G56">
    <cfRule type="cellIs" dxfId="2283" priority="214" stopIfTrue="1" operator="equal">
      <formula>"KXL"</formula>
    </cfRule>
    <cfRule type="cellIs" dxfId="2282" priority="215" stopIfTrue="1" operator="equal">
      <formula>"A DN"</formula>
    </cfRule>
    <cfRule type="cellIs" dxfId="2281" priority="216" stopIfTrue="1" operator="equal">
      <formula>"C"</formula>
    </cfRule>
    <cfRule type="cellIs" dxfId="2280" priority="217" stopIfTrue="1" operator="equal">
      <formula>"B"</formula>
    </cfRule>
  </conditionalFormatting>
  <conditionalFormatting sqref="M32:M102 M114:M284">
    <cfRule type="expression" dxfId="2279" priority="211" stopIfTrue="1">
      <formula>"if=B1"</formula>
    </cfRule>
    <cfRule type="expression" dxfId="2278" priority="212" stopIfTrue="1">
      <formula>$B21</formula>
    </cfRule>
    <cfRule type="expression" dxfId="2277" priority="213" stopIfTrue="1">
      <formula>B21</formula>
    </cfRule>
  </conditionalFormatting>
  <conditionalFormatting sqref="V101:W101 Q101:S101">
    <cfRule type="cellIs" dxfId="2276" priority="207" stopIfTrue="1" operator="equal">
      <formula>"KXL"</formula>
    </cfRule>
    <cfRule type="cellIs" dxfId="2275" priority="208" stopIfTrue="1" operator="equal">
      <formula>"A DN"</formula>
    </cfRule>
    <cfRule type="cellIs" dxfId="2274" priority="209" stopIfTrue="1" operator="equal">
      <formula>"C"</formula>
    </cfRule>
    <cfRule type="cellIs" dxfId="2273" priority="210" stopIfTrue="1" operator="equal">
      <formula>"B"</formula>
    </cfRule>
  </conditionalFormatting>
  <conditionalFormatting sqref="AD101:IZ101 D101:I101 T101:U101 K101">
    <cfRule type="cellIs" dxfId="2272" priority="203" stopIfTrue="1" operator="equal">
      <formula>"KXL"</formula>
    </cfRule>
    <cfRule type="cellIs" dxfId="2271" priority="204" stopIfTrue="1" operator="equal">
      <formula>"A DN"</formula>
    </cfRule>
    <cfRule type="cellIs" dxfId="2270" priority="205" stopIfTrue="1" operator="equal">
      <formula>"C"</formula>
    </cfRule>
    <cfRule type="cellIs" dxfId="2269" priority="206" stopIfTrue="1" operator="equal">
      <formula>"B"</formula>
    </cfRule>
  </conditionalFormatting>
  <conditionalFormatting sqref="M180:M189">
    <cfRule type="expression" dxfId="2268" priority="250" stopIfTrue="1">
      <formula>"if=B1"</formula>
    </cfRule>
    <cfRule type="expression" dxfId="2267" priority="251" stopIfTrue="1">
      <formula>$B170</formula>
    </cfRule>
    <cfRule type="expression" dxfId="2266" priority="252" stopIfTrue="1">
      <formula>B170</formula>
    </cfRule>
  </conditionalFormatting>
  <conditionalFormatting sqref="M180:M284">
    <cfRule type="cellIs" dxfId="2265" priority="253" stopIfTrue="1" operator="equal">
      <formula>"C2"</formula>
    </cfRule>
    <cfRule type="cellIs" dxfId="2264" priority="254" stopIfTrue="1" operator="equal">
      <formula>"C1"</formula>
    </cfRule>
    <cfRule type="cellIs" dxfId="2263" priority="255" stopIfTrue="1" operator="equal">
      <formula>"C2"</formula>
    </cfRule>
    <cfRule type="cellIs" dxfId="2262" priority="256" stopIfTrue="1" operator="equal">
      <formula>"D"</formula>
    </cfRule>
    <cfRule type="cellIs" dxfId="2261" priority="257" stopIfTrue="1" operator="equal">
      <formula>"E"</formula>
    </cfRule>
    <cfRule type="cellIs" dxfId="2260" priority="258" stopIfTrue="1" operator="equal">
      <formula>"A DN"</formula>
    </cfRule>
    <cfRule type="cellIs" dxfId="2259" priority="259" stopIfTrue="1" operator="equal">
      <formula>"A DN"</formula>
    </cfRule>
    <cfRule type="cellIs" dxfId="2258" priority="260" stopIfTrue="1" operator="equal">
      <formula>"E"</formula>
    </cfRule>
    <cfRule type="cellIs" dxfId="2257" priority="261" stopIfTrue="1" operator="equal">
      <formula>"D"</formula>
    </cfRule>
    <cfRule type="cellIs" dxfId="2256" priority="262" stopIfTrue="1" operator="equal">
      <formula>"D1"</formula>
    </cfRule>
    <cfRule type="cellIs" dxfId="2255" priority="263" stopIfTrue="1" operator="equal">
      <formula>"C2"</formula>
    </cfRule>
    <cfRule type="cellIs" dxfId="2254" priority="264" stopIfTrue="1" operator="equal">
      <formula>"C1"</formula>
    </cfRule>
    <cfRule type="cellIs" dxfId="2253" priority="265" stopIfTrue="1" operator="equal">
      <formula>"B2"</formula>
    </cfRule>
    <cfRule type="cellIs" dxfId="2252" priority="266" stopIfTrue="1" operator="equal">
      <formula>"B1"</formula>
    </cfRule>
    <cfRule type="expression" dxfId="2251" priority="267" stopIfTrue="1">
      <formula>B170</formula>
    </cfRule>
    <cfRule type="cellIs" dxfId="2250" priority="268" stopIfTrue="1" operator="equal">
      <formula>"D"</formula>
    </cfRule>
  </conditionalFormatting>
  <conditionalFormatting sqref="M180:M284">
    <cfRule type="cellIs" dxfId="2249" priority="269" stopIfTrue="1" operator="equal">
      <formula>"B1"</formula>
    </cfRule>
    <cfRule type="expression" dxfId="2248" priority="270" stopIfTrue="1">
      <formula>B170</formula>
    </cfRule>
  </conditionalFormatting>
  <conditionalFormatting sqref="M180:M284">
    <cfRule type="cellIs" dxfId="2247" priority="271" stopIfTrue="1" operator="equal">
      <formula>"B2"</formula>
    </cfRule>
    <cfRule type="expression" dxfId="2246" priority="272" stopIfTrue="1">
      <formula>B170</formula>
    </cfRule>
  </conditionalFormatting>
  <conditionalFormatting sqref="M190">
    <cfRule type="expression" dxfId="2245" priority="247" stopIfTrue="1">
      <formula>"if=B1"</formula>
    </cfRule>
    <cfRule type="expression" dxfId="2244" priority="248" stopIfTrue="1">
      <formula>#REF!</formula>
    </cfRule>
    <cfRule type="expression" dxfId="2243"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242" priority="103" stopIfTrue="1" operator="equal">
      <formula>"KXL"</formula>
    </cfRule>
    <cfRule type="cellIs" dxfId="2241" priority="104" stopIfTrue="1" operator="equal">
      <formula>"A DN"</formula>
    </cfRule>
    <cfRule type="cellIs" dxfId="2240" priority="105" stopIfTrue="1" operator="equal">
      <formula>"C"</formula>
    </cfRule>
    <cfRule type="cellIs" dxfId="2239" priority="106" stopIfTrue="1" operator="equal">
      <formula>"B"</formula>
    </cfRule>
  </conditionalFormatting>
  <conditionalFormatting sqref="L299:L362">
    <cfRule type="cellIs" dxfId="2238" priority="102" stopIfTrue="1" operator="equal">
      <formula>"D"</formula>
    </cfRule>
  </conditionalFormatting>
  <conditionalFormatting sqref="AD303:IZ311 B303:C315 T303:T315 P303:P315 R303:R315 AD313:IZ315 AE312:IZ312">
    <cfRule type="cellIs" dxfId="2237" priority="98" stopIfTrue="1" operator="equal">
      <formula>"KXL"</formula>
    </cfRule>
    <cfRule type="cellIs" dxfId="2236" priority="99" stopIfTrue="1" operator="equal">
      <formula>"A DN"</formula>
    </cfRule>
    <cfRule type="cellIs" dxfId="2235" priority="100" stopIfTrue="1" operator="equal">
      <formula>"C"</formula>
    </cfRule>
    <cfRule type="cellIs" dxfId="2234" priority="101" stopIfTrue="1" operator="equal">
      <formula>"B"</formula>
    </cfRule>
  </conditionalFormatting>
  <conditionalFormatting sqref="E320:G320">
    <cfRule type="cellIs" dxfId="2233" priority="94" stopIfTrue="1" operator="equal">
      <formula>"KXL"</formula>
    </cfRule>
    <cfRule type="cellIs" dxfId="2232" priority="95" stopIfTrue="1" operator="equal">
      <formula>"A DN"</formula>
    </cfRule>
    <cfRule type="cellIs" dxfId="2231" priority="96" stopIfTrue="1" operator="equal">
      <formula>"C"</formula>
    </cfRule>
    <cfRule type="cellIs" dxfId="2230" priority="97" stopIfTrue="1" operator="equal">
      <formula>"B"</formula>
    </cfRule>
  </conditionalFormatting>
  <conditionalFormatting sqref="H304:H314">
    <cfRule type="cellIs" dxfId="2229" priority="90" stopIfTrue="1" operator="equal">
      <formula>"KXL"</formula>
    </cfRule>
    <cfRule type="cellIs" dxfId="2228" priority="91" stopIfTrue="1" operator="equal">
      <formula>"A DN"</formula>
    </cfRule>
    <cfRule type="cellIs" dxfId="2227" priority="92" stopIfTrue="1" operator="equal">
      <formula>"C"</formula>
    </cfRule>
    <cfRule type="cellIs" dxfId="2226" priority="93" stopIfTrue="1" operator="equal">
      <formula>"B"</formula>
    </cfRule>
  </conditionalFormatting>
  <conditionalFormatting sqref="E356:G358">
    <cfRule type="cellIs" dxfId="2225" priority="58" stopIfTrue="1" operator="equal">
      <formula>"KXL"</formula>
    </cfRule>
    <cfRule type="cellIs" dxfId="2224" priority="59" stopIfTrue="1" operator="equal">
      <formula>"A DN"</formula>
    </cfRule>
    <cfRule type="cellIs" dxfId="2223" priority="60" stopIfTrue="1" operator="equal">
      <formula>"C"</formula>
    </cfRule>
    <cfRule type="cellIs" dxfId="2222" priority="61" stopIfTrue="1" operator="equal">
      <formula>"B"</formula>
    </cfRule>
  </conditionalFormatting>
  <conditionalFormatting sqref="E316:G316">
    <cfRule type="cellIs" dxfId="2221" priority="86" stopIfTrue="1" operator="equal">
      <formula>"KXL"</formula>
    </cfRule>
    <cfRule type="cellIs" dxfId="2220" priority="87" stopIfTrue="1" operator="equal">
      <formula>"A DN"</formula>
    </cfRule>
    <cfRule type="cellIs" dxfId="2219" priority="88" stopIfTrue="1" operator="equal">
      <formula>"C"</formula>
    </cfRule>
    <cfRule type="cellIs" dxfId="2218" priority="89" stopIfTrue="1" operator="equal">
      <formula>"B"</formula>
    </cfRule>
  </conditionalFormatting>
  <conditionalFormatting sqref="E310:G315">
    <cfRule type="cellIs" dxfId="2217" priority="82" stopIfTrue="1" operator="equal">
      <formula>"KXL"</formula>
    </cfRule>
    <cfRule type="cellIs" dxfId="2216" priority="83" stopIfTrue="1" operator="equal">
      <formula>"A DN"</formula>
    </cfRule>
    <cfRule type="cellIs" dxfId="2215" priority="84" stopIfTrue="1" operator="equal">
      <formula>"C"</formula>
    </cfRule>
    <cfRule type="cellIs" dxfId="2214" priority="85" stopIfTrue="1" operator="equal">
      <formula>"B"</formula>
    </cfRule>
  </conditionalFormatting>
  <conditionalFormatting sqref="E323:G323">
    <cfRule type="cellIs" dxfId="2213" priority="78" stopIfTrue="1" operator="equal">
      <formula>"KXL"</formula>
    </cfRule>
    <cfRule type="cellIs" dxfId="2212" priority="79" stopIfTrue="1" operator="equal">
      <formula>"A DN"</formula>
    </cfRule>
    <cfRule type="cellIs" dxfId="2211" priority="80" stopIfTrue="1" operator="equal">
      <formula>"C"</formula>
    </cfRule>
    <cfRule type="cellIs" dxfId="2210" priority="81" stopIfTrue="1" operator="equal">
      <formula>"B"</formula>
    </cfRule>
  </conditionalFormatting>
  <conditionalFormatting sqref="E331:G331">
    <cfRule type="cellIs" dxfId="2209" priority="74" stopIfTrue="1" operator="equal">
      <formula>"KXL"</formula>
    </cfRule>
    <cfRule type="cellIs" dxfId="2208" priority="75" stopIfTrue="1" operator="equal">
      <formula>"A DN"</formula>
    </cfRule>
    <cfRule type="cellIs" dxfId="2207" priority="76" stopIfTrue="1" operator="equal">
      <formula>"C"</formula>
    </cfRule>
    <cfRule type="cellIs" dxfId="2206" priority="77" stopIfTrue="1" operator="equal">
      <formula>"B"</formula>
    </cfRule>
  </conditionalFormatting>
  <conditionalFormatting sqref="E333:G335">
    <cfRule type="cellIs" dxfId="2205" priority="70" stopIfTrue="1" operator="equal">
      <formula>"KXL"</formula>
    </cfRule>
    <cfRule type="cellIs" dxfId="2204" priority="71" stopIfTrue="1" operator="equal">
      <formula>"A DN"</formula>
    </cfRule>
    <cfRule type="cellIs" dxfId="2203" priority="72" stopIfTrue="1" operator="equal">
      <formula>"C"</formula>
    </cfRule>
    <cfRule type="cellIs" dxfId="2202" priority="73" stopIfTrue="1" operator="equal">
      <formula>"B"</formula>
    </cfRule>
  </conditionalFormatting>
  <conditionalFormatting sqref="E342:G342">
    <cfRule type="cellIs" dxfId="2201" priority="66" stopIfTrue="1" operator="equal">
      <formula>"KXL"</formula>
    </cfRule>
    <cfRule type="cellIs" dxfId="2200" priority="67" stopIfTrue="1" operator="equal">
      <formula>"A DN"</formula>
    </cfRule>
    <cfRule type="cellIs" dxfId="2199" priority="68" stopIfTrue="1" operator="equal">
      <formula>"C"</formula>
    </cfRule>
    <cfRule type="cellIs" dxfId="2198" priority="69" stopIfTrue="1" operator="equal">
      <formula>"B"</formula>
    </cfRule>
  </conditionalFormatting>
  <conditionalFormatting sqref="E344:G344">
    <cfRule type="cellIs" dxfId="2197" priority="62" stopIfTrue="1" operator="equal">
      <formula>"KXL"</formula>
    </cfRule>
    <cfRule type="cellIs" dxfId="2196" priority="63" stopIfTrue="1" operator="equal">
      <formula>"A DN"</formula>
    </cfRule>
    <cfRule type="cellIs" dxfId="2195" priority="64" stopIfTrue="1" operator="equal">
      <formula>"C"</formula>
    </cfRule>
    <cfRule type="cellIs" dxfId="2194" priority="65" stopIfTrue="1" operator="equal">
      <formula>"B"</formula>
    </cfRule>
  </conditionalFormatting>
  <conditionalFormatting sqref="H315">
    <cfRule type="cellIs" dxfId="2193" priority="54" stopIfTrue="1" operator="equal">
      <formula>"KXL"</formula>
    </cfRule>
    <cfRule type="cellIs" dxfId="2192" priority="55" stopIfTrue="1" operator="equal">
      <formula>"A DN"</formula>
    </cfRule>
    <cfRule type="cellIs" dxfId="2191" priority="56" stopIfTrue="1" operator="equal">
      <formula>"C"</formula>
    </cfRule>
    <cfRule type="cellIs" dxfId="2190" priority="57" stopIfTrue="1" operator="equal">
      <formula>"B"</formula>
    </cfRule>
  </conditionalFormatting>
  <conditionalFormatting sqref="L329:L344">
    <cfRule type="cellIs" dxfId="2189" priority="107" operator="equal">
      <formula>"A DN"</formula>
    </cfRule>
    <cfRule type="cellIs" dxfId="2188" priority="108" operator="equal">
      <formula>"D"</formula>
    </cfRule>
    <cfRule type="cellIs" dxfId="2187" priority="109" operator="equal">
      <formula>"C2"</formula>
    </cfRule>
    <cfRule type="cellIs" dxfId="2186" priority="110" operator="equal">
      <formula>"C1"</formula>
    </cfRule>
    <cfRule type="cellIs" dxfId="2185" priority="111" operator="equal">
      <formula>"C"</formula>
    </cfRule>
    <cfRule type="cellIs" dxfId="2184" priority="112" operator="equal">
      <formula>"B2"</formula>
    </cfRule>
    <cfRule type="cellIs" dxfId="2183" priority="113" operator="equal">
      <formula>"B1"</formula>
    </cfRule>
    <cfRule type="cellIs" dxfId="2182" priority="114" operator="equal">
      <formula>"B"</formula>
    </cfRule>
    <cfRule type="cellIs" dxfId="2181" priority="115" operator="equal">
      <formula>"B1"</formula>
    </cfRule>
    <cfRule type="cellIs" dxfId="2180" priority="116" operator="greaterThan">
      <formula>B</formula>
    </cfRule>
  </conditionalFormatting>
  <conditionalFormatting sqref="L299:L362">
    <cfRule type="cellIs" dxfId="2179" priority="119" operator="equal">
      <formula>"A DN"</formula>
    </cfRule>
    <cfRule type="cellIs" dxfId="2178" priority="120" operator="equal">
      <formula>"D"</formula>
    </cfRule>
    <cfRule type="cellIs" dxfId="2177" priority="121" operator="equal">
      <formula>"C2"</formula>
    </cfRule>
    <cfRule type="cellIs" dxfId="2176" priority="122" operator="equal">
      <formula>"C1"</formula>
    </cfRule>
    <cfRule type="cellIs" dxfId="2175" priority="123" operator="equal">
      <formula>"C"</formula>
    </cfRule>
    <cfRule type="cellIs" dxfId="2174" priority="124" operator="equal">
      <formula>"B2"</formula>
    </cfRule>
    <cfRule type="cellIs" dxfId="2173" priority="125" operator="equal">
      <formula>"B1"</formula>
    </cfRule>
    <cfRule type="cellIs" dxfId="2172" priority="126" operator="equal">
      <formula>"B"</formula>
    </cfRule>
    <cfRule type="cellIs" dxfId="2171" priority="127" operator="equal">
      <formula>"B1"</formula>
    </cfRule>
    <cfRule type="cellIs" dxfId="2170" priority="128" operator="greaterThan">
      <formula>B</formula>
    </cfRule>
  </conditionalFormatting>
  <conditionalFormatting sqref="L352:L354 L315:L328">
    <cfRule type="cellIs" dxfId="2169" priority="131" operator="equal">
      <formula>"A DN"</formula>
    </cfRule>
    <cfRule type="cellIs" dxfId="2168" priority="132" operator="equal">
      <formula>"D"</formula>
    </cfRule>
    <cfRule type="cellIs" dxfId="2167" priority="133" operator="equal">
      <formula>"C2"</formula>
    </cfRule>
    <cfRule type="cellIs" dxfId="2166" priority="134" operator="equal">
      <formula>"C1"</formula>
    </cfRule>
    <cfRule type="cellIs" dxfId="2165" priority="135" operator="equal">
      <formula>"C"</formula>
    </cfRule>
    <cfRule type="cellIs" dxfId="2164" priority="136" operator="equal">
      <formula>"B2"</formula>
    </cfRule>
    <cfRule type="cellIs" dxfId="2163" priority="137" operator="equal">
      <formula>"B1"</formula>
    </cfRule>
    <cfRule type="cellIs" dxfId="2162" priority="138" operator="equal">
      <formula>"B"</formula>
    </cfRule>
    <cfRule type="cellIs" dxfId="2161" priority="139" operator="equal">
      <formula>"B1"</formula>
    </cfRule>
    <cfRule type="cellIs" dxfId="2160" priority="140" operator="greaterThan">
      <formula>B</formula>
    </cfRule>
  </conditionalFormatting>
  <conditionalFormatting sqref="L310:L342 L355:L362">
    <cfRule type="cellIs" dxfId="2159" priority="143" operator="equal">
      <formula>"A DN"</formula>
    </cfRule>
    <cfRule type="cellIs" dxfId="2158" priority="144" operator="equal">
      <formula>"D"</formula>
    </cfRule>
    <cfRule type="cellIs" dxfId="2157" priority="145" operator="equal">
      <formula>"C2"</formula>
    </cfRule>
    <cfRule type="cellIs" dxfId="2156" priority="146" operator="equal">
      <formula>"C1"</formula>
    </cfRule>
    <cfRule type="cellIs" dxfId="2155" priority="147" operator="equal">
      <formula>"C"</formula>
    </cfRule>
    <cfRule type="cellIs" dxfId="2154" priority="148" operator="equal">
      <formula>"B2"</formula>
    </cfRule>
    <cfRule type="cellIs" dxfId="2153" priority="149" operator="equal">
      <formula>"B1"</formula>
    </cfRule>
    <cfRule type="cellIs" dxfId="2152" priority="150" operator="equal">
      <formula>"B"</formula>
    </cfRule>
    <cfRule type="cellIs" dxfId="2151" priority="151" operator="equal">
      <formula>"B1"</formula>
    </cfRule>
    <cfRule type="cellIs" dxfId="2150" priority="152" operator="greaterThan">
      <formula>B</formula>
    </cfRule>
  </conditionalFormatting>
  <conditionalFormatting sqref="L352:L362">
    <cfRule type="cellIs" dxfId="2149" priority="155" operator="equal">
      <formula>"A DN"</formula>
    </cfRule>
    <cfRule type="cellIs" dxfId="2148" priority="156" operator="equal">
      <formula>"D"</formula>
    </cfRule>
    <cfRule type="cellIs" dxfId="2147" priority="157" operator="equal">
      <formula>"C2"</formula>
    </cfRule>
    <cfRule type="cellIs" dxfId="2146" priority="158" operator="equal">
      <formula>"C1"</formula>
    </cfRule>
    <cfRule type="cellIs" dxfId="2145" priority="159" operator="equal">
      <formula>"C"</formula>
    </cfRule>
    <cfRule type="cellIs" dxfId="2144" priority="160" operator="equal">
      <formula>"B2"</formula>
    </cfRule>
    <cfRule type="cellIs" dxfId="2143" priority="161" operator="equal">
      <formula>"B1"</formula>
    </cfRule>
    <cfRule type="cellIs" dxfId="2142" priority="162" operator="equal">
      <formula>"B"</formula>
    </cfRule>
    <cfRule type="cellIs" dxfId="2141" priority="163" operator="equal">
      <formula>"B1"</formula>
    </cfRule>
    <cfRule type="cellIs" dxfId="2140" priority="164" operator="greaterThan">
      <formula>B</formula>
    </cfRule>
  </conditionalFormatting>
  <conditionalFormatting sqref="L355:L362">
    <cfRule type="cellIs" dxfId="2139" priority="167" operator="equal">
      <formula>"A DN"</formula>
    </cfRule>
    <cfRule type="cellIs" dxfId="2138" priority="168" operator="equal">
      <formula>"D"</formula>
    </cfRule>
    <cfRule type="cellIs" dxfId="2137" priority="169" operator="equal">
      <formula>"C2"</formula>
    </cfRule>
    <cfRule type="cellIs" dxfId="2136" priority="170" operator="equal">
      <formula>"C1"</formula>
    </cfRule>
    <cfRule type="cellIs" dxfId="2135" priority="171" operator="equal">
      <formula>"C"</formula>
    </cfRule>
    <cfRule type="cellIs" dxfId="2134" priority="172" operator="equal">
      <formula>"B2"</formula>
    </cfRule>
    <cfRule type="cellIs" dxfId="2133" priority="173" operator="equal">
      <formula>"B1"</formula>
    </cfRule>
    <cfRule type="cellIs" dxfId="2132" priority="174" operator="equal">
      <formula>"B"</formula>
    </cfRule>
    <cfRule type="cellIs" dxfId="2131" priority="175" operator="equal">
      <formula>"B1"</formula>
    </cfRule>
    <cfRule type="cellIs" dxfId="2130" priority="176" operator="greaterThan">
      <formula>B</formula>
    </cfRule>
  </conditionalFormatting>
  <conditionalFormatting sqref="L329:L362">
    <cfRule type="cellIs" dxfId="2129" priority="179" operator="equal">
      <formula>"A DN"</formula>
    </cfRule>
    <cfRule type="cellIs" dxfId="2128" priority="180" operator="equal">
      <formula>"D"</formula>
    </cfRule>
    <cfRule type="cellIs" dxfId="2127" priority="181" operator="equal">
      <formula>"C2"</formula>
    </cfRule>
    <cfRule type="cellIs" dxfId="2126" priority="182" operator="equal">
      <formula>"C1"</formula>
    </cfRule>
    <cfRule type="cellIs" dxfId="2125" priority="183" operator="equal">
      <formula>"C"</formula>
    </cfRule>
    <cfRule type="cellIs" dxfId="2124" priority="184" operator="equal">
      <formula>"B2"</formula>
    </cfRule>
    <cfRule type="cellIs" dxfId="2123" priority="185" operator="equal">
      <formula>"B1"</formula>
    </cfRule>
    <cfRule type="cellIs" dxfId="2122" priority="186" operator="equal">
      <formula>"B"</formula>
    </cfRule>
    <cfRule type="cellIs" dxfId="2121" priority="187" operator="equal">
      <formula>"B1"</formula>
    </cfRule>
    <cfRule type="cellIs" dxfId="2120" priority="188" operator="greaterThan">
      <formula>B</formula>
    </cfRule>
  </conditionalFormatting>
  <conditionalFormatting sqref="L329:L352">
    <cfRule type="cellIs" dxfId="2119" priority="191" operator="equal">
      <formula>"A DN"</formula>
    </cfRule>
    <cfRule type="cellIs" dxfId="2118" priority="192" operator="equal">
      <formula>"D"</formula>
    </cfRule>
    <cfRule type="cellIs" dxfId="2117" priority="193" operator="equal">
      <formula>"C2"</formula>
    </cfRule>
    <cfRule type="cellIs" dxfId="2116" priority="194" operator="equal">
      <formula>"C1"</formula>
    </cfRule>
    <cfRule type="cellIs" dxfId="2115" priority="195" operator="equal">
      <formula>"C"</formula>
    </cfRule>
    <cfRule type="cellIs" dxfId="2114" priority="196" operator="equal">
      <formula>"B2"</formula>
    </cfRule>
    <cfRule type="cellIs" dxfId="2113" priority="197" operator="equal">
      <formula>"B1"</formula>
    </cfRule>
    <cfRule type="cellIs" dxfId="2112" priority="198" operator="equal">
      <formula>"B"</formula>
    </cfRule>
    <cfRule type="cellIs" dxfId="2111" priority="199" operator="equal">
      <formula>"B1"</formula>
    </cfRule>
    <cfRule type="cellIs" dxfId="2110" priority="200" operator="greaterThan">
      <formula>B</formula>
    </cfRule>
  </conditionalFormatting>
  <conditionalFormatting sqref="M30:M31">
    <cfRule type="expression" dxfId="2109" priority="3167" stopIfTrue="1">
      <formula>"if=B1"</formula>
    </cfRule>
    <cfRule type="expression" dxfId="2108" priority="3168" stopIfTrue="1">
      <formula>#REF!</formula>
    </cfRule>
    <cfRule type="expression" dxfId="2107" priority="3169" stopIfTrue="1">
      <formula>#REF!</formula>
    </cfRule>
  </conditionalFormatting>
  <conditionalFormatting sqref="A8:M9 A14 AF8:JB9 AF14:JB14 O8:S9 A10:XFD13 A15:XFD17 AF19:JB20 A18:I20 AF18:XFD18 K18:Z18 O19:Z20">
    <cfRule type="cellIs" dxfId="2106" priority="49" stopIfTrue="1" operator="equal">
      <formula>"KXL"</formula>
    </cfRule>
    <cfRule type="cellIs" dxfId="2105" priority="50" stopIfTrue="1" operator="equal">
      <formula>"A DN"</formula>
    </cfRule>
    <cfRule type="cellIs" dxfId="2104" priority="51" stopIfTrue="1" operator="equal">
      <formula>"C"</formula>
    </cfRule>
    <cfRule type="cellIs" dxfId="2103" priority="52" stopIfTrue="1" operator="equal">
      <formula>"B"</formula>
    </cfRule>
  </conditionalFormatting>
  <conditionalFormatting sqref="AD18">
    <cfRule type="cellIs" dxfId="2102" priority="45" stopIfTrue="1" operator="equal">
      <formula>"KXL"</formula>
    </cfRule>
    <cfRule type="cellIs" dxfId="2101" priority="46" stopIfTrue="1" operator="equal">
      <formula>"A DN"</formula>
    </cfRule>
    <cfRule type="cellIs" dxfId="2100" priority="47" stopIfTrue="1" operator="equal">
      <formula>"C"</formula>
    </cfRule>
    <cfRule type="cellIs" dxfId="2099" priority="48" stopIfTrue="1" operator="equal">
      <formula>"B"</formula>
    </cfRule>
  </conditionalFormatting>
  <conditionalFormatting sqref="Y18:AC18">
    <cfRule type="cellIs" dxfId="2098" priority="41" stopIfTrue="1" operator="equal">
      <formula>"KXL"</formula>
    </cfRule>
    <cfRule type="cellIs" dxfId="2097" priority="42" stopIfTrue="1" operator="equal">
      <formula>"A DN"</formula>
    </cfRule>
    <cfRule type="cellIs" dxfId="2096" priority="43" stopIfTrue="1" operator="equal">
      <formula>"C"</formula>
    </cfRule>
    <cfRule type="cellIs" dxfId="2095" priority="44" stopIfTrue="1" operator="equal">
      <formula>"B"</formula>
    </cfRule>
  </conditionalFormatting>
  <conditionalFormatting sqref="J18">
    <cfRule type="cellIs" dxfId="2094" priority="37" stopIfTrue="1" operator="equal">
      <formula>"KXL"</formula>
    </cfRule>
    <cfRule type="cellIs" dxfId="2093" priority="38" stopIfTrue="1" operator="equal">
      <formula>"A DN"</formula>
    </cfRule>
    <cfRule type="cellIs" dxfId="2092" priority="39" stopIfTrue="1" operator="equal">
      <formula>"C"</formula>
    </cfRule>
    <cfRule type="cellIs" dxfId="2091" priority="40" stopIfTrue="1" operator="equal">
      <formula>"B"</formula>
    </cfRule>
  </conditionalFormatting>
  <conditionalFormatting sqref="J19:N20">
    <cfRule type="cellIs" dxfId="2090" priority="33" stopIfTrue="1" operator="equal">
      <formula>"KXL"</formula>
    </cfRule>
    <cfRule type="cellIs" dxfId="2089" priority="34" stopIfTrue="1" operator="equal">
      <formula>"A DN"</formula>
    </cfRule>
    <cfRule type="cellIs" dxfId="2088" priority="35" stopIfTrue="1" operator="equal">
      <formula>"C"</formula>
    </cfRule>
    <cfRule type="cellIs" dxfId="2087" priority="36" stopIfTrue="1" operator="equal">
      <formula>"B"</formula>
    </cfRule>
  </conditionalFormatting>
  <conditionalFormatting sqref="AA19:AE20 Y19:AC19">
    <cfRule type="cellIs" dxfId="2086" priority="29" stopIfTrue="1" operator="equal">
      <formula>"KXL"</formula>
    </cfRule>
    <cfRule type="cellIs" dxfId="2085" priority="30" stopIfTrue="1" operator="equal">
      <formula>"A DN"</formula>
    </cfRule>
    <cfRule type="cellIs" dxfId="2084" priority="31" stopIfTrue="1" operator="equal">
      <formula>"C"</formula>
    </cfRule>
    <cfRule type="cellIs" dxfId="2083" priority="32" stopIfTrue="1" operator="equal">
      <formula>"B"</formula>
    </cfRule>
  </conditionalFormatting>
  <conditionalFormatting sqref="AG1:IW7">
    <cfRule type="cellIs" dxfId="2082" priority="25" stopIfTrue="1" operator="equal">
      <formula>"KXL"</formula>
    </cfRule>
    <cfRule type="cellIs" dxfId="2081" priority="26" stopIfTrue="1" operator="equal">
      <formula>"A DN"</formula>
    </cfRule>
    <cfRule type="cellIs" dxfId="2080" priority="27" stopIfTrue="1" operator="equal">
      <formula>"C"</formula>
    </cfRule>
    <cfRule type="cellIs" dxfId="2079" priority="28" stopIfTrue="1" operator="equal">
      <formula>"B"</formula>
    </cfRule>
  </conditionalFormatting>
  <conditionalFormatting sqref="AA5">
    <cfRule type="cellIs" dxfId="2078" priority="21" stopIfTrue="1" operator="equal">
      <formula>"KXL"</formula>
    </cfRule>
    <cfRule type="cellIs" dxfId="2077" priority="22" stopIfTrue="1" operator="equal">
      <formula>"A DN"</formula>
    </cfRule>
    <cfRule type="cellIs" dxfId="2076" priority="23" stopIfTrue="1" operator="equal">
      <formula>"C"</formula>
    </cfRule>
    <cfRule type="cellIs" dxfId="2075" priority="24" stopIfTrue="1" operator="equal">
      <formula>"B"</formula>
    </cfRule>
  </conditionalFormatting>
  <conditionalFormatting sqref="A1 O1:U1 K1:M1">
    <cfRule type="cellIs" dxfId="2074" priority="17" stopIfTrue="1" operator="equal">
      <formula>"KXL"</formula>
    </cfRule>
    <cfRule type="cellIs" dxfId="2073" priority="18" stopIfTrue="1" operator="equal">
      <formula>"A DN"</formula>
    </cfRule>
    <cfRule type="cellIs" dxfId="2072" priority="19" stopIfTrue="1" operator="equal">
      <formula>"C"</formula>
    </cfRule>
    <cfRule type="cellIs" dxfId="2071" priority="20" stopIfTrue="1" operator="equal">
      <formula>"B"</formula>
    </cfRule>
  </conditionalFormatting>
  <conditionalFormatting sqref="O2:U3 A3:M3 A1:A2 K1:M2 A4:Z4">
    <cfRule type="cellIs" dxfId="2070" priority="9" stopIfTrue="1" operator="equal">
      <formula>"KXL"</formula>
    </cfRule>
    <cfRule type="cellIs" dxfId="2069" priority="10" stopIfTrue="1" operator="equal">
      <formula>"A DN"</formula>
    </cfRule>
    <cfRule type="cellIs" dxfId="2068" priority="11" stopIfTrue="1" operator="equal">
      <formula>"C"</formula>
    </cfRule>
    <cfRule type="cellIs" dxfId="2067" priority="12" stopIfTrue="1" operator="equal">
      <formula>"B"</formula>
    </cfRule>
  </conditionalFormatting>
  <conditionalFormatting sqref="A5:Z5 A6:A7">
    <cfRule type="cellIs" dxfId="2066" priority="13" stopIfTrue="1" operator="equal">
      <formula>"KXL"</formula>
    </cfRule>
    <cfRule type="cellIs" dxfId="2065" priority="14" stopIfTrue="1" operator="equal">
      <formula>"A DN"</formula>
    </cfRule>
    <cfRule type="cellIs" dxfId="2064" priority="15" stopIfTrue="1" operator="equal">
      <formula>"C"</formula>
    </cfRule>
    <cfRule type="cellIs" dxfId="2063" priority="16" stopIfTrue="1" operator="equal">
      <formula>"B"</formula>
    </cfRule>
  </conditionalFormatting>
  <conditionalFormatting sqref="AA5">
    <cfRule type="cellIs" dxfId="2062" priority="5" stopIfTrue="1" operator="equal">
      <formula>"KXL"</formula>
    </cfRule>
    <cfRule type="cellIs" dxfId="2061" priority="6" stopIfTrue="1" operator="equal">
      <formula>"A DN"</formula>
    </cfRule>
    <cfRule type="cellIs" dxfId="2060" priority="7" stopIfTrue="1" operator="equal">
      <formula>"C"</formula>
    </cfRule>
    <cfRule type="cellIs" dxfId="2059" priority="8" stopIfTrue="1" operator="equal">
      <formula>"B"</formula>
    </cfRule>
  </conditionalFormatting>
  <conditionalFormatting sqref="AB18">
    <cfRule type="cellIs" dxfId="2058" priority="1" stopIfTrue="1" operator="equal">
      <formula>"KXL"</formula>
    </cfRule>
    <cfRule type="cellIs" dxfId="2057" priority="2" stopIfTrue="1" operator="equal">
      <formula>"A DN"</formula>
    </cfRule>
    <cfRule type="cellIs" dxfId="2056" priority="3" stopIfTrue="1" operator="equal">
      <formula>"C"</formula>
    </cfRule>
    <cfRule type="cellIs" dxfId="2055" priority="4" stopIfTrue="1" operator="equal">
      <formula>"B"</formula>
    </cfRule>
  </conditionalFormatting>
  <conditionalFormatting sqref="M30:M298">
    <cfRule type="cellIs" dxfId="2054" priority="3217" stopIfTrue="1" operator="equal">
      <formula>"C2"</formula>
    </cfRule>
    <cfRule type="cellIs" dxfId="2053" priority="3218" stopIfTrue="1" operator="equal">
      <formula>"C1"</formula>
    </cfRule>
    <cfRule type="cellIs" dxfId="2052" priority="3219" stopIfTrue="1" operator="equal">
      <formula>"C2"</formula>
    </cfRule>
    <cfRule type="cellIs" dxfId="2051" priority="3220" stopIfTrue="1" operator="equal">
      <formula>"D"</formula>
    </cfRule>
    <cfRule type="cellIs" dxfId="2050" priority="3221" stopIfTrue="1" operator="equal">
      <formula>"E"</formula>
    </cfRule>
    <cfRule type="cellIs" dxfId="2049" priority="3222" stopIfTrue="1" operator="equal">
      <formula>"A DN"</formula>
    </cfRule>
    <cfRule type="cellIs" dxfId="2048" priority="3223" stopIfTrue="1" operator="equal">
      <formula>"A DN"</formula>
    </cfRule>
    <cfRule type="cellIs" dxfId="2047" priority="3224" stopIfTrue="1" operator="equal">
      <formula>"E"</formula>
    </cfRule>
    <cfRule type="cellIs" dxfId="2046" priority="3225" stopIfTrue="1" operator="equal">
      <formula>"D"</formula>
    </cfRule>
    <cfRule type="cellIs" dxfId="2045" priority="3226" stopIfTrue="1" operator="equal">
      <formula>"D1"</formula>
    </cfRule>
    <cfRule type="cellIs" dxfId="2044" priority="3227" stopIfTrue="1" operator="equal">
      <formula>"C2"</formula>
    </cfRule>
    <cfRule type="cellIs" dxfId="2043" priority="3228" stopIfTrue="1" operator="equal">
      <formula>"C1"</formula>
    </cfRule>
    <cfRule type="cellIs" dxfId="2042" priority="3229" stopIfTrue="1" operator="equal">
      <formula>"B2"</formula>
    </cfRule>
    <cfRule type="cellIs" dxfId="2041" priority="3230" stopIfTrue="1" operator="equal">
      <formula>"B1"</formula>
    </cfRule>
    <cfRule type="expression" dxfId="2040" priority="3231" stopIfTrue="1">
      <formula>#REF!</formula>
    </cfRule>
    <cfRule type="cellIs" dxfId="2039" priority="3232" stopIfTrue="1" operator="equal">
      <formula>"D"</formula>
    </cfRule>
  </conditionalFormatting>
  <conditionalFormatting sqref="M30:M298">
    <cfRule type="cellIs" dxfId="2038" priority="3233" stopIfTrue="1" operator="equal">
      <formula>"B1"</formula>
    </cfRule>
    <cfRule type="expression" dxfId="2037" priority="3234" stopIfTrue="1">
      <formula>#REF!</formula>
    </cfRule>
  </conditionalFormatting>
  <conditionalFormatting sqref="M30:M298">
    <cfRule type="cellIs" dxfId="2036" priority="3235" stopIfTrue="1" operator="equal">
      <formula>"B2"</formula>
    </cfRule>
    <cfRule type="expression" dxfId="2035" priority="3236" stopIfTrue="1">
      <formula>#REF!</formula>
    </cfRule>
  </conditionalFormatting>
  <conditionalFormatting sqref="M288:M298">
    <cfRule type="expression" dxfId="2034" priority="3240" stopIfTrue="1">
      <formula>"if=B1"</formula>
    </cfRule>
    <cfRule type="expression" dxfId="2033" priority="3241" stopIfTrue="1">
      <formula>$B274</formula>
    </cfRule>
    <cfRule type="expression" dxfId="2032" priority="3242" stopIfTrue="1">
      <formula>B274</formula>
    </cfRule>
  </conditionalFormatting>
  <conditionalFormatting sqref="M288:M298">
    <cfRule type="cellIs" dxfId="2031" priority="3259" stopIfTrue="1" operator="equal">
      <formula>"C2"</formula>
    </cfRule>
    <cfRule type="cellIs" dxfId="2030" priority="3260" stopIfTrue="1" operator="equal">
      <formula>"C1"</formula>
    </cfRule>
    <cfRule type="cellIs" dxfId="2029" priority="3261" stopIfTrue="1" operator="equal">
      <formula>"C2"</formula>
    </cfRule>
    <cfRule type="cellIs" dxfId="2028" priority="3262" stopIfTrue="1" operator="equal">
      <formula>"D"</formula>
    </cfRule>
    <cfRule type="cellIs" dxfId="2027" priority="3263" stopIfTrue="1" operator="equal">
      <formula>"E"</formula>
    </cfRule>
    <cfRule type="cellIs" dxfId="2026" priority="3264" stopIfTrue="1" operator="equal">
      <formula>"A DN"</formula>
    </cfRule>
    <cfRule type="cellIs" dxfId="2025" priority="3265" stopIfTrue="1" operator="equal">
      <formula>"A DN"</formula>
    </cfRule>
    <cfRule type="cellIs" dxfId="2024" priority="3266" stopIfTrue="1" operator="equal">
      <formula>"E"</formula>
    </cfRule>
    <cfRule type="cellIs" dxfId="2023" priority="3267" stopIfTrue="1" operator="equal">
      <formula>"D"</formula>
    </cfRule>
    <cfRule type="cellIs" dxfId="2022" priority="3268" stopIfTrue="1" operator="equal">
      <formula>"D1"</formula>
    </cfRule>
    <cfRule type="cellIs" dxfId="2021" priority="3269" stopIfTrue="1" operator="equal">
      <formula>"C2"</formula>
    </cfRule>
    <cfRule type="cellIs" dxfId="2020" priority="3270" stopIfTrue="1" operator="equal">
      <formula>"C1"</formula>
    </cfRule>
    <cfRule type="cellIs" dxfId="2019" priority="3271" stopIfTrue="1" operator="equal">
      <formula>"B2"</formula>
    </cfRule>
    <cfRule type="cellIs" dxfId="2018" priority="3272" stopIfTrue="1" operator="equal">
      <formula>"B1"</formula>
    </cfRule>
    <cfRule type="expression" dxfId="2017" priority="3273" stopIfTrue="1">
      <formula>B275</formula>
    </cfRule>
    <cfRule type="cellIs" dxfId="2016" priority="3274" stopIfTrue="1" operator="equal">
      <formula>"D"</formula>
    </cfRule>
  </conditionalFormatting>
  <conditionalFormatting sqref="M288:M298">
    <cfRule type="cellIs" dxfId="2015" priority="3277" stopIfTrue="1" operator="equal">
      <formula>"B1"</formula>
    </cfRule>
    <cfRule type="expression" dxfId="2014" priority="3278" stopIfTrue="1">
      <formula>B275</formula>
    </cfRule>
  </conditionalFormatting>
  <conditionalFormatting sqref="M288:M298">
    <cfRule type="cellIs" dxfId="2013" priority="3281" stopIfTrue="1" operator="equal">
      <formula>"B2"</formula>
    </cfRule>
    <cfRule type="expression" dxfId="2012" priority="3282" stopIfTrue="1">
      <formula>B275</formula>
    </cfRule>
  </conditionalFormatting>
  <conditionalFormatting sqref="M285:M287">
    <cfRule type="expression" dxfId="2011" priority="3382" stopIfTrue="1">
      <formula>"if=B1"</formula>
    </cfRule>
    <cfRule type="expression" dxfId="2010" priority="3383" stopIfTrue="1">
      <formula>$B92</formula>
    </cfRule>
    <cfRule type="expression" dxfId="2009" priority="3384" stopIfTrue="1">
      <formula>B92</formula>
    </cfRule>
  </conditionalFormatting>
  <conditionalFormatting sqref="M111:M113">
    <cfRule type="expression" dxfId="2008" priority="3385" stopIfTrue="1">
      <formula>"if=B1"</formula>
    </cfRule>
    <cfRule type="expression" dxfId="2007" priority="3386" stopIfTrue="1">
      <formula>$B285</formula>
    </cfRule>
    <cfRule type="expression" dxfId="2006" priority="3387" stopIfTrue="1">
      <formula>B285</formula>
    </cfRule>
  </conditionalFormatting>
  <conditionalFormatting sqref="M103:M110">
    <cfRule type="expression" dxfId="2005" priority="3388" stopIfTrue="1">
      <formula>"if=B1"</formula>
    </cfRule>
    <cfRule type="expression" dxfId="2004" priority="3389" stopIfTrue="1">
      <formula>$B95</formula>
    </cfRule>
    <cfRule type="expression" dxfId="2003"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'111'!B279</xm:f>
            <x14:dxf>
              <fill>
                <patternFill>
                  <bgColor rgb="FFFFFF00"/>
                </patternFill>
              </fill>
            </x14:dxf>
          </x14:cfRule>
          <x14:cfRule type="cellIs" priority="130" operator="equal" id="{F3BF6EF0-C9B8-442A-A4ED-10D88B9412F4}">
            <xm:f>'111'!B279</xm:f>
            <x14:dxf>
              <font>
                <color rgb="FF9C0006"/>
              </font>
            </x14:dxf>
          </x14:cfRule>
          <xm:sqref>L299:L362</xm:sqref>
        </x14:conditionalFormatting>
        <x14:conditionalFormatting xmlns:xm="http://schemas.microsoft.com/office/excel/2006/main">
          <x14:cfRule type="expression" priority="141" id="{3436735F-7E6E-4078-AF58-DCEFDBED4DCA}">
            <xm:f>'111'!B291</xm:f>
            <x14:dxf>
              <fill>
                <patternFill>
                  <bgColor rgb="FFFFFF00"/>
                </patternFill>
              </fill>
            </x14:dxf>
          </x14:cfRule>
          <x14:cfRule type="cellIs" priority="142" operator="equal" id="{4BC76E7C-2EAF-4223-9207-F913E81B0605}">
            <xm:f>'111'!B291</xm:f>
            <x14:dxf>
              <font>
                <color rgb="FF9C0006"/>
              </font>
            </x14:dxf>
          </x14:cfRule>
          <xm:sqref>L352:L354 L315:L328</xm:sqref>
        </x14:conditionalFormatting>
        <x14:conditionalFormatting xmlns:xm="http://schemas.microsoft.com/office/excel/2006/main">
          <x14:cfRule type="expression" priority="153" id="{D236896C-F335-4628-90CA-02091B30052A}">
            <xm:f>'111'!B287</xm:f>
            <x14:dxf>
              <fill>
                <patternFill>
                  <bgColor rgb="FFFFFF00"/>
                </patternFill>
              </fill>
            </x14:dxf>
          </x14:cfRule>
          <x14:cfRule type="cellIs" priority="154" operator="equal" id="{46ECE27F-18B7-4C96-B896-3F501CF648E3}">
            <xm:f>'111'!B287</xm:f>
            <x14:dxf>
              <font>
                <color rgb="FF9C0006"/>
              </font>
            </x14:dxf>
          </x14:cfRule>
          <xm:sqref>L310:L342 L355:L362</xm:sqref>
        </x14:conditionalFormatting>
        <x14:conditionalFormatting xmlns:xm="http://schemas.microsoft.com/office/excel/2006/main">
          <x14:cfRule type="expression" priority="165" id="{339F0BAC-E7F7-485A-A7C2-2368183C99F7}">
            <xm:f>'111'!B331</xm:f>
            <x14:dxf>
              <fill>
                <patternFill>
                  <bgColor rgb="FFFFFF00"/>
                </patternFill>
              </fill>
            </x14:dxf>
          </x14:cfRule>
          <x14:cfRule type="cellIs" priority="166" operator="equal" id="{BC7CBCBD-1DEA-44B4-98AE-574FA4FDA029}">
            <xm:f>'111'!B331</xm:f>
            <x14:dxf>
              <font>
                <color rgb="FF9C0006"/>
              </font>
            </x14:dxf>
          </x14:cfRule>
          <xm:sqref>L352:L362</xm:sqref>
        </x14:conditionalFormatting>
        <x14:conditionalFormatting xmlns:xm="http://schemas.microsoft.com/office/excel/2006/main">
          <x14:cfRule type="expression" priority="177" id="{05871A9C-C1DF-44C2-B10F-67F5FBDCB052}">
            <xm:f>'111'!B330</xm:f>
            <x14:dxf>
              <fill>
                <patternFill>
                  <bgColor rgb="FFFFFF00"/>
                </patternFill>
              </fill>
            </x14:dxf>
          </x14:cfRule>
          <x14:cfRule type="cellIs" priority="178" operator="equal" id="{65D4F21C-2B9D-4F14-B971-AC5D11EC55FC}">
            <xm:f>'111'!B330</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'111'!B307</xm:f>
            <x14:dxf>
              <fill>
                <patternFill>
                  <bgColor rgb="FFFFFF00"/>
                </patternFill>
              </fill>
            </x14:dxf>
          </x14:cfRule>
          <x14:cfRule type="cellIs" priority="202" operator="equal" id="{5403EB84-5D1B-4526-975E-417BFA84C883}">
            <xm:f>'111'!B307</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2" customFormat="1">
      <c r="A1" s="1693" t="s">
        <v>492</v>
      </c>
      <c r="B1" s="1693"/>
      <c r="C1" s="1693"/>
      <c r="D1" s="1693"/>
      <c r="E1" s="1693"/>
      <c r="F1" s="1693"/>
      <c r="G1" s="1693"/>
      <c r="H1" s="1693"/>
      <c r="I1" s="1693"/>
      <c r="J1" s="1693"/>
      <c r="K1" s="721"/>
      <c r="L1" s="721"/>
      <c r="M1" s="721"/>
      <c r="O1" s="723"/>
      <c r="P1" s="723"/>
      <c r="Q1" s="723"/>
      <c r="R1" s="723"/>
      <c r="S1" s="723"/>
      <c r="T1" s="724"/>
      <c r="U1" s="1691" t="s">
        <v>849</v>
      </c>
      <c r="V1" s="1691"/>
      <c r="W1" s="1691"/>
      <c r="X1" s="1691"/>
      <c r="Y1" s="1691"/>
      <c r="Z1" s="1691"/>
      <c r="AA1" s="1691"/>
      <c r="AB1" s="1691"/>
      <c r="AC1" s="1691"/>
      <c r="AD1" s="1691"/>
      <c r="AE1" s="723"/>
    </row>
    <row r="2" spans="1:34" s="722" customFormat="1" ht="14.25">
      <c r="A2" s="1691" t="s">
        <v>1563</v>
      </c>
      <c r="B2" s="1691"/>
      <c r="C2" s="1691"/>
      <c r="D2" s="1691"/>
      <c r="E2" s="1691"/>
      <c r="F2" s="1691"/>
      <c r="G2" s="1691"/>
      <c r="H2" s="1691"/>
      <c r="I2" s="1691"/>
      <c r="J2" s="1691"/>
      <c r="K2" s="725"/>
      <c r="L2" s="725"/>
      <c r="M2" s="725"/>
      <c r="O2" s="723"/>
      <c r="P2" s="723"/>
      <c r="Q2" s="723"/>
      <c r="R2" s="723"/>
      <c r="S2" s="723"/>
      <c r="T2" s="723"/>
      <c r="U2" s="723"/>
      <c r="V2" s="723"/>
      <c r="W2" s="723"/>
      <c r="X2" s="723"/>
      <c r="Y2" s="723"/>
      <c r="Z2" s="1691" t="s">
        <v>2179</v>
      </c>
      <c r="AA2" s="1691"/>
      <c r="AB2" s="1691"/>
      <c r="AC2" s="1691"/>
      <c r="AD2" s="1691"/>
      <c r="AE2" s="723"/>
    </row>
    <row r="3" spans="1:34" s="722" customFormat="1" ht="15" customHeight="1">
      <c r="A3" s="1691" t="s">
        <v>1564</v>
      </c>
      <c r="B3" s="1691"/>
      <c r="C3" s="1691"/>
      <c r="D3" s="1691"/>
      <c r="E3" s="1691"/>
      <c r="F3" s="1691"/>
      <c r="G3" s="1691"/>
      <c r="H3" s="1691"/>
      <c r="I3" s="1691"/>
      <c r="J3" s="1691"/>
      <c r="K3" s="1691"/>
      <c r="L3" s="1691"/>
      <c r="M3" s="1691"/>
      <c r="O3" s="723"/>
      <c r="P3" s="723"/>
      <c r="Q3" s="723"/>
      <c r="R3" s="723"/>
      <c r="S3" s="723"/>
      <c r="T3" s="723"/>
      <c r="U3" s="723"/>
      <c r="V3" s="723"/>
      <c r="W3" s="723"/>
      <c r="X3" s="723"/>
      <c r="Y3" s="723"/>
      <c r="Z3" s="723"/>
      <c r="AA3" s="723"/>
      <c r="AB3" s="1691" t="s">
        <v>2180</v>
      </c>
      <c r="AC3" s="1691"/>
      <c r="AD3" s="1691"/>
      <c r="AE3" s="723"/>
    </row>
    <row r="4" spans="1:34" s="722" customFormat="1" ht="16.5" customHeight="1">
      <c r="A4" s="1691"/>
      <c r="B4" s="1691"/>
      <c r="C4" s="1691"/>
      <c r="D4" s="1691"/>
      <c r="E4" s="1691"/>
      <c r="F4" s="1691"/>
      <c r="G4" s="1691"/>
      <c r="H4" s="1691"/>
      <c r="I4" s="1691"/>
      <c r="J4" s="1691"/>
      <c r="K4" s="1691"/>
      <c r="L4" s="1691"/>
      <c r="M4" s="1691"/>
      <c r="N4" s="726"/>
      <c r="O4" s="727"/>
      <c r="P4" s="721"/>
      <c r="Q4" s="721"/>
      <c r="R4" s="721"/>
      <c r="S4" s="727"/>
      <c r="T4" s="728"/>
      <c r="U4" s="727"/>
      <c r="V4" s="729"/>
      <c r="W4" s="727"/>
      <c r="X4" s="727"/>
      <c r="Y4" s="727"/>
      <c r="Z4" s="727"/>
      <c r="AA4" s="727"/>
      <c r="AB4" s="1693" t="s">
        <v>2181</v>
      </c>
      <c r="AC4" s="1693"/>
      <c r="AD4" s="1693"/>
      <c r="AE4" s="732"/>
    </row>
    <row r="5" spans="1:34" s="722" customFormat="1" ht="16.5" customHeight="1">
      <c r="A5" s="730"/>
      <c r="B5" s="731"/>
      <c r="C5" s="731"/>
      <c r="D5" s="731"/>
      <c r="E5" s="731"/>
      <c r="F5" s="731"/>
      <c r="G5" s="731"/>
      <c r="H5" s="731"/>
      <c r="I5" s="731"/>
      <c r="J5" s="731"/>
      <c r="K5" s="730"/>
      <c r="L5" s="730"/>
      <c r="M5" s="730"/>
      <c r="N5" s="726"/>
      <c r="O5" s="727"/>
      <c r="P5" s="721"/>
      <c r="Q5" s="721"/>
      <c r="R5" s="721"/>
      <c r="S5" s="727"/>
      <c r="T5" s="728"/>
      <c r="U5" s="727"/>
      <c r="V5" s="729"/>
      <c r="W5" s="727"/>
      <c r="X5" s="727"/>
      <c r="Y5" s="727"/>
      <c r="Z5" s="727"/>
      <c r="AA5" s="727"/>
      <c r="AB5" s="1693" t="s">
        <v>2182</v>
      </c>
      <c r="AC5" s="1693"/>
      <c r="AD5" s="1693"/>
      <c r="AE5" s="732"/>
    </row>
    <row r="6" spans="1:34"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1690"/>
      <c r="AD6" s="1690"/>
      <c r="AE6" s="733"/>
    </row>
    <row r="7" spans="1:34" s="722" customFormat="1" ht="18.75" customHeight="1">
      <c r="A7" s="1690" t="s">
        <v>2184</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1690"/>
      <c r="AD7" s="1690"/>
      <c r="AE7" s="733"/>
    </row>
    <row r="8" spans="1:34" hidden="1">
      <c r="A8" s="1694" t="s">
        <v>492</v>
      </c>
      <c r="B8" s="1694"/>
      <c r="C8" s="1694"/>
      <c r="D8" s="1694"/>
      <c r="E8" s="1694"/>
      <c r="F8" s="1694"/>
      <c r="G8" s="1694"/>
      <c r="H8" s="1694"/>
      <c r="I8" s="1694"/>
      <c r="J8" s="1694"/>
      <c r="K8" s="1694"/>
      <c r="L8" s="1694"/>
      <c r="M8" s="1694"/>
      <c r="O8" s="19"/>
      <c r="P8" s="19"/>
      <c r="Q8" s="19"/>
      <c r="R8" s="467"/>
      <c r="S8" s="1678" t="s">
        <v>849</v>
      </c>
      <c r="T8" s="1678"/>
      <c r="U8" s="1678"/>
      <c r="V8" s="1678"/>
      <c r="W8" s="1678"/>
      <c r="X8" s="1678"/>
      <c r="Y8" s="1678"/>
      <c r="Z8" s="1678"/>
      <c r="AA8" s="1678"/>
      <c r="AB8" s="1678"/>
      <c r="AC8" s="1678"/>
      <c r="AD8" s="1678"/>
    </row>
    <row r="9" spans="1:34" ht="15" hidden="1" customHeight="1">
      <c r="A9" s="1678" t="s">
        <v>1563</v>
      </c>
      <c r="B9" s="1678"/>
      <c r="C9" s="1678"/>
      <c r="D9" s="1678"/>
      <c r="E9" s="1678"/>
      <c r="F9" s="1678"/>
      <c r="G9" s="1678"/>
      <c r="H9" s="1678"/>
      <c r="I9" s="1678"/>
      <c r="J9" s="1678"/>
      <c r="K9" s="1678"/>
      <c r="L9" s="1678"/>
      <c r="M9" s="1678"/>
      <c r="O9" s="19"/>
      <c r="P9" s="19"/>
      <c r="Q9" s="19"/>
      <c r="R9" s="467"/>
      <c r="S9" s="1678" t="s">
        <v>851</v>
      </c>
      <c r="T9" s="1678"/>
      <c r="U9" s="1678"/>
      <c r="V9" s="1678"/>
      <c r="W9" s="1678"/>
      <c r="X9" s="1678"/>
      <c r="Y9" s="1678"/>
      <c r="Z9" s="1678"/>
      <c r="AA9" s="1678"/>
      <c r="AB9" s="1678"/>
      <c r="AC9" s="1678"/>
      <c r="AD9" s="1678"/>
    </row>
    <row r="10" spans="1:34" ht="16.5" hidden="1" customHeight="1">
      <c r="A10" s="1678" t="s">
        <v>1564</v>
      </c>
      <c r="B10" s="1678"/>
      <c r="C10" s="1678"/>
      <c r="D10" s="1678"/>
      <c r="E10" s="1678"/>
      <c r="F10" s="1678"/>
      <c r="G10" s="1678"/>
      <c r="H10" s="1678"/>
      <c r="I10" s="1678"/>
      <c r="J10" s="1678"/>
      <c r="K10" s="1678"/>
      <c r="L10" s="1678"/>
      <c r="M10" s="1678"/>
      <c r="N10" s="104"/>
      <c r="O10" s="706"/>
      <c r="P10" s="706"/>
      <c r="Q10" s="17"/>
      <c r="R10" s="468"/>
      <c r="S10" s="17"/>
      <c r="T10" s="397"/>
      <c r="U10" s="17"/>
      <c r="V10" s="607"/>
      <c r="W10" s="17"/>
      <c r="X10" s="17"/>
      <c r="Y10" s="17"/>
      <c r="Z10" s="17"/>
      <c r="AA10" s="17"/>
      <c r="AB10" s="17"/>
      <c r="AC10" s="16"/>
    </row>
    <row r="11" spans="1:34" ht="9" hidden="1" customHeight="1">
      <c r="A11" s="709"/>
      <c r="B11" s="709"/>
      <c r="C11" s="709"/>
      <c r="D11" s="709"/>
      <c r="E11" s="709"/>
      <c r="F11" s="709"/>
      <c r="G11" s="709"/>
      <c r="H11" s="709"/>
      <c r="I11" s="709"/>
      <c r="J11" s="709"/>
      <c r="K11" s="709"/>
      <c r="L11" s="709"/>
      <c r="M11" s="709"/>
      <c r="N11" s="104"/>
      <c r="O11" s="706"/>
      <c r="P11" s="706"/>
      <c r="Q11" s="17"/>
      <c r="R11" s="468"/>
      <c r="S11" s="17"/>
      <c r="T11" s="397"/>
      <c r="U11" s="17"/>
      <c r="V11" s="607"/>
      <c r="W11" s="17"/>
      <c r="X11" s="17"/>
      <c r="Y11" s="17"/>
      <c r="Z11" s="17"/>
      <c r="AA11" s="17"/>
      <c r="AB11" s="17"/>
      <c r="AC11" s="16"/>
    </row>
    <row r="12" spans="1:34" ht="18.75" hidden="1" customHeight="1">
      <c r="A12" s="1682" t="s">
        <v>2159</v>
      </c>
      <c r="B12" s="1682"/>
      <c r="C12" s="1682"/>
      <c r="D12" s="1682"/>
      <c r="E12" s="1682"/>
      <c r="F12" s="1682"/>
      <c r="G12" s="1682"/>
      <c r="H12" s="1682"/>
      <c r="I12" s="1682"/>
      <c r="J12" s="1682"/>
      <c r="K12" s="1682"/>
      <c r="L12" s="1682"/>
      <c r="M12" s="1682"/>
      <c r="N12" s="1682"/>
      <c r="O12" s="1682"/>
      <c r="P12" s="1682"/>
      <c r="Q12" s="1682"/>
      <c r="R12" s="1682"/>
      <c r="S12" s="1682"/>
      <c r="T12" s="1682"/>
      <c r="U12" s="1682"/>
      <c r="V12" s="1682"/>
      <c r="W12" s="1682"/>
      <c r="X12" s="1682"/>
      <c r="Y12" s="1682"/>
      <c r="Z12" s="1682"/>
      <c r="AA12" s="1682"/>
      <c r="AB12" s="1682"/>
      <c r="AC12" s="1682"/>
      <c r="AD12" s="1682"/>
    </row>
    <row r="13" spans="1:34" ht="18.75" hidden="1" customHeight="1">
      <c r="A13" s="1682" t="s">
        <v>1600</v>
      </c>
      <c r="B13" s="1682"/>
      <c r="C13" s="1682"/>
      <c r="D13" s="1682"/>
      <c r="E13" s="1682"/>
      <c r="F13" s="1682"/>
      <c r="G13" s="1682"/>
      <c r="H13" s="1682"/>
      <c r="I13" s="1682"/>
      <c r="J13" s="1682"/>
      <c r="K13" s="1682"/>
      <c r="L13" s="1682"/>
      <c r="M13" s="1682"/>
      <c r="N13" s="1682"/>
      <c r="O13" s="1682"/>
      <c r="P13" s="1682"/>
      <c r="Q13" s="1682"/>
      <c r="R13" s="1682"/>
      <c r="S13" s="1682"/>
      <c r="T13" s="1682"/>
      <c r="U13" s="1682"/>
      <c r="V13" s="1682"/>
      <c r="W13" s="1682"/>
      <c r="X13" s="1682"/>
      <c r="Y13" s="1682"/>
      <c r="Z13" s="1682"/>
      <c r="AA13" s="1682"/>
      <c r="AB13" s="1682"/>
      <c r="AC13" s="1682"/>
      <c r="AD13" s="1682"/>
    </row>
    <row r="14" spans="1:34" ht="54" hidden="1" customHeight="1">
      <c r="A14" s="1683" t="s">
        <v>2007</v>
      </c>
      <c r="B14" s="1683"/>
      <c r="C14" s="1683"/>
      <c r="D14" s="1683"/>
      <c r="E14" s="1683"/>
      <c r="F14" s="1683"/>
      <c r="G14" s="1683"/>
      <c r="H14" s="1683"/>
      <c r="I14" s="1683"/>
      <c r="J14" s="1683"/>
      <c r="K14" s="1683"/>
      <c r="L14" s="1683"/>
      <c r="M14" s="1683"/>
      <c r="N14" s="1683"/>
      <c r="O14" s="1683"/>
      <c r="P14" s="1683"/>
      <c r="Q14" s="1683"/>
      <c r="R14" s="1683"/>
      <c r="S14" s="1683"/>
      <c r="T14" s="1683"/>
      <c r="U14" s="1683"/>
      <c r="V14" s="1683"/>
      <c r="W14" s="1683"/>
      <c r="X14" s="1683"/>
      <c r="Y14" s="1683"/>
      <c r="Z14" s="1683"/>
      <c r="AA14" s="1683"/>
      <c r="AB14" s="1683"/>
      <c r="AC14" s="1683"/>
      <c r="AD14" s="1683"/>
    </row>
    <row r="15" spans="1:34" s="521" customFormat="1" ht="16.5" hidden="1" customHeight="1">
      <c r="A15" s="520" t="s">
        <v>2013</v>
      </c>
      <c r="C15" s="522">
        <v>1490000</v>
      </c>
      <c r="D15" s="523"/>
      <c r="E15" s="523"/>
      <c r="F15" s="711"/>
      <c r="G15" s="525">
        <v>1800000</v>
      </c>
      <c r="H15" s="525"/>
      <c r="I15" s="526"/>
      <c r="J15" s="526"/>
      <c r="K15" s="527"/>
      <c r="L15" s="528"/>
      <c r="M15" s="526"/>
      <c r="N15" s="529"/>
      <c r="O15" s="1684"/>
      <c r="P15" s="1684"/>
      <c r="Q15" s="1684"/>
      <c r="R15" s="1684"/>
      <c r="S15" s="1684"/>
      <c r="T15" s="530"/>
      <c r="U15" s="531"/>
      <c r="V15" s="608"/>
      <c r="W15" s="707" t="s">
        <v>1181</v>
      </c>
      <c r="X15" s="707"/>
      <c r="Y15" s="707"/>
      <c r="Z15" s="707"/>
      <c r="AA15" s="707"/>
      <c r="AB15" s="707"/>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8" t="s">
        <v>853</v>
      </c>
      <c r="B18" s="1685" t="s">
        <v>854</v>
      </c>
      <c r="C18" s="1685"/>
      <c r="D18" s="93" t="s">
        <v>1598</v>
      </c>
      <c r="E18" s="437" t="s">
        <v>50</v>
      </c>
      <c r="F18" s="45" t="s">
        <v>1137</v>
      </c>
      <c r="G18" s="228" t="s">
        <v>1138</v>
      </c>
      <c r="H18" s="45" t="s">
        <v>1139</v>
      </c>
      <c r="I18" s="45" t="s">
        <v>1140</v>
      </c>
      <c r="J18" s="719" t="s">
        <v>2176</v>
      </c>
      <c r="K18" s="83" t="s">
        <v>855</v>
      </c>
      <c r="L18" s="364" t="s">
        <v>1141</v>
      </c>
      <c r="M18" s="708" t="s">
        <v>860</v>
      </c>
      <c r="N18" s="708" t="s">
        <v>1186</v>
      </c>
      <c r="O18" s="708" t="s">
        <v>861</v>
      </c>
      <c r="P18" s="708" t="s">
        <v>857</v>
      </c>
      <c r="Q18" s="708" t="s">
        <v>1187</v>
      </c>
      <c r="R18" s="470" t="s">
        <v>1247</v>
      </c>
      <c r="S18" s="98" t="s">
        <v>1188</v>
      </c>
      <c r="T18" s="399" t="s">
        <v>1184</v>
      </c>
      <c r="U18" s="708" t="s">
        <v>1189</v>
      </c>
      <c r="V18" s="610" t="s">
        <v>1190</v>
      </c>
      <c r="W18" s="708" t="s">
        <v>1100</v>
      </c>
      <c r="X18" s="459" t="s">
        <v>2169</v>
      </c>
      <c r="Y18" s="459" t="s">
        <v>2170</v>
      </c>
      <c r="Z18" s="718" t="s">
        <v>2172</v>
      </c>
      <c r="AA18" s="718" t="s">
        <v>2173</v>
      </c>
      <c r="AB18" s="718" t="s">
        <v>2174</v>
      </c>
      <c r="AC18" s="1695" t="s">
        <v>2175</v>
      </c>
      <c r="AD18" s="1696"/>
      <c r="AE18" s="454"/>
      <c r="AH18" s="159"/>
    </row>
    <row r="19" spans="1:44" s="113" customFormat="1" ht="15" customHeight="1">
      <c r="A19" s="703" t="s">
        <v>858</v>
      </c>
      <c r="B19" s="1679" t="s">
        <v>525</v>
      </c>
      <c r="C19" s="1679"/>
      <c r="D19" s="703"/>
      <c r="E19" s="438"/>
      <c r="F19" s="703" t="s">
        <v>1112</v>
      </c>
      <c r="G19" s="703" t="s">
        <v>1113</v>
      </c>
      <c r="H19" s="703" t="s">
        <v>1114</v>
      </c>
      <c r="I19" s="703" t="s">
        <v>1115</v>
      </c>
      <c r="J19" s="704" t="s">
        <v>786</v>
      </c>
      <c r="K19" s="704">
        <v>2</v>
      </c>
      <c r="L19" s="704" t="s">
        <v>2177</v>
      </c>
      <c r="M19" s="720"/>
      <c r="N19" s="705" t="s">
        <v>2178</v>
      </c>
      <c r="O19" s="703" t="s">
        <v>1115</v>
      </c>
      <c r="P19" s="703" t="s">
        <v>1116</v>
      </c>
      <c r="Q19" s="703" t="s">
        <v>1117</v>
      </c>
      <c r="R19" s="471" t="s">
        <v>1125</v>
      </c>
      <c r="S19" s="703" t="s">
        <v>1118</v>
      </c>
      <c r="T19" s="400" t="s">
        <v>1127</v>
      </c>
      <c r="U19" s="703">
        <v>10</v>
      </c>
      <c r="V19" s="611" t="s">
        <v>2022</v>
      </c>
      <c r="W19" s="703">
        <v>11</v>
      </c>
      <c r="X19" s="704"/>
      <c r="Y19" s="704"/>
      <c r="Z19" s="704">
        <v>1</v>
      </c>
      <c r="AA19" s="704">
        <v>2</v>
      </c>
      <c r="AB19" s="704" t="s">
        <v>2177</v>
      </c>
      <c r="AC19" s="720"/>
      <c r="AD19" s="705" t="s">
        <v>2178</v>
      </c>
      <c r="AE19" s="455"/>
      <c r="AH19" s="160"/>
    </row>
    <row r="20" spans="1:44" s="113" customFormat="1" ht="21" customHeight="1">
      <c r="A20" s="823"/>
      <c r="B20" s="824" t="s">
        <v>2187</v>
      </c>
      <c r="C20" s="825"/>
      <c r="D20" s="826"/>
      <c r="E20" s="827"/>
      <c r="F20" s="823"/>
      <c r="G20" s="823"/>
      <c r="H20" s="823"/>
      <c r="I20" s="823"/>
      <c r="J20" s="831"/>
      <c r="K20" s="831"/>
      <c r="L20" s="831"/>
      <c r="M20" s="832"/>
      <c r="N20" s="825"/>
      <c r="O20" s="823"/>
      <c r="P20" s="823"/>
      <c r="Q20" s="823"/>
      <c r="R20" s="828"/>
      <c r="S20" s="823"/>
      <c r="T20" s="829"/>
      <c r="U20" s="823"/>
      <c r="V20" s="823"/>
      <c r="W20" s="823"/>
      <c r="X20" s="830"/>
      <c r="Y20" s="831"/>
      <c r="Z20" s="831"/>
      <c r="AA20" s="831"/>
      <c r="AB20" s="831"/>
      <c r="AC20" s="832"/>
      <c r="AD20" s="825"/>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8">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5">
        <f>ROUND(W21+X21,0)</f>
        <v>19180800</v>
      </c>
      <c r="Z21" s="716">
        <f>Y21/AA21</f>
        <v>10.656000000000001</v>
      </c>
      <c r="AA21" s="714">
        <v>1800000</v>
      </c>
      <c r="AB21" s="715">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5">
        <f t="shared" ref="Y22:Y85" si="8">W22+X22</f>
        <v>17362368.000000004</v>
      </c>
      <c r="Z22" s="716">
        <f t="shared" ref="Z22:Z85" si="9">Y22/AA22</f>
        <v>9.6457600000000028</v>
      </c>
      <c r="AA22" s="714">
        <v>1800000</v>
      </c>
      <c r="AB22" s="715">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5">
        <f t="shared" si="8"/>
        <v>17505792</v>
      </c>
      <c r="Z23" s="716">
        <f t="shared" si="9"/>
        <v>9.7254400000000008</v>
      </c>
      <c r="AA23" s="714">
        <v>1800000</v>
      </c>
      <c r="AB23" s="715">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5">
        <f t="shared" si="8"/>
        <v>15408000.000000004</v>
      </c>
      <c r="Z24" s="716">
        <f t="shared" si="9"/>
        <v>8.5600000000000023</v>
      </c>
      <c r="AA24" s="714">
        <v>1800000</v>
      </c>
      <c r="AB24" s="715">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5">
        <f t="shared" si="8"/>
        <v>16355520</v>
      </c>
      <c r="Z25" s="716">
        <f t="shared" si="9"/>
        <v>9.0863999999999994</v>
      </c>
      <c r="AA25" s="714">
        <v>1800000</v>
      </c>
      <c r="AB25" s="715">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5">
        <f t="shared" si="8"/>
        <v>10598400</v>
      </c>
      <c r="Z26" s="716">
        <f t="shared" si="9"/>
        <v>5.8879999999999999</v>
      </c>
      <c r="AA26" s="714">
        <v>1800000</v>
      </c>
      <c r="AB26" s="715">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5">
        <f t="shared" si="8"/>
        <v>9648000</v>
      </c>
      <c r="Z27" s="716">
        <f t="shared" si="9"/>
        <v>5.36</v>
      </c>
      <c r="AA27" s="714">
        <v>1800000</v>
      </c>
      <c r="AB27" s="715">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5">
        <f t="shared" si="8"/>
        <v>10540800</v>
      </c>
      <c r="Z28" s="716">
        <f t="shared" si="9"/>
        <v>5.8559999999999999</v>
      </c>
      <c r="AA28" s="714">
        <v>1800000</v>
      </c>
      <c r="AB28" s="715">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5">
        <f t="shared" si="8"/>
        <v>10540800</v>
      </c>
      <c r="Z29" s="716">
        <f t="shared" si="9"/>
        <v>5.8559999999999999</v>
      </c>
      <c r="AA29" s="714">
        <v>1800000</v>
      </c>
      <c r="AB29" s="715">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5">
        <f t="shared" si="8"/>
        <v>9964800</v>
      </c>
      <c r="Z30" s="716">
        <f t="shared" si="9"/>
        <v>5.5359999999999996</v>
      </c>
      <c r="AA30" s="714">
        <v>1800000</v>
      </c>
      <c r="AB30" s="715">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5">
        <f t="shared" si="8"/>
        <v>5764500</v>
      </c>
      <c r="Z31" s="716">
        <f t="shared" si="9"/>
        <v>3.2025000000000001</v>
      </c>
      <c r="AA31" s="714">
        <v>1800000</v>
      </c>
      <c r="AB31" s="715">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5">
        <f t="shared" si="8"/>
        <v>9590400</v>
      </c>
      <c r="Z32" s="716">
        <f t="shared" si="9"/>
        <v>5.3280000000000003</v>
      </c>
      <c r="AA32" s="714">
        <v>1800000</v>
      </c>
      <c r="AB32" s="715">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5">
        <f t="shared" si="8"/>
        <v>7905600</v>
      </c>
      <c r="Z33" s="716">
        <f t="shared" si="9"/>
        <v>4.3920000000000003</v>
      </c>
      <c r="AA33" s="714">
        <v>1800000</v>
      </c>
      <c r="AB33" s="715">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5">
        <f t="shared" si="8"/>
        <v>4870125</v>
      </c>
      <c r="Z34" s="716">
        <f t="shared" si="9"/>
        <v>2.7056249999999999</v>
      </c>
      <c r="AA34" s="714">
        <v>1800000</v>
      </c>
      <c r="AB34" s="715">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5">
        <f t="shared" si="8"/>
        <v>6073200</v>
      </c>
      <c r="Z35" s="716">
        <f t="shared" si="9"/>
        <v>3.3740000000000001</v>
      </c>
      <c r="AA35" s="714">
        <v>1800000</v>
      </c>
      <c r="AB35" s="715">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5">
        <f t="shared" si="8"/>
        <v>7905600</v>
      </c>
      <c r="Z36" s="716">
        <f t="shared" si="9"/>
        <v>4.3920000000000003</v>
      </c>
      <c r="AA36" s="714">
        <v>1800000</v>
      </c>
      <c r="AB36" s="715">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5">
        <f t="shared" si="8"/>
        <v>16355520</v>
      </c>
      <c r="Z37" s="716">
        <f t="shared" si="9"/>
        <v>9.0863999999999994</v>
      </c>
      <c r="AA37" s="714">
        <v>1800000</v>
      </c>
      <c r="AB37" s="715">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5">
        <f t="shared" si="8"/>
        <v>16354368</v>
      </c>
      <c r="Z38" s="716">
        <f t="shared" si="9"/>
        <v>9.0857600000000005</v>
      </c>
      <c r="AA38" s="714">
        <v>1800000</v>
      </c>
      <c r="AB38" s="715">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5">
        <f t="shared" si="8"/>
        <v>6142500</v>
      </c>
      <c r="Z39" s="716">
        <f t="shared" si="9"/>
        <v>3.4125000000000001</v>
      </c>
      <c r="AA39" s="714">
        <v>1800000</v>
      </c>
      <c r="AB39" s="715">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5">
        <f t="shared" si="8"/>
        <v>6601500</v>
      </c>
      <c r="Z40" s="716">
        <f t="shared" si="9"/>
        <v>3.6675</v>
      </c>
      <c r="AA40" s="714">
        <v>1800000</v>
      </c>
      <c r="AB40" s="715">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5">
        <f t="shared" si="8"/>
        <v>9964800</v>
      </c>
      <c r="Z41" s="716">
        <f t="shared" si="9"/>
        <v>5.5359999999999996</v>
      </c>
      <c r="AA41" s="714">
        <v>1800000</v>
      </c>
      <c r="AB41" s="715">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5">
        <f t="shared" si="8"/>
        <v>9619200</v>
      </c>
      <c r="Z42" s="716">
        <f t="shared" si="9"/>
        <v>5.3440000000000003</v>
      </c>
      <c r="AA42" s="714">
        <v>1800000</v>
      </c>
      <c r="AB42" s="715">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5">
        <f t="shared" si="8"/>
        <v>7905600</v>
      </c>
      <c r="Z43" s="716">
        <f t="shared" si="9"/>
        <v>4.3920000000000003</v>
      </c>
      <c r="AA43" s="714">
        <v>1800000</v>
      </c>
      <c r="AB43" s="715">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5">
        <f t="shared" si="8"/>
        <v>5454000</v>
      </c>
      <c r="Z44" s="716">
        <f t="shared" si="9"/>
        <v>3.03</v>
      </c>
      <c r="AA44" s="714">
        <v>1800000</v>
      </c>
      <c r="AB44" s="715">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5">
        <f t="shared" si="8"/>
        <v>7214400</v>
      </c>
      <c r="Z45" s="716">
        <f t="shared" si="9"/>
        <v>4.008</v>
      </c>
      <c r="AA45" s="714">
        <v>1800000</v>
      </c>
      <c r="AB45" s="715">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5">
        <f t="shared" si="8"/>
        <v>9648000</v>
      </c>
      <c r="Z46" s="716">
        <f t="shared" si="9"/>
        <v>5.36</v>
      </c>
      <c r="AA46" s="714">
        <v>1800000</v>
      </c>
      <c r="AB46" s="715">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5">
        <f t="shared" si="8"/>
        <v>5767200</v>
      </c>
      <c r="Z47" s="716">
        <f t="shared" si="9"/>
        <v>3.2040000000000002</v>
      </c>
      <c r="AA47" s="714">
        <v>1800000</v>
      </c>
      <c r="AB47" s="715">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5">
        <f t="shared" si="8"/>
        <v>11834640</v>
      </c>
      <c r="Z48" s="716">
        <f t="shared" si="9"/>
        <v>6.5747999999999998</v>
      </c>
      <c r="AA48" s="714">
        <v>1800000</v>
      </c>
      <c r="AB48" s="715">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5">
        <f t="shared" si="8"/>
        <v>6588000</v>
      </c>
      <c r="Z49" s="716">
        <f t="shared" si="9"/>
        <v>3.66</v>
      </c>
      <c r="AA49" s="714">
        <v>1800000</v>
      </c>
      <c r="AB49" s="715">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5">
        <f t="shared" si="8"/>
        <v>13870079.999999998</v>
      </c>
      <c r="Z50" s="716">
        <f t="shared" si="9"/>
        <v>7.7055999999999987</v>
      </c>
      <c r="AA50" s="714">
        <v>1800000</v>
      </c>
      <c r="AB50" s="715">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5">
        <f t="shared" si="8"/>
        <v>11016000.000000002</v>
      </c>
      <c r="Z51" s="716">
        <f t="shared" si="9"/>
        <v>6.120000000000001</v>
      </c>
      <c r="AA51" s="714">
        <v>1800000</v>
      </c>
      <c r="AB51" s="715">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5">
        <f t="shared" si="8"/>
        <v>7905600</v>
      </c>
      <c r="Z52" s="716">
        <f t="shared" si="9"/>
        <v>4.3920000000000003</v>
      </c>
      <c r="AA52" s="714">
        <v>1800000</v>
      </c>
      <c r="AB52" s="715">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5">
        <f t="shared" si="8"/>
        <v>20945088.000000004</v>
      </c>
      <c r="Z53" s="716">
        <f t="shared" si="9"/>
        <v>11.636160000000002</v>
      </c>
      <c r="AA53" s="714">
        <v>1800000</v>
      </c>
      <c r="AB53" s="715">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5">
        <f t="shared" si="8"/>
        <v>11491200</v>
      </c>
      <c r="Z54" s="716">
        <f t="shared" si="9"/>
        <v>6.3840000000000003</v>
      </c>
      <c r="AA54" s="714">
        <v>1800000</v>
      </c>
      <c r="AB54" s="715">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5">
        <f>W55+X55</f>
        <v>10540800</v>
      </c>
      <c r="Z55" s="716">
        <f t="shared" si="9"/>
        <v>5.8559999999999999</v>
      </c>
      <c r="AA55" s="714">
        <v>1800000</v>
      </c>
      <c r="AB55" s="715">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5">
        <f t="shared" si="8"/>
        <v>6728400</v>
      </c>
      <c r="Z56" s="716">
        <f t="shared" si="9"/>
        <v>3.738</v>
      </c>
      <c r="AA56" s="714">
        <v>1800000</v>
      </c>
      <c r="AB56" s="715">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5">
        <f t="shared" si="8"/>
        <v>10540800</v>
      </c>
      <c r="Z57" s="716">
        <f t="shared" si="9"/>
        <v>5.8559999999999999</v>
      </c>
      <c r="AA57" s="714">
        <v>1800000</v>
      </c>
      <c r="AB57" s="715">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5">
        <f t="shared" si="8"/>
        <v>13737600</v>
      </c>
      <c r="Z58" s="716">
        <f t="shared" si="9"/>
        <v>7.6319999999999997</v>
      </c>
      <c r="AA58" s="714">
        <v>1800000</v>
      </c>
      <c r="AB58" s="715">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5">
        <f t="shared" si="8"/>
        <v>6284250</v>
      </c>
      <c r="Z59" s="716">
        <f t="shared" si="9"/>
        <v>3.49125</v>
      </c>
      <c r="AA59" s="714">
        <v>1800000</v>
      </c>
      <c r="AB59" s="715">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5">
        <f t="shared" si="8"/>
        <v>10206000</v>
      </c>
      <c r="Z60" s="716">
        <f t="shared" si="9"/>
        <v>5.67</v>
      </c>
      <c r="AA60" s="714">
        <v>1800000</v>
      </c>
      <c r="AB60" s="715">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5">
        <f t="shared" si="8"/>
        <v>14562072.000000002</v>
      </c>
      <c r="Z61" s="716">
        <f t="shared" si="9"/>
        <v>8.0900400000000019</v>
      </c>
      <c r="AA61" s="714">
        <v>1800000</v>
      </c>
      <c r="AB61" s="715">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5">
        <f t="shared" si="8"/>
        <v>8618400</v>
      </c>
      <c r="Z62" s="716">
        <f t="shared" si="9"/>
        <v>4.7880000000000003</v>
      </c>
      <c r="AA62" s="714">
        <v>1800000</v>
      </c>
      <c r="AB62" s="715">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5">
        <f t="shared" si="8"/>
        <v>6176250</v>
      </c>
      <c r="Z63" s="716">
        <f t="shared" si="9"/>
        <v>3.4312499999999999</v>
      </c>
      <c r="AA63" s="714">
        <v>1800000</v>
      </c>
      <c r="AB63" s="715">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5">
        <f t="shared" si="8"/>
        <v>9331200</v>
      </c>
      <c r="Z64" s="716">
        <f t="shared" si="9"/>
        <v>5.1840000000000002</v>
      </c>
      <c r="AA64" s="714">
        <v>1800000</v>
      </c>
      <c r="AB64" s="715">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5">
        <f t="shared" si="8"/>
        <v>7290000.0000000009</v>
      </c>
      <c r="Z65" s="716">
        <f t="shared" si="9"/>
        <v>4.0500000000000007</v>
      </c>
      <c r="AA65" s="714">
        <v>1800000</v>
      </c>
      <c r="AB65" s="715">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5">
        <f t="shared" si="8"/>
        <v>6588000</v>
      </c>
      <c r="Z66" s="716">
        <f t="shared" si="9"/>
        <v>3.66</v>
      </c>
      <c r="AA66" s="714">
        <v>1800000</v>
      </c>
      <c r="AB66" s="715">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5">
        <f t="shared" si="8"/>
        <v>6670350</v>
      </c>
      <c r="Z67" s="716">
        <f t="shared" si="9"/>
        <v>3.7057500000000001</v>
      </c>
      <c r="AA67" s="714">
        <v>1800000</v>
      </c>
      <c r="AB67" s="715">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5">
        <f t="shared" si="8"/>
        <v>13968000.000000004</v>
      </c>
      <c r="Z68" s="716">
        <f t="shared" si="9"/>
        <v>7.7600000000000025</v>
      </c>
      <c r="AA68" s="714">
        <v>1800000</v>
      </c>
      <c r="AB68" s="715">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5">
        <f t="shared" si="8"/>
        <v>13449600</v>
      </c>
      <c r="Z69" s="716">
        <f t="shared" si="9"/>
        <v>7.4720000000000004</v>
      </c>
      <c r="AA69" s="714">
        <v>1800000</v>
      </c>
      <c r="AB69" s="715">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5">
        <f t="shared" si="8"/>
        <v>11718000</v>
      </c>
      <c r="Z70" s="716">
        <f t="shared" si="9"/>
        <v>6.51</v>
      </c>
      <c r="AA70" s="714">
        <v>1800000</v>
      </c>
      <c r="AB70" s="715">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5">
        <f t="shared" si="8"/>
        <v>10054800</v>
      </c>
      <c r="Z71" s="716">
        <f t="shared" si="9"/>
        <v>5.5860000000000003</v>
      </c>
      <c r="AA71" s="714">
        <v>1800000</v>
      </c>
      <c r="AB71" s="715">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5">
        <f t="shared" si="8"/>
        <v>6293700</v>
      </c>
      <c r="Z72" s="716">
        <f t="shared" si="9"/>
        <v>3.4965000000000002</v>
      </c>
      <c r="AA72" s="714">
        <v>1800000</v>
      </c>
      <c r="AB72" s="715">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5">
        <f t="shared" si="8"/>
        <v>9979200</v>
      </c>
      <c r="Z73" s="716">
        <f t="shared" si="9"/>
        <v>5.5439999999999996</v>
      </c>
      <c r="AA73" s="714">
        <v>1800000</v>
      </c>
      <c r="AB73" s="715">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5">
        <f t="shared" si="8"/>
        <v>10540800</v>
      </c>
      <c r="Z74" s="716">
        <f t="shared" si="9"/>
        <v>5.8559999999999999</v>
      </c>
      <c r="AA74" s="714">
        <v>1800000</v>
      </c>
      <c r="AB74" s="715">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5">
        <f>W75+X75</f>
        <v>6068925</v>
      </c>
      <c r="Z75" s="716">
        <f t="shared" si="9"/>
        <v>3.3716249999999999</v>
      </c>
      <c r="AA75" s="714">
        <v>1800000</v>
      </c>
      <c r="AB75" s="715">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5">
        <f t="shared" si="8"/>
        <v>7192800</v>
      </c>
      <c r="Z76" s="716">
        <f t="shared" si="9"/>
        <v>3.996</v>
      </c>
      <c r="AA76" s="714">
        <v>1800000</v>
      </c>
      <c r="AB76" s="715">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5">
        <f t="shared" si="8"/>
        <v>14688000.000000004</v>
      </c>
      <c r="Z77" s="716">
        <f t="shared" si="9"/>
        <v>8.1600000000000019</v>
      </c>
      <c r="AA77" s="714">
        <v>1800000</v>
      </c>
      <c r="AB77" s="715">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5">
        <f t="shared" si="8"/>
        <v>8826300</v>
      </c>
      <c r="Z78" s="716">
        <f t="shared" si="9"/>
        <v>4.9035000000000002</v>
      </c>
      <c r="AA78" s="714">
        <v>1800000</v>
      </c>
      <c r="AB78" s="715">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5">
        <f t="shared" si="8"/>
        <v>10084500.000000002</v>
      </c>
      <c r="Z79" s="716">
        <f t="shared" si="9"/>
        <v>5.6025000000000009</v>
      </c>
      <c r="AA79" s="714">
        <v>1800000</v>
      </c>
      <c r="AB79" s="715">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5">
        <f t="shared" si="8"/>
        <v>7905600</v>
      </c>
      <c r="Z80" s="716">
        <f t="shared" si="9"/>
        <v>4.3920000000000003</v>
      </c>
      <c r="AA80" s="714">
        <v>1800000</v>
      </c>
      <c r="AB80" s="715">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5">
        <f t="shared" si="8"/>
        <v>9223200</v>
      </c>
      <c r="Z81" s="716">
        <f t="shared" si="9"/>
        <v>5.1239999999999997</v>
      </c>
      <c r="AA81" s="714">
        <v>1800000</v>
      </c>
      <c r="AB81" s="715">
        <f t="shared" si="10"/>
        <v>9223200</v>
      </c>
      <c r="AC81" s="593">
        <f t="shared" si="7"/>
        <v>61</v>
      </c>
      <c r="AD81" s="511">
        <f>IFERROR(INDEX('[6]CN BC'!$M$10:$M$276,MATCH(B81,'[6]CN BC'!$H$10:$H$276,0)),"")</f>
        <v>0</v>
      </c>
      <c r="AE81" s="147"/>
      <c r="AF81" s="113"/>
      <c r="AG81" s="710"/>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5">
        <f t="shared" si="8"/>
        <v>5929200</v>
      </c>
      <c r="Z82" s="716">
        <f t="shared" si="9"/>
        <v>3.294</v>
      </c>
      <c r="AA82" s="714">
        <v>1800000</v>
      </c>
      <c r="AB82" s="715">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5">
        <f t="shared" si="8"/>
        <v>9648000</v>
      </c>
      <c r="Z83" s="716">
        <f t="shared" si="9"/>
        <v>5.36</v>
      </c>
      <c r="AA83" s="714">
        <v>1800000</v>
      </c>
      <c r="AB83" s="715">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5">
        <f t="shared" si="8"/>
        <v>11836800.000000002</v>
      </c>
      <c r="Z84" s="716">
        <f t="shared" si="9"/>
        <v>6.5760000000000014</v>
      </c>
      <c r="AA84" s="714">
        <v>1800000</v>
      </c>
      <c r="AB84" s="715">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5">
        <f t="shared" si="8"/>
        <v>10540800</v>
      </c>
      <c r="Z85" s="716">
        <f t="shared" si="9"/>
        <v>5.8559999999999999</v>
      </c>
      <c r="AA85" s="714">
        <v>1800000</v>
      </c>
      <c r="AB85" s="715">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5">
        <f t="shared" ref="Y86:Y149" si="23">W86+X86</f>
        <v>8215199.9999999991</v>
      </c>
      <c r="Z86" s="716">
        <f t="shared" ref="Z86:Z149" si="24">Y86/AA86</f>
        <v>4.5639999999999992</v>
      </c>
      <c r="AA86" s="714">
        <v>1800000</v>
      </c>
      <c r="AB86" s="715">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5">
        <f t="shared" si="23"/>
        <v>11836800.000000002</v>
      </c>
      <c r="Z87" s="716">
        <f t="shared" si="24"/>
        <v>6.5760000000000014</v>
      </c>
      <c r="AA87" s="714">
        <v>1800000</v>
      </c>
      <c r="AB87" s="715">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5">
        <f t="shared" si="23"/>
        <v>7192800</v>
      </c>
      <c r="Z88" s="716">
        <f t="shared" si="24"/>
        <v>3.996</v>
      </c>
      <c r="AA88" s="714">
        <v>1800000</v>
      </c>
      <c r="AB88" s="715">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5">
        <f t="shared" si="23"/>
        <v>4870125</v>
      </c>
      <c r="Z89" s="716">
        <f t="shared" si="24"/>
        <v>2.7056249999999999</v>
      </c>
      <c r="AA89" s="714">
        <v>1800000</v>
      </c>
      <c r="AB89" s="715">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5">
        <f t="shared" si="23"/>
        <v>9412200</v>
      </c>
      <c r="Z90" s="716">
        <f t="shared" si="24"/>
        <v>5.2290000000000001</v>
      </c>
      <c r="AA90" s="714">
        <v>1800000</v>
      </c>
      <c r="AB90" s="715">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5">
        <f t="shared" si="23"/>
        <v>15638400.000000004</v>
      </c>
      <c r="Z91" s="716">
        <f t="shared" si="24"/>
        <v>8.6880000000000024</v>
      </c>
      <c r="AA91" s="714">
        <v>1800000</v>
      </c>
      <c r="AB91" s="715">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5">
        <f t="shared" si="23"/>
        <v>8985600</v>
      </c>
      <c r="Z92" s="716">
        <f t="shared" si="24"/>
        <v>4.992</v>
      </c>
      <c r="AA92" s="714">
        <v>1800000</v>
      </c>
      <c r="AB92" s="715">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5">
        <f t="shared" si="23"/>
        <v>6012000</v>
      </c>
      <c r="Z93" s="716">
        <f t="shared" si="24"/>
        <v>3.34</v>
      </c>
      <c r="AA93" s="714">
        <v>1800000</v>
      </c>
      <c r="AB93" s="715">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5">
        <f t="shared" si="23"/>
        <v>10289945.454545455</v>
      </c>
      <c r="Z94" s="716">
        <f t="shared" si="24"/>
        <v>5.716636363636364</v>
      </c>
      <c r="AA94" s="714">
        <v>1800000</v>
      </c>
      <c r="AB94" s="715">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5">
        <f t="shared" si="23"/>
        <v>5461363.6363636367</v>
      </c>
      <c r="Z95" s="716">
        <f t="shared" si="24"/>
        <v>3.0340909090909092</v>
      </c>
      <c r="AA95" s="714">
        <v>1800000</v>
      </c>
      <c r="AB95" s="715">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5">
        <f t="shared" si="23"/>
        <v>5743636.3636363633</v>
      </c>
      <c r="Z96" s="716">
        <f t="shared" si="24"/>
        <v>3.1909090909090909</v>
      </c>
      <c r="AA96" s="714">
        <v>1800000</v>
      </c>
      <c r="AB96" s="715">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5">
        <f t="shared" si="23"/>
        <v>12496581.818181818</v>
      </c>
      <c r="Z97" s="716">
        <f t="shared" si="24"/>
        <v>6.9425454545454546</v>
      </c>
      <c r="AA97" s="714">
        <v>1800000</v>
      </c>
      <c r="AB97" s="715">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5">
        <f t="shared" si="23"/>
        <v>6136363.6363636367</v>
      </c>
      <c r="Z98" s="716">
        <f t="shared" si="24"/>
        <v>3.4090909090909092</v>
      </c>
      <c r="AA98" s="714">
        <v>1800000</v>
      </c>
      <c r="AB98" s="715">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5">
        <f t="shared" si="23"/>
        <v>6136363.6363636367</v>
      </c>
      <c r="Z99" s="716">
        <f t="shared" si="24"/>
        <v>3.4090909090909092</v>
      </c>
      <c r="AA99" s="714">
        <v>1800000</v>
      </c>
      <c r="AB99" s="715">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5">
        <f t="shared" si="23"/>
        <v>11483181.818181818</v>
      </c>
      <c r="Z100" s="716">
        <f t="shared" si="24"/>
        <v>6.3795454545454549</v>
      </c>
      <c r="AA100" s="714">
        <v>1800000</v>
      </c>
      <c r="AB100" s="715">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5">
        <f t="shared" si="23"/>
        <v>5743636.3636363633</v>
      </c>
      <c r="Z101" s="716">
        <f t="shared" si="24"/>
        <v>3.1909090909090909</v>
      </c>
      <c r="AA101" s="714">
        <v>1800000</v>
      </c>
      <c r="AB101" s="715">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5">
        <f t="shared" si="23"/>
        <v>6811363.6363636358</v>
      </c>
      <c r="Z102" s="716">
        <f t="shared" si="24"/>
        <v>3.7840909090909087</v>
      </c>
      <c r="AA102" s="714">
        <v>1800000</v>
      </c>
      <c r="AB102" s="715">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5">
        <f t="shared" si="23"/>
        <v>6136363.6363636367</v>
      </c>
      <c r="Z103" s="716">
        <f t="shared" si="24"/>
        <v>3.4090909090909092</v>
      </c>
      <c r="AA103" s="714">
        <v>1800000</v>
      </c>
      <c r="AB103" s="715">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5">
        <f t="shared" si="23"/>
        <v>7666036.3636363642</v>
      </c>
      <c r="Z104" s="716">
        <f t="shared" si="24"/>
        <v>4.258909090909091</v>
      </c>
      <c r="AA104" s="714">
        <v>1800000</v>
      </c>
      <c r="AB104" s="715">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5">
        <f t="shared" si="23"/>
        <v>6283636.3636363642</v>
      </c>
      <c r="Z105" s="716">
        <f t="shared" si="24"/>
        <v>3.4909090909090912</v>
      </c>
      <c r="AA105" s="714">
        <v>1800000</v>
      </c>
      <c r="AB105" s="715">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5">
        <f t="shared" si="23"/>
        <v>9981163.6363636367</v>
      </c>
      <c r="Z106" s="716">
        <f t="shared" si="24"/>
        <v>5.5450909090909093</v>
      </c>
      <c r="AA106" s="714">
        <v>1800000</v>
      </c>
      <c r="AB106" s="715">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5">
        <f t="shared" si="23"/>
        <v>6480000</v>
      </c>
      <c r="Z107" s="716">
        <f t="shared" si="24"/>
        <v>3.6</v>
      </c>
      <c r="AA107" s="714">
        <v>1800000</v>
      </c>
      <c r="AB107" s="715">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5">
        <f t="shared" si="23"/>
        <v>8126509.0909090908</v>
      </c>
      <c r="Z108" s="716">
        <f t="shared" si="24"/>
        <v>4.5147272727272725</v>
      </c>
      <c r="AA108" s="714">
        <v>1800000</v>
      </c>
      <c r="AB108" s="715">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8">
        <f>W109+X109</f>
        <v>0</v>
      </c>
      <c r="Z109" s="759">
        <f t="shared" si="24"/>
        <v>0</v>
      </c>
      <c r="AA109" s="760">
        <v>1800000</v>
      </c>
      <c r="AB109" s="758">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5">
        <f t="shared" si="23"/>
        <v>5743636.3636363633</v>
      </c>
      <c r="Z110" s="716">
        <f t="shared" si="24"/>
        <v>3.1909090909090909</v>
      </c>
      <c r="AA110" s="714">
        <v>1800000</v>
      </c>
      <c r="AB110" s="715">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5">
        <f t="shared" si="23"/>
        <v>8337109.0909090908</v>
      </c>
      <c r="Z111" s="716">
        <f t="shared" si="24"/>
        <v>4.6317272727272725</v>
      </c>
      <c r="AA111" s="714">
        <v>1800000</v>
      </c>
      <c r="AB111" s="715">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5">
        <f t="shared" si="23"/>
        <v>8983636.3636363633</v>
      </c>
      <c r="Z112" s="716">
        <f t="shared" si="24"/>
        <v>4.9909090909090903</v>
      </c>
      <c r="AA112" s="714">
        <v>1800000</v>
      </c>
      <c r="AB112" s="715">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5">
        <f t="shared" si="23"/>
        <v>7363636.3636363642</v>
      </c>
      <c r="Z113" s="716">
        <f t="shared" si="24"/>
        <v>4.0909090909090908</v>
      </c>
      <c r="AA113" s="714">
        <v>1800000</v>
      </c>
      <c r="AB113" s="715">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5">
        <f t="shared" si="23"/>
        <v>8803963.6363636367</v>
      </c>
      <c r="Z114" s="716">
        <f t="shared" si="24"/>
        <v>4.8910909090909094</v>
      </c>
      <c r="AA114" s="714">
        <v>1800000</v>
      </c>
      <c r="AB114" s="715">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5">
        <f t="shared" si="23"/>
        <v>7486363.6363636358</v>
      </c>
      <c r="Z115" s="716">
        <f t="shared" si="24"/>
        <v>4.1590909090909092</v>
      </c>
      <c r="AA115" s="714">
        <v>1800000</v>
      </c>
      <c r="AB115" s="715">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5">
        <f t="shared" si="23"/>
        <v>7486363.6363636358</v>
      </c>
      <c r="Z116" s="716">
        <f t="shared" si="24"/>
        <v>4.1590909090909092</v>
      </c>
      <c r="AA116" s="714">
        <v>1800000</v>
      </c>
      <c r="AB116" s="715">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5">
        <f t="shared" si="23"/>
        <v>7917381.8181818184</v>
      </c>
      <c r="Z117" s="716">
        <f t="shared" si="24"/>
        <v>4.398545454545455</v>
      </c>
      <c r="AA117" s="714">
        <v>1800000</v>
      </c>
      <c r="AB117" s="715">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5">
        <f t="shared" si="23"/>
        <v>6811363.6363636358</v>
      </c>
      <c r="Z118" s="716">
        <f t="shared" si="24"/>
        <v>3.7840909090909087</v>
      </c>
      <c r="AA118" s="714">
        <v>1800000</v>
      </c>
      <c r="AB118" s="715">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5">
        <f t="shared" si="23"/>
        <v>6974836.3636363642</v>
      </c>
      <c r="Z119" s="716">
        <f t="shared" si="24"/>
        <v>3.8749090909090911</v>
      </c>
      <c r="AA119" s="714">
        <v>1800000</v>
      </c>
      <c r="AB119" s="715">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5">
        <f t="shared" si="23"/>
        <v>6974836.3636363642</v>
      </c>
      <c r="Z120" s="716">
        <f t="shared" si="24"/>
        <v>3.8749090909090911</v>
      </c>
      <c r="AA120" s="714">
        <v>1800000</v>
      </c>
      <c r="AB120" s="715">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5">
        <f t="shared" si="23"/>
        <v>11744983.636363637</v>
      </c>
      <c r="Z121" s="716">
        <f t="shared" si="24"/>
        <v>6.5249909090909091</v>
      </c>
      <c r="AA121" s="714">
        <v>1800000</v>
      </c>
      <c r="AB121" s="715">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5">
        <f t="shared" si="23"/>
        <v>6283636.3636363642</v>
      </c>
      <c r="Z122" s="716">
        <f t="shared" si="24"/>
        <v>3.4909090909090912</v>
      </c>
      <c r="AA122" s="714">
        <v>1800000</v>
      </c>
      <c r="AB122" s="715">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5">
        <f t="shared" si="23"/>
        <v>6136363.6363636367</v>
      </c>
      <c r="Z123" s="716">
        <f t="shared" si="24"/>
        <v>3.4090909090909092</v>
      </c>
      <c r="AA123" s="714">
        <v>1800000</v>
      </c>
      <c r="AB123" s="715">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5">
        <f t="shared" si="23"/>
        <v>10840254.545454547</v>
      </c>
      <c r="Z124" s="716">
        <f t="shared" si="24"/>
        <v>6.0223636363636368</v>
      </c>
      <c r="AA124" s="714">
        <v>1800000</v>
      </c>
      <c r="AB124" s="715">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5">
        <f t="shared" si="23"/>
        <v>11308909.09090909</v>
      </c>
      <c r="Z125" s="716">
        <f t="shared" si="24"/>
        <v>6.2827272727272723</v>
      </c>
      <c r="AA125" s="714">
        <v>1800000</v>
      </c>
      <c r="AB125" s="715">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5">
        <f t="shared" si="23"/>
        <v>8836363.6363636367</v>
      </c>
      <c r="Z126" s="716">
        <f t="shared" si="24"/>
        <v>4.9090909090909092</v>
      </c>
      <c r="AA126" s="714">
        <v>1800000</v>
      </c>
      <c r="AB126" s="715">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5">
        <f t="shared" si="23"/>
        <v>8161363.6363636358</v>
      </c>
      <c r="Z127" s="716">
        <f t="shared" si="24"/>
        <v>4.5340909090909092</v>
      </c>
      <c r="AA127" s="714">
        <v>1800000</v>
      </c>
      <c r="AB127" s="715">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5">
        <f t="shared" si="23"/>
        <v>7486363.6363636358</v>
      </c>
      <c r="Z128" s="716">
        <f t="shared" si="24"/>
        <v>4.1590909090909092</v>
      </c>
      <c r="AA128" s="714">
        <v>1800000</v>
      </c>
      <c r="AB128" s="715">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5">
        <f t="shared" si="23"/>
        <v>9511363.6363636367</v>
      </c>
      <c r="Z129" s="716">
        <f t="shared" si="24"/>
        <v>5.2840909090909092</v>
      </c>
      <c r="AA129" s="714">
        <v>1800000</v>
      </c>
      <c r="AB129" s="715">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5">
        <f t="shared" si="23"/>
        <v>9048436.3636363652</v>
      </c>
      <c r="Z130" s="716">
        <f t="shared" si="24"/>
        <v>5.0269090909090917</v>
      </c>
      <c r="AA130" s="714">
        <v>1800000</v>
      </c>
      <c r="AB130" s="694">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5">
        <f t="shared" si="23"/>
        <v>11265303.272727272</v>
      </c>
      <c r="Z131" s="716">
        <f t="shared" si="24"/>
        <v>6.2585018181818173</v>
      </c>
      <c r="AA131" s="714">
        <v>1800000</v>
      </c>
      <c r="AB131" s="819">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5">
        <f t="shared" si="23"/>
        <v>8161363.6363636358</v>
      </c>
      <c r="Z132" s="716">
        <f t="shared" si="24"/>
        <v>4.5340909090909092</v>
      </c>
      <c r="AA132" s="714">
        <v>1800000</v>
      </c>
      <c r="AB132" s="819">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5">
        <f t="shared" si="23"/>
        <v>7486363.6363636358</v>
      </c>
      <c r="Z133" s="716">
        <f t="shared" si="24"/>
        <v>4.1590909090909092</v>
      </c>
      <c r="AA133" s="714">
        <v>1800000</v>
      </c>
      <c r="AB133" s="819">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5">
        <f t="shared" si="23"/>
        <v>10640618.181818182</v>
      </c>
      <c r="Z134" s="716">
        <f t="shared" si="24"/>
        <v>5.9114545454545455</v>
      </c>
      <c r="AA134" s="714">
        <v>1800000</v>
      </c>
      <c r="AB134" s="819">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5">
        <f t="shared" si="23"/>
        <v>10695681.818181818</v>
      </c>
      <c r="Z135" s="716">
        <f t="shared" si="24"/>
        <v>5.9420454545454549</v>
      </c>
      <c r="AA135" s="714">
        <v>1800000</v>
      </c>
      <c r="AB135" s="819">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5">
        <f t="shared" si="23"/>
        <v>8357236.3636363642</v>
      </c>
      <c r="Z136" s="716">
        <f t="shared" si="24"/>
        <v>4.6429090909090913</v>
      </c>
      <c r="AA136" s="714">
        <v>1800000</v>
      </c>
      <c r="AB136" s="819">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5">
        <f t="shared" si="23"/>
        <v>7486363.6363636358</v>
      </c>
      <c r="Z137" s="716">
        <f t="shared" si="24"/>
        <v>4.1590909090909092</v>
      </c>
      <c r="AA137" s="714">
        <v>1800000</v>
      </c>
      <c r="AB137" s="819">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5">
        <f t="shared" si="23"/>
        <v>6647890.9090909092</v>
      </c>
      <c r="Z138" s="716">
        <f t="shared" si="24"/>
        <v>3.6932727272727273</v>
      </c>
      <c r="AA138" s="714">
        <v>1800000</v>
      </c>
      <c r="AB138" s="715">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5">
        <f t="shared" si="23"/>
        <v>6974836.3636363642</v>
      </c>
      <c r="Z139" s="716">
        <f t="shared" si="24"/>
        <v>3.8749090909090911</v>
      </c>
      <c r="AA139" s="714">
        <v>1800000</v>
      </c>
      <c r="AB139" s="715">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5">
        <f t="shared" si="23"/>
        <v>8464581.8181818165</v>
      </c>
      <c r="Z140" s="716">
        <f t="shared" si="24"/>
        <v>4.7025454545454535</v>
      </c>
      <c r="AA140" s="714">
        <v>1800000</v>
      </c>
      <c r="AB140" s="715">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5">
        <f t="shared" si="23"/>
        <v>7965490.9090909092</v>
      </c>
      <c r="Z141" s="716">
        <f t="shared" si="24"/>
        <v>4.425272727272727</v>
      </c>
      <c r="AA141" s="714">
        <v>1800000</v>
      </c>
      <c r="AB141" s="715">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5">
        <f t="shared" si="23"/>
        <v>7965490.9090909092</v>
      </c>
      <c r="Z142" s="716">
        <f t="shared" si="24"/>
        <v>4.425272727272727</v>
      </c>
      <c r="AA142" s="714">
        <v>1800000</v>
      </c>
      <c r="AB142" s="715">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5">
        <f t="shared" si="23"/>
        <v>7965490.9090909092</v>
      </c>
      <c r="Z143" s="716">
        <f t="shared" si="24"/>
        <v>4.425272727272727</v>
      </c>
      <c r="AA143" s="714">
        <v>1800000</v>
      </c>
      <c r="AB143" s="715">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5">
        <f t="shared" si="23"/>
        <v>8624290.9090909101</v>
      </c>
      <c r="Z144" s="716">
        <f t="shared" si="24"/>
        <v>4.7912727272727276</v>
      </c>
      <c r="AA144" s="714">
        <v>1800000</v>
      </c>
      <c r="AB144" s="715">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5">
        <f t="shared" si="23"/>
        <v>9739636.3636363633</v>
      </c>
      <c r="Z145" s="716">
        <f t="shared" si="24"/>
        <v>5.4109090909090911</v>
      </c>
      <c r="AA145" s="714">
        <v>1800000</v>
      </c>
      <c r="AB145" s="715">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5">
        <f t="shared" si="23"/>
        <v>9511363.6363636367</v>
      </c>
      <c r="Z146" s="716">
        <f t="shared" si="24"/>
        <v>5.2840909090909092</v>
      </c>
      <c r="AA146" s="714">
        <v>1800000</v>
      </c>
      <c r="AB146" s="715">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5">
        <f t="shared" si="23"/>
        <v>9739636.3636363633</v>
      </c>
      <c r="Z147" s="716">
        <f t="shared" si="24"/>
        <v>5.4109090909090911</v>
      </c>
      <c r="AA147" s="714">
        <v>1800000</v>
      </c>
      <c r="AB147" s="715">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5">
        <f t="shared" si="23"/>
        <v>8357236.3636363642</v>
      </c>
      <c r="Z148" s="716">
        <f t="shared" si="24"/>
        <v>4.6429090909090913</v>
      </c>
      <c r="AA148" s="714">
        <v>1800000</v>
      </c>
      <c r="AB148" s="715">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5">
        <f t="shared" si="23"/>
        <v>10430836.363636363</v>
      </c>
      <c r="Z149" s="716">
        <f t="shared" si="24"/>
        <v>5.7949090909090906</v>
      </c>
      <c r="AA149" s="714">
        <v>1800000</v>
      </c>
      <c r="AB149" s="715">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5">
        <f t="shared" ref="Y150:Y213" si="37">W150+X150</f>
        <v>8357236.3636363642</v>
      </c>
      <c r="Z150" s="716">
        <f t="shared" ref="Z150:Z213" si="38">Y150/AA150</f>
        <v>4.6429090909090913</v>
      </c>
      <c r="AA150" s="714">
        <v>1800000</v>
      </c>
      <c r="AB150" s="715">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5">
        <f t="shared" si="37"/>
        <v>7917381.8181818184</v>
      </c>
      <c r="Z151" s="716">
        <f t="shared" si="38"/>
        <v>4.398545454545455</v>
      </c>
      <c r="AA151" s="714">
        <v>1800000</v>
      </c>
      <c r="AB151" s="715">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5">
        <f t="shared" si="37"/>
        <v>6283636.3636363642</v>
      </c>
      <c r="Z152" s="716">
        <f t="shared" si="38"/>
        <v>3.4909090909090912</v>
      </c>
      <c r="AA152" s="714">
        <v>1800000</v>
      </c>
      <c r="AB152" s="715">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5">
        <f t="shared" si="37"/>
        <v>4786363.6363636367</v>
      </c>
      <c r="Z153" s="716">
        <f t="shared" si="38"/>
        <v>2.6590909090909092</v>
      </c>
      <c r="AA153" s="714">
        <v>1800000</v>
      </c>
      <c r="AB153" s="715">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5">
        <f t="shared" si="37"/>
        <v>6283636.3636363642</v>
      </c>
      <c r="Z154" s="716">
        <f t="shared" si="38"/>
        <v>3.4909090909090912</v>
      </c>
      <c r="AA154" s="714">
        <v>1800000</v>
      </c>
      <c r="AB154" s="715">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5">
        <f t="shared" si="37"/>
        <v>4901236.3636363633</v>
      </c>
      <c r="Z155" s="716">
        <f t="shared" si="38"/>
        <v>2.7229090909090905</v>
      </c>
      <c r="AA155" s="714">
        <v>1800000</v>
      </c>
      <c r="AB155" s="715">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5">
        <f t="shared" si="37"/>
        <v>4068409.0909090908</v>
      </c>
      <c r="Z156" s="716">
        <f t="shared" si="38"/>
        <v>2.2602272727272728</v>
      </c>
      <c r="AA156" s="714">
        <v>1800000</v>
      </c>
      <c r="AB156" s="715">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5">
        <f t="shared" si="37"/>
        <v>4068409.0909090908</v>
      </c>
      <c r="Z157" s="716">
        <f t="shared" si="38"/>
        <v>2.2602272727272728</v>
      </c>
      <c r="AA157" s="714">
        <v>1800000</v>
      </c>
      <c r="AB157" s="715">
        <f t="shared" si="39"/>
        <v>4068409.0909090908</v>
      </c>
      <c r="AC157" s="593">
        <f t="shared" si="36"/>
        <v>137</v>
      </c>
      <c r="AD157" s="576">
        <f>IFERROR(INDEX('[6]CN BC'!$M$10:$M$276,MATCH(B157,'[6]CN BC'!$H$10:$H$276,0)),"")</f>
        <v>0</v>
      </c>
      <c r="AE157" s="564"/>
      <c r="AF157" s="560"/>
      <c r="AH157" s="505"/>
    </row>
    <row r="158" spans="1:40" s="387" customFormat="1" ht="30.75" customHeight="1">
      <c r="A158" s="712">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6">
        <v>9</v>
      </c>
      <c r="P158" s="584">
        <f>IFERROR(INDEX('[6]CN BC'!$J$10:$J$277,MATCH(B158,'[6]CN BC'!$H$10:$H$277,0)),"")</f>
        <v>0</v>
      </c>
      <c r="Q158" s="583">
        <f t="shared" si="41"/>
        <v>0</v>
      </c>
      <c r="R158" s="585"/>
      <c r="S158" s="581">
        <f t="shared" si="31"/>
        <v>0</v>
      </c>
      <c r="T158" s="586"/>
      <c r="U158" s="581">
        <f t="shared" si="42"/>
        <v>0</v>
      </c>
      <c r="V158" s="581" t="str">
        <f t="shared" si="35"/>
        <v>0</v>
      </c>
      <c r="W158" s="697">
        <f t="shared" si="40"/>
        <v>0</v>
      </c>
      <c r="X158" s="584" t="str">
        <f>IFERROR(INDEX([7]TL!$X$12:$X$200,MATCH(B158,[7]TL!$B$12:$B$200,0)),"0")</f>
        <v>0</v>
      </c>
      <c r="Y158" s="755">
        <f t="shared" si="37"/>
        <v>0</v>
      </c>
      <c r="Z158" s="756">
        <f t="shared" si="38"/>
        <v>0</v>
      </c>
      <c r="AA158" s="757">
        <v>1800000</v>
      </c>
      <c r="AB158" s="755">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5">
        <f t="shared" si="37"/>
        <v>9090327.2727272734</v>
      </c>
      <c r="Z159" s="716">
        <f t="shared" si="38"/>
        <v>5.0501818181818185</v>
      </c>
      <c r="AA159" s="714">
        <v>1800000</v>
      </c>
      <c r="AB159" s="715">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5">
        <f t="shared" si="37"/>
        <v>9299781.8181818202</v>
      </c>
      <c r="Z160" s="716">
        <f t="shared" si="38"/>
        <v>5.1665454545454557</v>
      </c>
      <c r="AA160" s="714">
        <v>1800000</v>
      </c>
      <c r="AB160" s="715">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5">
        <f t="shared" si="37"/>
        <v>8880872.7272727266</v>
      </c>
      <c r="Z161" s="716">
        <f t="shared" si="38"/>
        <v>4.9338181818181814</v>
      </c>
      <c r="AA161" s="714">
        <v>1800000</v>
      </c>
      <c r="AB161" s="715">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5">
        <f t="shared" si="37"/>
        <v>9793636.3636363633</v>
      </c>
      <c r="Z162" s="716">
        <f t="shared" si="38"/>
        <v>5.4409090909090905</v>
      </c>
      <c r="AA162" s="714">
        <v>1800000</v>
      </c>
      <c r="AB162" s="715">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5">
        <f t="shared" si="37"/>
        <v>9739636.3636363633</v>
      </c>
      <c r="Z163" s="716">
        <f t="shared" si="38"/>
        <v>5.4109090909090911</v>
      </c>
      <c r="AA163" s="714">
        <v>1800000</v>
      </c>
      <c r="AB163" s="715">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5">
        <f t="shared" si="37"/>
        <v>7666036.3636363642</v>
      </c>
      <c r="Z164" s="716">
        <f t="shared" si="38"/>
        <v>4.258909090909091</v>
      </c>
      <c r="AA164" s="714">
        <v>1800000</v>
      </c>
      <c r="AB164" s="715">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5">
        <f t="shared" si="37"/>
        <v>8836363.6363636367</v>
      </c>
      <c r="Z165" s="716">
        <f t="shared" si="38"/>
        <v>4.9090909090909092</v>
      </c>
      <c r="AA165" s="714">
        <v>1800000</v>
      </c>
      <c r="AB165" s="715">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5">
        <f t="shared" si="37"/>
        <v>10603636.363636363</v>
      </c>
      <c r="Z166" s="716">
        <f t="shared" si="38"/>
        <v>5.8909090909090907</v>
      </c>
      <c r="AA166" s="714">
        <v>1800000</v>
      </c>
      <c r="AB166" s="715">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5">
        <f t="shared" si="37"/>
        <v>7666036.3636363642</v>
      </c>
      <c r="Z167" s="716">
        <f t="shared" si="38"/>
        <v>4.258909090909091</v>
      </c>
      <c r="AA167" s="714">
        <v>1800000</v>
      </c>
      <c r="AB167" s="715">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2">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6">
        <v>9</v>
      </c>
      <c r="P168" s="584">
        <f>IFERROR(INDEX('[6]CN BC'!$J$10:$J$277,MATCH(B168,'[6]CN BC'!$H$10:$H$277,0)),"")</f>
        <v>0</v>
      </c>
      <c r="Q168" s="583">
        <f t="shared" si="41"/>
        <v>0</v>
      </c>
      <c r="R168" s="585"/>
      <c r="S168" s="581">
        <f t="shared" si="31"/>
        <v>0</v>
      </c>
      <c r="T168" s="586"/>
      <c r="U168" s="581">
        <f t="shared" si="42"/>
        <v>0</v>
      </c>
      <c r="V168" s="581">
        <v>0</v>
      </c>
      <c r="W168" s="697">
        <f t="shared" si="40"/>
        <v>0</v>
      </c>
      <c r="X168" s="584" t="str">
        <f>IFERROR(INDEX([7]TL!$X$12:$X$200,MATCH(B168,[7]TL!$B$12:$B$200,0)),"0")</f>
        <v>0</v>
      </c>
      <c r="Y168" s="755">
        <f t="shared" si="37"/>
        <v>0</v>
      </c>
      <c r="Z168" s="756">
        <f t="shared" si="38"/>
        <v>0</v>
      </c>
      <c r="AA168" s="757">
        <v>1800000</v>
      </c>
      <c r="AB168" s="755">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5">
        <f t="shared" si="37"/>
        <v>8983636.3636363633</v>
      </c>
      <c r="Z169" s="716">
        <f t="shared" si="38"/>
        <v>4.9909090909090903</v>
      </c>
      <c r="AA169" s="714">
        <v>1800000</v>
      </c>
      <c r="AB169" s="715">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5">
        <f t="shared" si="37"/>
        <v>9048436.3636363652</v>
      </c>
      <c r="Z170" s="716">
        <f t="shared" si="38"/>
        <v>5.0269090909090917</v>
      </c>
      <c r="AA170" s="714">
        <v>1800000</v>
      </c>
      <c r="AB170" s="715">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5">
        <f t="shared" si="37"/>
        <v>6974836.3636363642</v>
      </c>
      <c r="Z171" s="716">
        <f t="shared" si="38"/>
        <v>3.8749090909090911</v>
      </c>
      <c r="AA171" s="714">
        <v>1800000</v>
      </c>
      <c r="AB171" s="715">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5">
        <f t="shared" si="37"/>
        <v>7486363.6363636358</v>
      </c>
      <c r="Z172" s="716">
        <f t="shared" si="38"/>
        <v>4.1590909090909092</v>
      </c>
      <c r="AA172" s="714">
        <v>1800000</v>
      </c>
      <c r="AB172" s="715">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5">
        <f t="shared" si="37"/>
        <v>6974836.3636363642</v>
      </c>
      <c r="Z173" s="716">
        <f t="shared" si="38"/>
        <v>3.8749090909090911</v>
      </c>
      <c r="AA173" s="714">
        <v>1800000</v>
      </c>
      <c r="AB173" s="715">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4">
        <f>_xlfn.AGGREGATE(4,7,A$19:A173)+1</f>
        <v>154</v>
      </c>
      <c r="B174" s="735" t="s">
        <v>1507</v>
      </c>
      <c r="C174" s="736" t="s">
        <v>1016</v>
      </c>
      <c r="D174" s="737" t="s">
        <v>1740</v>
      </c>
      <c r="E174" s="738" t="s">
        <v>1340</v>
      </c>
      <c r="F174" s="739">
        <v>3.99</v>
      </c>
      <c r="G174" s="740"/>
      <c r="H174" s="741">
        <f t="shared" si="28"/>
        <v>3.99</v>
      </c>
      <c r="I174" s="741"/>
      <c r="J174" s="741" t="str">
        <f>VLOOKUP(B174,[4]CN!$B$33:$J$365,9,FALSE)</f>
        <v>Giảng viên khoa CNTT</v>
      </c>
      <c r="K174" s="742">
        <f t="shared" si="29"/>
        <v>3.99</v>
      </c>
      <c r="L174" s="743">
        <f t="shared" si="30"/>
        <v>7182000</v>
      </c>
      <c r="M174" s="739"/>
      <c r="N174" s="744">
        <f t="shared" si="32"/>
        <v>0</v>
      </c>
      <c r="O174" s="745">
        <v>9</v>
      </c>
      <c r="P174" s="746" t="str">
        <f>IFERROR(INDEX('[6]CN BC'!$J$10:$J$277,MATCH(B174,'[6]CN BC'!$H$10:$H$277,0)),"")</f>
        <v/>
      </c>
      <c r="Q174" s="744">
        <f t="shared" si="41"/>
        <v>0</v>
      </c>
      <c r="R174" s="747"/>
      <c r="S174" s="743">
        <f t="shared" si="31"/>
        <v>0</v>
      </c>
      <c r="T174" s="748"/>
      <c r="U174" s="743">
        <f t="shared" si="42"/>
        <v>0</v>
      </c>
      <c r="V174" s="743" t="str">
        <f t="shared" si="35"/>
        <v>0</v>
      </c>
      <c r="W174" s="749">
        <f t="shared" si="40"/>
        <v>0</v>
      </c>
      <c r="X174" s="746">
        <f>IFERROR(INDEX([7]TL!$X$12:$X$200,MATCH(B174,[7]TL!$B$12:$B$200,0)),"0")</f>
        <v>979363.63636363577</v>
      </c>
      <c r="Y174" s="750">
        <f t="shared" si="37"/>
        <v>979363.63636363577</v>
      </c>
      <c r="Z174" s="751">
        <f t="shared" si="38"/>
        <v>0.54409090909090874</v>
      </c>
      <c r="AA174" s="752">
        <v>1800000</v>
      </c>
      <c r="AB174" s="750">
        <f t="shared" si="39"/>
        <v>979363.63636363577</v>
      </c>
      <c r="AC174" s="753">
        <f t="shared" si="36"/>
        <v>154</v>
      </c>
      <c r="AD174" s="754"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5">
        <f t="shared" si="37"/>
        <v>8836363.6363636367</v>
      </c>
      <c r="Z175" s="716">
        <f t="shared" si="38"/>
        <v>4.9090909090909092</v>
      </c>
      <c r="AA175" s="714">
        <v>1800000</v>
      </c>
      <c r="AB175" s="715">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5">
        <f t="shared" si="37"/>
        <v>8357236.3636363642</v>
      </c>
      <c r="Z176" s="716">
        <f t="shared" si="38"/>
        <v>4.6429090909090913</v>
      </c>
      <c r="AA176" s="714">
        <v>1800000</v>
      </c>
      <c r="AB176" s="715">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5">
        <f t="shared" si="37"/>
        <v>8161363.6363636358</v>
      </c>
      <c r="Z177" s="716">
        <f t="shared" si="38"/>
        <v>4.5340909090909092</v>
      </c>
      <c r="AA177" s="714">
        <v>1800000</v>
      </c>
      <c r="AB177" s="715">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5">
        <f t="shared" si="37"/>
        <v>7486363.6363636358</v>
      </c>
      <c r="Z178" s="716">
        <f t="shared" si="38"/>
        <v>4.1590909090909092</v>
      </c>
      <c r="AA178" s="714">
        <v>1800000</v>
      </c>
      <c r="AB178" s="715">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5">
        <f t="shared" si="37"/>
        <v>8357236.3636363642</v>
      </c>
      <c r="Z179" s="716">
        <f t="shared" si="38"/>
        <v>4.6429090909090913</v>
      </c>
      <c r="AA179" s="714">
        <v>1800000</v>
      </c>
      <c r="AB179" s="715">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5">
        <f t="shared" si="37"/>
        <v>8161363.6363636358</v>
      </c>
      <c r="Z180" s="716">
        <f t="shared" si="38"/>
        <v>4.5340909090909092</v>
      </c>
      <c r="AA180" s="714">
        <v>1800000</v>
      </c>
      <c r="AB180" s="715">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5">
        <f t="shared" si="37"/>
        <v>13804363.636363639</v>
      </c>
      <c r="Z181" s="716">
        <f t="shared" si="38"/>
        <v>7.6690909090909107</v>
      </c>
      <c r="AA181" s="714">
        <v>1800000</v>
      </c>
      <c r="AB181" s="715">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5">
        <f t="shared" si="37"/>
        <v>7486363.6363636358</v>
      </c>
      <c r="Z182" s="716">
        <f t="shared" si="38"/>
        <v>4.1590909090909092</v>
      </c>
      <c r="AA182" s="714">
        <v>1800000</v>
      </c>
      <c r="AB182" s="715">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5">
        <f t="shared" si="37"/>
        <v>7486363.6363636358</v>
      </c>
      <c r="Z183" s="716">
        <f t="shared" si="38"/>
        <v>4.1590909090909092</v>
      </c>
      <c r="AA183" s="714">
        <v>1800000</v>
      </c>
      <c r="AB183" s="715">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5">
        <f t="shared" si="37"/>
        <v>7666036.3636363642</v>
      </c>
      <c r="Z184" s="716">
        <f t="shared" si="38"/>
        <v>4.258909090909091</v>
      </c>
      <c r="AA184" s="714">
        <v>1800000</v>
      </c>
      <c r="AB184" s="715">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5">
        <f t="shared" si="37"/>
        <v>10652727.272727273</v>
      </c>
      <c r="Z185" s="716">
        <f t="shared" si="38"/>
        <v>5.9181818181818189</v>
      </c>
      <c r="AA185" s="714">
        <v>1800000</v>
      </c>
      <c r="AB185" s="715">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5">
        <f t="shared" si="37"/>
        <v>6811363.6363636358</v>
      </c>
      <c r="Z186" s="716">
        <f t="shared" si="38"/>
        <v>3.7840909090909087</v>
      </c>
      <c r="AA186" s="714">
        <v>1800000</v>
      </c>
      <c r="AB186" s="715">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5">
        <f t="shared" si="37"/>
        <v>10615418.181818182</v>
      </c>
      <c r="Z187" s="716">
        <f t="shared" si="38"/>
        <v>5.8974545454545453</v>
      </c>
      <c r="AA187" s="714">
        <v>1800000</v>
      </c>
      <c r="AB187" s="715">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5">
        <f t="shared" si="37"/>
        <v>6974836.3636363642</v>
      </c>
      <c r="Z188" s="716">
        <f t="shared" si="38"/>
        <v>3.8749090909090911</v>
      </c>
      <c r="AA188" s="714">
        <v>1800000</v>
      </c>
      <c r="AB188" s="715">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5">
        <f t="shared" si="37"/>
        <v>8161363.6363636358</v>
      </c>
      <c r="Z189" s="716">
        <f t="shared" si="38"/>
        <v>4.5340909090909092</v>
      </c>
      <c r="AA189" s="714">
        <v>1800000</v>
      </c>
      <c r="AB189" s="715">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5">
        <f t="shared" si="37"/>
        <v>7486363.6363636358</v>
      </c>
      <c r="Z190" s="716">
        <f t="shared" si="38"/>
        <v>4.1590909090909092</v>
      </c>
      <c r="AA190" s="714">
        <v>1800000</v>
      </c>
      <c r="AB190" s="715">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5">
        <f t="shared" si="37"/>
        <v>8880872.7272727266</v>
      </c>
      <c r="Z191" s="716">
        <f t="shared" si="38"/>
        <v>4.9338181818181814</v>
      </c>
      <c r="AA191" s="714">
        <v>1800000</v>
      </c>
      <c r="AB191" s="715">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5">
        <f t="shared" si="37"/>
        <v>9793636.3636363633</v>
      </c>
      <c r="Z192" s="716">
        <f t="shared" si="38"/>
        <v>5.4409090909090905</v>
      </c>
      <c r="AA192" s="714">
        <v>1800000</v>
      </c>
      <c r="AB192" s="715">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5">
        <f t="shared" si="37"/>
        <v>4641136.3636363633</v>
      </c>
      <c r="Z193" s="716">
        <f t="shared" si="38"/>
        <v>2.5784090909090907</v>
      </c>
      <c r="AA193" s="714">
        <v>1800000</v>
      </c>
      <c r="AB193" s="715">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5">
        <f t="shared" si="37"/>
        <v>4068409.0909090908</v>
      </c>
      <c r="Z194" s="716">
        <f t="shared" si="38"/>
        <v>2.2602272727272728</v>
      </c>
      <c r="AA194" s="714">
        <v>1800000</v>
      </c>
      <c r="AB194" s="715">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5">
        <f t="shared" si="37"/>
        <v>12852000.000000002</v>
      </c>
      <c r="Z195" s="716">
        <f t="shared" si="38"/>
        <v>7.1400000000000015</v>
      </c>
      <c r="AA195" s="714">
        <v>1800000</v>
      </c>
      <c r="AB195" s="715">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5">
        <f t="shared" si="37"/>
        <v>10899409.090909094</v>
      </c>
      <c r="Z196" s="716">
        <f t="shared" si="38"/>
        <v>6.055227272727274</v>
      </c>
      <c r="AA196" s="714">
        <v>1800000</v>
      </c>
      <c r="AB196" s="715">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5">
        <f t="shared" si="37"/>
        <v>11422580.72727273</v>
      </c>
      <c r="Z197" s="716">
        <f t="shared" si="38"/>
        <v>6.3458781818181835</v>
      </c>
      <c r="AA197" s="714">
        <v>1800000</v>
      </c>
      <c r="AB197" s="715">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5">
        <f t="shared" si="37"/>
        <v>8836363.6363636367</v>
      </c>
      <c r="Z198" s="716">
        <f t="shared" si="38"/>
        <v>4.9090909090909092</v>
      </c>
      <c r="AA198" s="714">
        <v>1800000</v>
      </c>
      <c r="AB198" s="715">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5">
        <f t="shared" si="37"/>
        <v>12276605.454545453</v>
      </c>
      <c r="Z199" s="716">
        <f t="shared" si="38"/>
        <v>6.820336363636363</v>
      </c>
      <c r="AA199" s="714">
        <v>1800000</v>
      </c>
      <c r="AB199" s="715">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5">
        <f t="shared" si="37"/>
        <v>12508363.636363637</v>
      </c>
      <c r="Z200" s="716">
        <f t="shared" si="38"/>
        <v>6.9490909090909092</v>
      </c>
      <c r="AA200" s="714">
        <v>1800000</v>
      </c>
      <c r="AB200" s="715">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5">
        <f t="shared" si="37"/>
        <v>13842104.727272728</v>
      </c>
      <c r="Z201" s="716">
        <f t="shared" si="38"/>
        <v>7.6900581818181823</v>
      </c>
      <c r="AA201" s="714">
        <v>1800000</v>
      </c>
      <c r="AB201" s="715">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5">
        <f t="shared" si="37"/>
        <v>8357236.3636363642</v>
      </c>
      <c r="Z202" s="716">
        <f t="shared" si="38"/>
        <v>4.6429090909090913</v>
      </c>
      <c r="AA202" s="714">
        <v>1800000</v>
      </c>
      <c r="AB202" s="715">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5">
        <f t="shared" si="37"/>
        <v>10695681.818181818</v>
      </c>
      <c r="Z203" s="716">
        <f t="shared" si="38"/>
        <v>5.9420454545454549</v>
      </c>
      <c r="AA203" s="714">
        <v>1800000</v>
      </c>
      <c r="AB203" s="715">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5">
        <f t="shared" si="37"/>
        <v>10039581.818181818</v>
      </c>
      <c r="Z204" s="716">
        <f t="shared" si="38"/>
        <v>5.5775454545454544</v>
      </c>
      <c r="AA204" s="714">
        <v>1800000</v>
      </c>
      <c r="AB204" s="715">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5">
        <f t="shared" si="37"/>
        <v>7486363.6363636358</v>
      </c>
      <c r="Z205" s="716">
        <f t="shared" si="38"/>
        <v>4.1590909090909092</v>
      </c>
      <c r="AA205" s="714">
        <v>1800000</v>
      </c>
      <c r="AB205" s="715">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5">
        <f t="shared" si="37"/>
        <v>7666036.3636363642</v>
      </c>
      <c r="Z206" s="716">
        <f t="shared" si="38"/>
        <v>4.258909090909091</v>
      </c>
      <c r="AA206" s="714">
        <v>1800000</v>
      </c>
      <c r="AB206" s="715">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5">
        <f t="shared" si="37"/>
        <v>7845709.0909090908</v>
      </c>
      <c r="Z207" s="716">
        <f t="shared" si="38"/>
        <v>4.3587272727272728</v>
      </c>
      <c r="AA207" s="714">
        <v>1800000</v>
      </c>
      <c r="AB207" s="715">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5">
        <f t="shared" si="37"/>
        <v>7486363.6363636358</v>
      </c>
      <c r="Z208" s="716">
        <f t="shared" si="38"/>
        <v>4.1590909090909092</v>
      </c>
      <c r="AA208" s="714">
        <v>1800000</v>
      </c>
      <c r="AB208" s="715">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5">
        <f t="shared" si="37"/>
        <v>7666036.3636363642</v>
      </c>
      <c r="Z209" s="716">
        <f t="shared" si="38"/>
        <v>4.258909090909091</v>
      </c>
      <c r="AA209" s="714">
        <v>1800000</v>
      </c>
      <c r="AB209" s="715">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5">
        <f t="shared" si="37"/>
        <v>9138763.6363636367</v>
      </c>
      <c r="Z210" s="716">
        <f t="shared" si="38"/>
        <v>5.0770909090909093</v>
      </c>
      <c r="AA210" s="714">
        <v>1800000</v>
      </c>
      <c r="AB210" s="715">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5">
        <f t="shared" si="37"/>
        <v>7486363.6363636358</v>
      </c>
      <c r="Z211" s="716">
        <f t="shared" si="38"/>
        <v>4.1590909090909092</v>
      </c>
      <c r="AA211" s="714">
        <v>1800000</v>
      </c>
      <c r="AB211" s="715">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5">
        <f t="shared" si="37"/>
        <v>6974836.3636363642</v>
      </c>
      <c r="Z212" s="716">
        <f t="shared" si="38"/>
        <v>3.8749090909090911</v>
      </c>
      <c r="AA212" s="714">
        <v>1800000</v>
      </c>
      <c r="AB212" s="715">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5">
        <f t="shared" si="37"/>
        <v>11160994.90909091</v>
      </c>
      <c r="Z213" s="716">
        <f t="shared" si="38"/>
        <v>6.2005527272727274</v>
      </c>
      <c r="AA213" s="714">
        <v>1800000</v>
      </c>
      <c r="AB213" s="715">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5">
        <f t="shared" ref="Y214:Y277" si="50">W214+X214</f>
        <v>11473920.000000002</v>
      </c>
      <c r="Z214" s="716">
        <f t="shared" ref="Z214:Z277" si="51">Y214/AA214</f>
        <v>6.3744000000000014</v>
      </c>
      <c r="AA214" s="714">
        <v>1800000</v>
      </c>
      <c r="AB214" s="715">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5">
        <f t="shared" si="50"/>
        <v>6811363.6363636358</v>
      </c>
      <c r="Z215" s="716">
        <f t="shared" si="51"/>
        <v>3.7840909090909087</v>
      </c>
      <c r="AA215" s="714">
        <v>1800000</v>
      </c>
      <c r="AB215" s="715">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5">
        <f t="shared" si="50"/>
        <v>6283636.3636363642</v>
      </c>
      <c r="Z216" s="716">
        <f t="shared" si="51"/>
        <v>3.4909090909090912</v>
      </c>
      <c r="AA216" s="714">
        <v>1800000</v>
      </c>
      <c r="AB216" s="715">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5">
        <f t="shared" si="50"/>
        <v>6578181.8181818184</v>
      </c>
      <c r="Z217" s="716">
        <f t="shared" si="51"/>
        <v>3.6545454545454548</v>
      </c>
      <c r="AA217" s="714">
        <v>1800000</v>
      </c>
      <c r="AB217" s="715">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5">
        <f t="shared" si="50"/>
        <v>11306863.636363639</v>
      </c>
      <c r="Z218" s="716">
        <f t="shared" si="51"/>
        <v>6.2815909090909106</v>
      </c>
      <c r="AA218" s="714">
        <v>1800000</v>
      </c>
      <c r="AB218" s="715">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5">
        <f t="shared" si="50"/>
        <v>5723509.0909090908</v>
      </c>
      <c r="Z219" s="716">
        <f t="shared" si="51"/>
        <v>3.1797272727272725</v>
      </c>
      <c r="AA219" s="714">
        <v>1800000</v>
      </c>
      <c r="AB219" s="715">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5">
        <f t="shared" si="50"/>
        <v>6430909.0909090908</v>
      </c>
      <c r="Z220" s="716">
        <f t="shared" si="51"/>
        <v>3.5727272727272728</v>
      </c>
      <c r="AA220" s="714">
        <v>1800000</v>
      </c>
      <c r="AB220" s="715">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5">
        <f t="shared" si="50"/>
        <v>8836363.6363636367</v>
      </c>
      <c r="Z221" s="716">
        <f t="shared" si="51"/>
        <v>4.9090909090909092</v>
      </c>
      <c r="AA221" s="714">
        <v>1800000</v>
      </c>
      <c r="AB221" s="715">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5">
        <f t="shared" si="50"/>
        <v>5461363.6363636367</v>
      </c>
      <c r="Z222" s="716">
        <f t="shared" si="51"/>
        <v>3.0340909090909092</v>
      </c>
      <c r="AA222" s="714">
        <v>1800000</v>
      </c>
      <c r="AB222" s="715">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5">
        <f t="shared" si="50"/>
        <v>12066100.363636363</v>
      </c>
      <c r="Z223" s="716">
        <f t="shared" si="51"/>
        <v>6.7033890909090905</v>
      </c>
      <c r="AA223" s="714">
        <v>1800000</v>
      </c>
      <c r="AB223" s="715">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5">
        <f t="shared" si="50"/>
        <v>14854909.090909094</v>
      </c>
      <c r="Z224" s="716">
        <f t="shared" si="51"/>
        <v>8.2527272727272738</v>
      </c>
      <c r="AA224" s="714">
        <v>1800000</v>
      </c>
      <c r="AB224" s="715">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5">
        <f t="shared" si="50"/>
        <v>15640049.454545453</v>
      </c>
      <c r="Z225" s="716">
        <f t="shared" si="51"/>
        <v>8.6889163636363627</v>
      </c>
      <c r="AA225" s="714">
        <v>1800000</v>
      </c>
      <c r="AB225" s="715">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5">
        <f t="shared" si="50"/>
        <v>11315827.636363637</v>
      </c>
      <c r="Z226" s="716">
        <f t="shared" si="51"/>
        <v>6.2865709090909094</v>
      </c>
      <c r="AA226" s="714">
        <v>1800000</v>
      </c>
      <c r="AB226" s="715">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5">
        <f t="shared" si="50"/>
        <v>11056686.545454545</v>
      </c>
      <c r="Z227" s="716">
        <f t="shared" si="51"/>
        <v>6.1426036363636358</v>
      </c>
      <c r="AA227" s="714">
        <v>1800000</v>
      </c>
      <c r="AB227" s="715">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5">
        <f t="shared" si="50"/>
        <v>11413636.363636363</v>
      </c>
      <c r="Z228" s="716">
        <f t="shared" si="51"/>
        <v>6.3409090909090908</v>
      </c>
      <c r="AA228" s="714">
        <v>1800000</v>
      </c>
      <c r="AB228" s="715">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5">
        <f t="shared" si="50"/>
        <v>10603636.363636363</v>
      </c>
      <c r="Z229" s="716">
        <f t="shared" si="51"/>
        <v>5.8909090909090907</v>
      </c>
      <c r="AA229" s="714">
        <v>1800000</v>
      </c>
      <c r="AB229" s="715">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5">
        <f t="shared" si="50"/>
        <v>10603636.363636363</v>
      </c>
      <c r="Z230" s="716">
        <f t="shared" si="51"/>
        <v>5.8909090909090907</v>
      </c>
      <c r="AA230" s="714">
        <v>1800000</v>
      </c>
      <c r="AB230" s="715">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5">
        <f t="shared" si="50"/>
        <v>8787272.7272727266</v>
      </c>
      <c r="Z231" s="716">
        <f t="shared" si="51"/>
        <v>4.8818181818181818</v>
      </c>
      <c r="AA231" s="714">
        <v>1800000</v>
      </c>
      <c r="AB231" s="715">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5">
        <f t="shared" si="50"/>
        <v>9048436.3636363652</v>
      </c>
      <c r="Z232" s="716">
        <f t="shared" si="51"/>
        <v>5.0269090909090917</v>
      </c>
      <c r="AA232" s="714">
        <v>1800000</v>
      </c>
      <c r="AB232" s="715">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5">
        <f t="shared" si="50"/>
        <v>9511363.6363636367</v>
      </c>
      <c r="Z233" s="716">
        <f t="shared" si="51"/>
        <v>5.2840909090909092</v>
      </c>
      <c r="AA233" s="714">
        <v>1800000</v>
      </c>
      <c r="AB233" s="715">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5">
        <f t="shared" si="50"/>
        <v>7666036.3636363642</v>
      </c>
      <c r="Z234" s="716">
        <f t="shared" si="51"/>
        <v>4.258909090909091</v>
      </c>
      <c r="AA234" s="714">
        <v>1800000</v>
      </c>
      <c r="AB234" s="715">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5">
        <f t="shared" si="50"/>
        <v>8357236.3636363642</v>
      </c>
      <c r="Z235" s="716">
        <f t="shared" si="51"/>
        <v>4.6429090909090913</v>
      </c>
      <c r="AA235" s="714">
        <v>1800000</v>
      </c>
      <c r="AB235" s="715">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5">
        <f t="shared" si="50"/>
        <v>7845709.0909090908</v>
      </c>
      <c r="Z236" s="716">
        <f t="shared" si="51"/>
        <v>4.3587272727272728</v>
      </c>
      <c r="AA236" s="714">
        <v>1800000</v>
      </c>
      <c r="AB236" s="715">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5">
        <f t="shared" si="50"/>
        <v>9342981.8181818184</v>
      </c>
      <c r="Z237" s="716">
        <f t="shared" si="51"/>
        <v>5.1905454545454548</v>
      </c>
      <c r="AA237" s="714">
        <v>1800000</v>
      </c>
      <c r="AB237" s="715">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5">
        <f t="shared" si="50"/>
        <v>12373344</v>
      </c>
      <c r="Z238" s="716">
        <f t="shared" si="51"/>
        <v>6.8740800000000002</v>
      </c>
      <c r="AA238" s="714">
        <v>1800000</v>
      </c>
      <c r="AB238" s="715">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5">
        <f t="shared" si="50"/>
        <v>11306863.636363639</v>
      </c>
      <c r="Z239" s="716">
        <f t="shared" si="51"/>
        <v>6.2815909090909106</v>
      </c>
      <c r="AA239" s="714">
        <v>1800000</v>
      </c>
      <c r="AB239" s="715">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5">
        <f t="shared" si="50"/>
        <v>11265303.272727272</v>
      </c>
      <c r="Z240" s="716">
        <f t="shared" si="51"/>
        <v>6.2585018181818173</v>
      </c>
      <c r="AA240" s="714">
        <v>1800000</v>
      </c>
      <c r="AB240" s="715">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5">
        <f t="shared" si="50"/>
        <v>8836363.6363636367</v>
      </c>
      <c r="Z241" s="716">
        <f t="shared" si="51"/>
        <v>4.9090909090909092</v>
      </c>
      <c r="AA241" s="714">
        <v>1800000</v>
      </c>
      <c r="AB241" s="715">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5">
        <f t="shared" si="50"/>
        <v>9048436.3636363652</v>
      </c>
      <c r="Z242" s="716">
        <f t="shared" si="51"/>
        <v>5.0269090909090917</v>
      </c>
      <c r="AA242" s="714">
        <v>1800000</v>
      </c>
      <c r="AB242" s="715">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5">
        <f t="shared" si="50"/>
        <v>9739636.3636363633</v>
      </c>
      <c r="Z243" s="716">
        <f t="shared" si="51"/>
        <v>5.4109090909090911</v>
      </c>
      <c r="AA243" s="714">
        <v>1800000</v>
      </c>
      <c r="AB243" s="715">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5">
        <f t="shared" si="50"/>
        <v>9739636.3636363633</v>
      </c>
      <c r="Z244" s="716">
        <f t="shared" si="51"/>
        <v>5.4109090909090911</v>
      </c>
      <c r="AA244" s="714">
        <v>1800000</v>
      </c>
      <c r="AB244" s="715">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5">
        <f t="shared" si="50"/>
        <v>9739636.3636363633</v>
      </c>
      <c r="Z245" s="716">
        <f t="shared" si="51"/>
        <v>5.4109090909090911</v>
      </c>
      <c r="AA245" s="714">
        <v>1800000</v>
      </c>
      <c r="AB245" s="715">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5">
        <f t="shared" si="50"/>
        <v>9511363.6363636367</v>
      </c>
      <c r="Z246" s="716">
        <f t="shared" si="51"/>
        <v>5.2840909090909092</v>
      </c>
      <c r="AA246" s="714">
        <v>1800000</v>
      </c>
      <c r="AB246" s="715">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5">
        <f t="shared" si="50"/>
        <v>8161363.6363636358</v>
      </c>
      <c r="Z247" s="716">
        <f t="shared" si="51"/>
        <v>4.5340909090909092</v>
      </c>
      <c r="AA247" s="714">
        <v>1800000</v>
      </c>
      <c r="AB247" s="715">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5">
        <f t="shared" si="50"/>
        <v>7510909.0909090908</v>
      </c>
      <c r="Z248" s="716">
        <f t="shared" si="51"/>
        <v>4.1727272727272728</v>
      </c>
      <c r="AA248" s="714">
        <v>1800000</v>
      </c>
      <c r="AB248" s="715">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5">
        <f t="shared" si="50"/>
        <v>7453963.6363636358</v>
      </c>
      <c r="Z249" s="716">
        <f t="shared" si="51"/>
        <v>4.1410909090909085</v>
      </c>
      <c r="AA249" s="714">
        <v>1800000</v>
      </c>
      <c r="AB249" s="715">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5">
        <f t="shared" si="50"/>
        <v>7453963.6363636358</v>
      </c>
      <c r="Z250" s="716">
        <f t="shared" si="51"/>
        <v>4.1410909090909085</v>
      </c>
      <c r="AA250" s="714">
        <v>1800000</v>
      </c>
      <c r="AB250" s="715">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5">
        <f t="shared" si="50"/>
        <v>9793636.3636363633</v>
      </c>
      <c r="Z251" s="716">
        <f t="shared" si="51"/>
        <v>5.4409090909090905</v>
      </c>
      <c r="AA251" s="714">
        <v>1800000</v>
      </c>
      <c r="AB251" s="715">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5">
        <f t="shared" si="50"/>
        <v>5592436.3636363642</v>
      </c>
      <c r="Z252" s="716">
        <f t="shared" si="51"/>
        <v>3.1069090909090913</v>
      </c>
      <c r="AA252" s="714">
        <v>1800000</v>
      </c>
      <c r="AB252" s="715">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5">
        <f t="shared" si="50"/>
        <v>4901236.3636363633</v>
      </c>
      <c r="Z253" s="716">
        <f t="shared" si="51"/>
        <v>2.7229090909090905</v>
      </c>
      <c r="AA253" s="714">
        <v>1800000</v>
      </c>
      <c r="AB253" s="715">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5">
        <f t="shared" si="50"/>
        <v>7597309.0909090899</v>
      </c>
      <c r="Z254" s="716">
        <f t="shared" si="51"/>
        <v>4.220727272727272</v>
      </c>
      <c r="AA254" s="714">
        <v>1800000</v>
      </c>
      <c r="AB254" s="715">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5">
        <f t="shared" si="50"/>
        <v>12272727.272727273</v>
      </c>
      <c r="Z255" s="716">
        <f t="shared" si="51"/>
        <v>6.8181818181818183</v>
      </c>
      <c r="AA255" s="714">
        <v>1800000</v>
      </c>
      <c r="AB255" s="715">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5">
        <f t="shared" si="50"/>
        <v>9347727.2727272734</v>
      </c>
      <c r="Z256" s="716">
        <f t="shared" si="51"/>
        <v>5.1931818181818183</v>
      </c>
      <c r="AA256" s="714">
        <v>1800000</v>
      </c>
      <c r="AB256" s="715">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5">
        <f t="shared" si="50"/>
        <v>8161363.6363636358</v>
      </c>
      <c r="Z257" s="716">
        <f t="shared" si="51"/>
        <v>4.5340909090909092</v>
      </c>
      <c r="AA257" s="714">
        <v>1800000</v>
      </c>
      <c r="AB257" s="715">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5">
        <f t="shared" si="50"/>
        <v>10407272.727272727</v>
      </c>
      <c r="Z258" s="716">
        <f t="shared" si="51"/>
        <v>5.7818181818181813</v>
      </c>
      <c r="AA258" s="714">
        <v>1800000</v>
      </c>
      <c r="AB258" s="715">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5">
        <f t="shared" si="50"/>
        <v>7486363.6363636358</v>
      </c>
      <c r="Z259" s="716">
        <f t="shared" si="51"/>
        <v>4.1590909090909092</v>
      </c>
      <c r="AA259" s="714">
        <v>1800000</v>
      </c>
      <c r="AB259" s="715">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5">
        <f t="shared" si="50"/>
        <v>7486363.6363636358</v>
      </c>
      <c r="Z260" s="716">
        <f t="shared" si="51"/>
        <v>4.1590909090909092</v>
      </c>
      <c r="AA260" s="714">
        <v>1800000</v>
      </c>
      <c r="AB260" s="715">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5">
        <f t="shared" si="50"/>
        <v>8161363.6363636358</v>
      </c>
      <c r="Z261" s="716">
        <f t="shared" si="51"/>
        <v>4.5340909090909092</v>
      </c>
      <c r="AA261" s="714">
        <v>1800000</v>
      </c>
      <c r="AB261" s="715">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5">
        <f t="shared" si="50"/>
        <v>7486363.6363636358</v>
      </c>
      <c r="Z262" s="716">
        <f t="shared" si="51"/>
        <v>4.1590909090909092</v>
      </c>
      <c r="AA262" s="714">
        <v>1800000</v>
      </c>
      <c r="AB262" s="715">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5">
        <f t="shared" si="50"/>
        <v>7666036.3636363642</v>
      </c>
      <c r="Z263" s="716">
        <f t="shared" si="51"/>
        <v>4.258909090909091</v>
      </c>
      <c r="AA263" s="714">
        <v>1800000</v>
      </c>
      <c r="AB263" s="715">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5">
        <f t="shared" si="50"/>
        <v>7666036.3636363642</v>
      </c>
      <c r="Z264" s="716">
        <f t="shared" si="51"/>
        <v>4.258909090909091</v>
      </c>
      <c r="AA264" s="714">
        <v>1800000</v>
      </c>
      <c r="AB264" s="715">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5">
        <f t="shared" si="50"/>
        <v>6974836.3636363642</v>
      </c>
      <c r="Z265" s="716">
        <f t="shared" si="51"/>
        <v>3.8749090909090911</v>
      </c>
      <c r="AA265" s="714">
        <v>1800000</v>
      </c>
      <c r="AB265" s="715">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5">
        <f t="shared" si="50"/>
        <v>7486363.6363636358</v>
      </c>
      <c r="Z266" s="716">
        <f t="shared" si="51"/>
        <v>4.1590909090909092</v>
      </c>
      <c r="AA266" s="714">
        <v>1800000</v>
      </c>
      <c r="AB266" s="715">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5">
        <f t="shared" si="50"/>
        <v>7498472.7272727266</v>
      </c>
      <c r="Z267" s="716">
        <f t="shared" si="51"/>
        <v>4.1658181818181816</v>
      </c>
      <c r="AA267" s="714">
        <v>1800000</v>
      </c>
      <c r="AB267" s="715">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5">
        <f t="shared" si="50"/>
        <v>6974836.3636363642</v>
      </c>
      <c r="Z268" s="716">
        <f t="shared" si="51"/>
        <v>3.8749090909090911</v>
      </c>
      <c r="AA268" s="714">
        <v>1800000</v>
      </c>
      <c r="AB268" s="715">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5">
        <f t="shared" si="50"/>
        <v>5461363.6363636367</v>
      </c>
      <c r="Z269" s="716">
        <f t="shared" si="51"/>
        <v>3.0340909090909092</v>
      </c>
      <c r="AA269" s="714">
        <v>1800000</v>
      </c>
      <c r="AB269" s="715">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5">
        <f t="shared" si="50"/>
        <v>5592436.3636363642</v>
      </c>
      <c r="Z270" s="716">
        <f t="shared" si="51"/>
        <v>3.1069090909090913</v>
      </c>
      <c r="AA270" s="714">
        <v>1800000</v>
      </c>
      <c r="AB270" s="715">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5">
        <f t="shared" si="50"/>
        <v>6283636.3636363642</v>
      </c>
      <c r="Z271" s="716">
        <f t="shared" si="51"/>
        <v>3.4909090909090912</v>
      </c>
      <c r="AA271" s="714">
        <v>1800000</v>
      </c>
      <c r="AB271" s="715">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5">
        <f t="shared" si="50"/>
        <v>7666036.3636363642</v>
      </c>
      <c r="Z272" s="716">
        <f t="shared" si="51"/>
        <v>4.258909090909091</v>
      </c>
      <c r="AA272" s="714">
        <v>1800000</v>
      </c>
      <c r="AB272" s="715">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5">
        <f t="shared" si="50"/>
        <v>4901236.3636363633</v>
      </c>
      <c r="Z273" s="716">
        <f t="shared" si="51"/>
        <v>2.7229090909090905</v>
      </c>
      <c r="AA273" s="714">
        <v>1800000</v>
      </c>
      <c r="AB273" s="715">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5">
        <f t="shared" si="50"/>
        <v>4901236.3636363633</v>
      </c>
      <c r="Z274" s="716">
        <f t="shared" si="51"/>
        <v>2.7229090909090905</v>
      </c>
      <c r="AA274" s="714">
        <v>1800000</v>
      </c>
      <c r="AB274" s="715">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5">
        <f t="shared" si="50"/>
        <v>4901236.3636363633</v>
      </c>
      <c r="Z275" s="716">
        <f t="shared" si="51"/>
        <v>2.7229090909090905</v>
      </c>
      <c r="AA275" s="714">
        <v>1800000</v>
      </c>
      <c r="AB275" s="715">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5">
        <f t="shared" si="50"/>
        <v>4786363.6363636367</v>
      </c>
      <c r="Z276" s="716">
        <f t="shared" si="51"/>
        <v>2.6590909090909092</v>
      </c>
      <c r="AA276" s="714">
        <v>1800000</v>
      </c>
      <c r="AB276" s="715">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5">
        <f t="shared" si="50"/>
        <v>6811363.6363636358</v>
      </c>
      <c r="Z277" s="716">
        <f t="shared" si="51"/>
        <v>3.7840909090909087</v>
      </c>
      <c r="AA277" s="714">
        <v>1800000</v>
      </c>
      <c r="AB277" s="715">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5">
        <f t="shared" ref="Y278:Y288" si="61">W278+X278</f>
        <v>6811363.6363636358</v>
      </c>
      <c r="Z278" s="716">
        <f t="shared" ref="Z278:Z343" si="62">Y278/AA278</f>
        <v>3.7840909090909087</v>
      </c>
      <c r="AA278" s="714">
        <v>1800000</v>
      </c>
      <c r="AB278" s="715">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5">
        <f t="shared" si="61"/>
        <v>4166050.9090909092</v>
      </c>
      <c r="Z279" s="716">
        <f t="shared" si="62"/>
        <v>2.3144727272727272</v>
      </c>
      <c r="AA279" s="714">
        <v>1800000</v>
      </c>
      <c r="AB279" s="715">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5">
        <f t="shared" si="61"/>
        <v>10088181.818181818</v>
      </c>
      <c r="Z280" s="716">
        <f t="shared" si="62"/>
        <v>5.6045454545454545</v>
      </c>
      <c r="AA280" s="714">
        <v>1800000</v>
      </c>
      <c r="AB280" s="715">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5">
        <f t="shared" si="61"/>
        <v>12027272.727272727</v>
      </c>
      <c r="Z281" s="716">
        <f t="shared" si="62"/>
        <v>6.6818181818181817</v>
      </c>
      <c r="AA281" s="714">
        <v>1800000</v>
      </c>
      <c r="AB281" s="715">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5">
        <f t="shared" si="61"/>
        <v>12027272.727272727</v>
      </c>
      <c r="Z282" s="716">
        <f t="shared" si="62"/>
        <v>6.6818181818181817</v>
      </c>
      <c r="AA282" s="714">
        <v>1800000</v>
      </c>
      <c r="AB282" s="715">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5">
        <f t="shared" si="61"/>
        <v>7037181.8181818184</v>
      </c>
      <c r="Z283" s="716">
        <f t="shared" si="62"/>
        <v>3.9095454545454547</v>
      </c>
      <c r="AA283" s="714">
        <v>1800000</v>
      </c>
      <c r="AB283" s="715">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5">
        <f t="shared" si="61"/>
        <v>8803963.6363636367</v>
      </c>
      <c r="Z284" s="716">
        <f t="shared" si="62"/>
        <v>4.8910909090909094</v>
      </c>
      <c r="AA284" s="714">
        <v>1800000</v>
      </c>
      <c r="AB284" s="715">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5">
        <f t="shared" si="61"/>
        <v>10391563.636363637</v>
      </c>
      <c r="Z285" s="716">
        <f t="shared" si="62"/>
        <v>5.7730909090909091</v>
      </c>
      <c r="AA285" s="714">
        <v>1800000</v>
      </c>
      <c r="AB285" s="715">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5">
        <f t="shared" si="61"/>
        <v>6811363.6363636358</v>
      </c>
      <c r="Z286" s="716">
        <f t="shared" si="62"/>
        <v>3.7840909090909087</v>
      </c>
      <c r="AA286" s="714">
        <v>1800000</v>
      </c>
      <c r="AB286" s="715">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5">
        <f t="shared" si="61"/>
        <v>11979163.636363637</v>
      </c>
      <c r="Z287" s="716">
        <f t="shared" si="62"/>
        <v>6.6550909090909096</v>
      </c>
      <c r="AA287" s="714">
        <v>1800000</v>
      </c>
      <c r="AB287" s="715">
        <f t="shared" si="63"/>
        <v>11979163.636363637</v>
      </c>
      <c r="AC287" s="593">
        <f t="shared" si="65"/>
        <v>267</v>
      </c>
      <c r="AD287" s="511">
        <f>IFERROR(INDEX('[6]CN BC'!$M$10:$M$276,MATCH(B287,'[6]CN BC'!$H$10:$H$276,0)),"")</f>
        <v>0</v>
      </c>
      <c r="AE287" s="147"/>
      <c r="AF287" s="113"/>
      <c r="AH287" s="161"/>
    </row>
    <row r="288" spans="1:44" s="387" customFormat="1" ht="30.75" customHeight="1">
      <c r="A288" s="833">
        <f>_xlfn.AGGREGATE(4,7,A$19:A287)+1</f>
        <v>268</v>
      </c>
      <c r="B288" s="480" t="s">
        <v>1560</v>
      </c>
      <c r="C288" s="834"/>
      <c r="D288" s="835" t="s">
        <v>1825</v>
      </c>
      <c r="E288" s="836">
        <v>1603215002692</v>
      </c>
      <c r="F288" s="837">
        <v>3.33</v>
      </c>
      <c r="G288" s="838"/>
      <c r="H288" s="839">
        <f t="shared" si="56"/>
        <v>3.33</v>
      </c>
      <c r="I288" s="840">
        <v>0.35</v>
      </c>
      <c r="J288" s="840" t="str">
        <f>VLOOKUP(B288,[4]CN!$B$33:$J$365,9,FALSE)</f>
        <v>Phó Trưởng khoa Nhiệt - Lạnh</v>
      </c>
      <c r="K288" s="841">
        <f t="shared" si="57"/>
        <v>3.68</v>
      </c>
      <c r="L288" s="842">
        <f t="shared" si="58"/>
        <v>6624000</v>
      </c>
      <c r="M288" s="843" t="str">
        <f>VLOOKUP(B288,'[5]Gui chi Quynh'!$B$11:$E$400,4,FALSE)</f>
        <v>A3</v>
      </c>
      <c r="N288" s="844">
        <f t="shared" si="60"/>
        <v>7948800</v>
      </c>
      <c r="O288" s="845">
        <v>9</v>
      </c>
      <c r="P288" s="846">
        <f>IFERROR(INDEX('[6]CN BC'!$J$10:$J$277,MATCH(B288,'[6]CN BC'!$H$10:$H$277,0)),"")</f>
        <v>9</v>
      </c>
      <c r="Q288" s="844">
        <f>IF(P288&gt;=O288,N288,N288/O288*P288)</f>
        <v>7948800</v>
      </c>
      <c r="R288" s="847"/>
      <c r="S288" s="842">
        <f t="shared" si="59"/>
        <v>0</v>
      </c>
      <c r="T288" s="848"/>
      <c r="U288" s="842">
        <f>T288*$G$15*1</f>
        <v>0</v>
      </c>
      <c r="V288" s="849">
        <f t="shared" si="66"/>
        <v>66240</v>
      </c>
      <c r="W288" s="850">
        <f t="shared" si="64"/>
        <v>7948800</v>
      </c>
      <c r="X288" s="846">
        <f>IFERROR(INDEX([7]TL!$X$12:$X$200,MATCH(B288,[7]TL!$B$12:$B$200,0)),"0")</f>
        <v>1083927.2727272734</v>
      </c>
      <c r="Y288" s="779">
        <f t="shared" si="61"/>
        <v>9032727.2727272734</v>
      </c>
      <c r="Z288" s="780">
        <f t="shared" si="62"/>
        <v>5.0181818181818185</v>
      </c>
      <c r="AA288" s="781">
        <v>1800000</v>
      </c>
      <c r="AB288" s="779">
        <f t="shared" si="63"/>
        <v>9032727.2727272734</v>
      </c>
      <c r="AC288" s="851">
        <f t="shared" si="65"/>
        <v>268</v>
      </c>
      <c r="AD288" s="852">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8"/>
      <c r="B289" s="859" t="s">
        <v>2188</v>
      </c>
      <c r="C289" s="859"/>
      <c r="D289" s="860"/>
      <c r="E289" s="861"/>
      <c r="F289" s="862"/>
      <c r="G289" s="863"/>
      <c r="H289" s="864"/>
      <c r="I289" s="865"/>
      <c r="J289" s="865"/>
      <c r="K289" s="866"/>
      <c r="L289" s="867"/>
      <c r="M289" s="868"/>
      <c r="N289" s="869"/>
      <c r="O289" s="870"/>
      <c r="P289" s="871"/>
      <c r="Q289" s="869"/>
      <c r="R289" s="872"/>
      <c r="S289" s="867"/>
      <c r="T289" s="873"/>
      <c r="U289" s="867"/>
      <c r="V289" s="867"/>
      <c r="W289" s="867"/>
      <c r="X289" s="871"/>
      <c r="Y289" s="871"/>
      <c r="Z289" s="874">
        <f>SUM(Z21:Z288)</f>
        <v>1302.6654195454566</v>
      </c>
      <c r="AA289" s="871"/>
      <c r="AB289" s="871">
        <f>SUM(AB21:AB288)</f>
        <v>2344797755.1818171</v>
      </c>
      <c r="AC289" s="875"/>
      <c r="AD289" s="876"/>
      <c r="AE289" s="147"/>
      <c r="AF289" s="113"/>
      <c r="AG289" s="114"/>
      <c r="AH289" s="161"/>
      <c r="AI289" s="114"/>
      <c r="AJ289" s="114"/>
      <c r="AK289" s="114"/>
      <c r="AL289" s="114"/>
      <c r="AM289" s="114"/>
      <c r="AN289" s="114"/>
      <c r="AO289" s="114"/>
      <c r="AP289" s="114"/>
      <c r="AQ289" s="114"/>
      <c r="AR289" s="114"/>
    </row>
    <row r="290" spans="1:44" s="387" customFormat="1" ht="30.75" customHeight="1">
      <c r="A290" s="858"/>
      <c r="B290" s="877" t="s">
        <v>2189</v>
      </c>
      <c r="C290" s="878"/>
      <c r="D290" s="879"/>
      <c r="E290" s="880"/>
      <c r="F290" s="862"/>
      <c r="G290" s="863"/>
      <c r="H290" s="864"/>
      <c r="I290" s="865"/>
      <c r="J290" s="865"/>
      <c r="K290" s="866"/>
      <c r="L290" s="867"/>
      <c r="M290" s="868"/>
      <c r="N290" s="869"/>
      <c r="O290" s="870"/>
      <c r="P290" s="871"/>
      <c r="Q290" s="869"/>
      <c r="R290" s="872"/>
      <c r="S290" s="867"/>
      <c r="T290" s="873"/>
      <c r="U290" s="867"/>
      <c r="V290" s="867"/>
      <c r="W290" s="867"/>
      <c r="X290" s="881"/>
      <c r="Y290" s="881"/>
      <c r="Z290" s="882"/>
      <c r="AA290" s="881"/>
      <c r="AB290" s="881"/>
      <c r="AC290" s="875"/>
      <c r="AD290" s="876"/>
      <c r="AE290" s="147"/>
      <c r="AF290" s="113"/>
      <c r="AG290" s="114"/>
      <c r="AH290" s="161"/>
      <c r="AI290" s="114"/>
      <c r="AJ290" s="114"/>
      <c r="AK290" s="114"/>
      <c r="AL290" s="114"/>
      <c r="AM290" s="114"/>
      <c r="AN290" s="114"/>
      <c r="AO290" s="114"/>
      <c r="AP290" s="114"/>
      <c r="AQ290" s="114"/>
      <c r="AR290" s="114"/>
    </row>
    <row r="291" spans="1:44" s="387" customFormat="1" ht="30.75" customHeight="1">
      <c r="A291" s="853">
        <f>_xlfn.AGGREGATE(4,7,A$19:A288)+1</f>
        <v>269</v>
      </c>
      <c r="B291" s="854" t="s">
        <v>2029</v>
      </c>
      <c r="C291" s="761"/>
      <c r="D291" s="762"/>
      <c r="E291" s="763"/>
      <c r="F291" s="764"/>
      <c r="G291" s="765"/>
      <c r="H291" s="766"/>
      <c r="I291" s="767"/>
      <c r="J291" s="855" t="str">
        <f>VLOOKUP(B291,[4]CN!$B$33:$J$365,9,FALSE)</f>
        <v xml:space="preserve">NV Bảo vệ </v>
      </c>
      <c r="K291" s="768"/>
      <c r="L291" s="769"/>
      <c r="M291" s="770"/>
      <c r="N291" s="771"/>
      <c r="O291" s="772"/>
      <c r="P291" s="773"/>
      <c r="Q291" s="771"/>
      <c r="R291" s="774"/>
      <c r="S291" s="769"/>
      <c r="T291" s="775"/>
      <c r="U291" s="769"/>
      <c r="V291" s="776"/>
      <c r="W291" s="777"/>
      <c r="X291" s="778"/>
      <c r="Y291" s="779">
        <v>1855995</v>
      </c>
      <c r="Z291" s="716">
        <f t="shared" si="62"/>
        <v>1.0311083333333333</v>
      </c>
      <c r="AA291" s="714">
        <v>1800000</v>
      </c>
      <c r="AB291" s="715">
        <f t="shared" si="63"/>
        <v>1855995</v>
      </c>
      <c r="AC291" s="856">
        <f t="shared" si="65"/>
        <v>269</v>
      </c>
      <c r="AD291" s="857"/>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1"/>
      <c r="D292" s="762"/>
      <c r="E292" s="763"/>
      <c r="F292" s="764"/>
      <c r="G292" s="765"/>
      <c r="H292" s="766"/>
      <c r="I292" s="767"/>
      <c r="J292" s="383" t="str">
        <f>VLOOKUP(B292,[4]CN!$B$33:$J$365,9,FALSE)</f>
        <v>NV Bảo vệ</v>
      </c>
      <c r="K292" s="768"/>
      <c r="L292" s="769"/>
      <c r="M292" s="770"/>
      <c r="N292" s="771"/>
      <c r="O292" s="772"/>
      <c r="P292" s="773"/>
      <c r="Q292" s="771"/>
      <c r="R292" s="774"/>
      <c r="S292" s="769"/>
      <c r="T292" s="775"/>
      <c r="U292" s="769"/>
      <c r="V292" s="776"/>
      <c r="W292" s="777"/>
      <c r="X292" s="778"/>
      <c r="Y292" s="779">
        <v>1950367</v>
      </c>
      <c r="Z292" s="716">
        <f t="shared" si="62"/>
        <v>1.0835372222222222</v>
      </c>
      <c r="AA292" s="714">
        <v>1800000</v>
      </c>
      <c r="AB292" s="715">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1"/>
      <c r="D293" s="762"/>
      <c r="E293" s="763"/>
      <c r="F293" s="764"/>
      <c r="G293" s="765"/>
      <c r="H293" s="766"/>
      <c r="I293" s="767"/>
      <c r="J293" s="383" t="str">
        <f>VLOOKUP(B293,[4]CN!$B$33:$J$365,9,FALSE)</f>
        <v>NV Bảo vệ</v>
      </c>
      <c r="K293" s="768"/>
      <c r="L293" s="769"/>
      <c r="M293" s="770"/>
      <c r="N293" s="771"/>
      <c r="O293" s="772"/>
      <c r="P293" s="773"/>
      <c r="Q293" s="771"/>
      <c r="R293" s="774"/>
      <c r="S293" s="769"/>
      <c r="T293" s="775"/>
      <c r="U293" s="769"/>
      <c r="V293" s="776"/>
      <c r="W293" s="777"/>
      <c r="X293" s="778"/>
      <c r="Y293" s="779">
        <v>1857492</v>
      </c>
      <c r="Z293" s="716">
        <f t="shared" si="62"/>
        <v>1.0319400000000001</v>
      </c>
      <c r="AA293" s="714">
        <v>1800000</v>
      </c>
      <c r="AB293" s="715">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1"/>
      <c r="D294" s="762"/>
      <c r="E294" s="763"/>
      <c r="F294" s="764"/>
      <c r="G294" s="765"/>
      <c r="H294" s="766"/>
      <c r="I294" s="767"/>
      <c r="J294" s="383" t="str">
        <f>VLOOKUP(B294,[4]CN!$B$33:$J$365,9,FALSE)</f>
        <v>NV Bảo vệ</v>
      </c>
      <c r="K294" s="768"/>
      <c r="L294" s="769"/>
      <c r="M294" s="770"/>
      <c r="N294" s="771"/>
      <c r="O294" s="772"/>
      <c r="P294" s="773"/>
      <c r="Q294" s="771"/>
      <c r="R294" s="774"/>
      <c r="S294" s="769"/>
      <c r="T294" s="775"/>
      <c r="U294" s="769"/>
      <c r="V294" s="776"/>
      <c r="W294" s="777"/>
      <c r="X294" s="778"/>
      <c r="Y294" s="779">
        <v>3984995</v>
      </c>
      <c r="Z294" s="716">
        <f t="shared" si="62"/>
        <v>2.213886111111111</v>
      </c>
      <c r="AA294" s="714">
        <v>1800000</v>
      </c>
      <c r="AB294" s="715">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1"/>
      <c r="D295" s="762"/>
      <c r="E295" s="763"/>
      <c r="F295" s="764"/>
      <c r="G295" s="765"/>
      <c r="H295" s="766"/>
      <c r="I295" s="767"/>
      <c r="J295" s="383" t="str">
        <f>VLOOKUP(B295,[4]CN!$B$33:$J$365,9,FALSE)</f>
        <v xml:space="preserve">NV Bảo vệ </v>
      </c>
      <c r="K295" s="768"/>
      <c r="L295" s="769"/>
      <c r="M295" s="770"/>
      <c r="N295" s="771"/>
      <c r="O295" s="772"/>
      <c r="P295" s="773"/>
      <c r="Q295" s="771"/>
      <c r="R295" s="774"/>
      <c r="S295" s="769"/>
      <c r="T295" s="775"/>
      <c r="U295" s="769"/>
      <c r="V295" s="776"/>
      <c r="W295" s="777"/>
      <c r="X295" s="778"/>
      <c r="Y295" s="779">
        <v>2594238</v>
      </c>
      <c r="Z295" s="716">
        <f t="shared" si="62"/>
        <v>1.4412433333333334</v>
      </c>
      <c r="AA295" s="714">
        <v>1800000</v>
      </c>
      <c r="AB295" s="715">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1"/>
      <c r="D296" s="762"/>
      <c r="E296" s="763"/>
      <c r="F296" s="764"/>
      <c r="G296" s="765"/>
      <c r="H296" s="766"/>
      <c r="I296" s="767"/>
      <c r="J296" s="383" t="str">
        <f>VLOOKUP(B296,[4]CN!$B$33:$J$365,9,FALSE)</f>
        <v>Nhân viên bảo vệ</v>
      </c>
      <c r="K296" s="768"/>
      <c r="L296" s="769"/>
      <c r="M296" s="770"/>
      <c r="N296" s="771"/>
      <c r="O296" s="772"/>
      <c r="P296" s="773"/>
      <c r="Q296" s="771"/>
      <c r="R296" s="774"/>
      <c r="S296" s="769"/>
      <c r="T296" s="775"/>
      <c r="U296" s="769"/>
      <c r="V296" s="776"/>
      <c r="W296" s="777"/>
      <c r="X296" s="778"/>
      <c r="Y296" s="779">
        <v>6011835</v>
      </c>
      <c r="Z296" s="716">
        <f t="shared" si="62"/>
        <v>3.3399083333333333</v>
      </c>
      <c r="AA296" s="714">
        <v>1800000</v>
      </c>
      <c r="AB296" s="715">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1"/>
      <c r="D297" s="762"/>
      <c r="E297" s="763"/>
      <c r="F297" s="764"/>
      <c r="G297" s="765"/>
      <c r="H297" s="766"/>
      <c r="I297" s="767"/>
      <c r="J297" s="383" t="str">
        <f>VLOOKUP(B297,[4]CN!$B$33:$J$365,9,FALSE)</f>
        <v xml:space="preserve">NV Bảo vệ </v>
      </c>
      <c r="K297" s="768"/>
      <c r="L297" s="769"/>
      <c r="M297" s="770"/>
      <c r="N297" s="771"/>
      <c r="O297" s="772"/>
      <c r="P297" s="773"/>
      <c r="Q297" s="771"/>
      <c r="R297" s="774"/>
      <c r="S297" s="769"/>
      <c r="T297" s="775"/>
      <c r="U297" s="769"/>
      <c r="V297" s="776"/>
      <c r="W297" s="777"/>
      <c r="X297" s="778"/>
      <c r="Y297" s="779">
        <v>3201755</v>
      </c>
      <c r="Z297" s="716">
        <f t="shared" si="62"/>
        <v>1.7787527777777778</v>
      </c>
      <c r="AA297" s="714">
        <v>1800000</v>
      </c>
      <c r="AB297" s="715">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1"/>
      <c r="D298" s="762"/>
      <c r="E298" s="763"/>
      <c r="F298" s="764"/>
      <c r="G298" s="765"/>
      <c r="H298" s="766"/>
      <c r="I298" s="767"/>
      <c r="J298" s="383" t="str">
        <f>VLOOKUP(B298,[4]CN!$B$33:$J$365,9,FALSE)</f>
        <v>NV Bảo vệ</v>
      </c>
      <c r="K298" s="768"/>
      <c r="L298" s="769"/>
      <c r="M298" s="770"/>
      <c r="N298" s="771"/>
      <c r="O298" s="772"/>
      <c r="P298" s="773"/>
      <c r="Q298" s="771"/>
      <c r="R298" s="774"/>
      <c r="S298" s="769"/>
      <c r="T298" s="775"/>
      <c r="U298" s="769"/>
      <c r="V298" s="776"/>
      <c r="W298" s="777"/>
      <c r="X298" s="778"/>
      <c r="Y298" s="779">
        <v>2037106</v>
      </c>
      <c r="Z298" s="716">
        <f t="shared" si="62"/>
        <v>1.1317255555555557</v>
      </c>
      <c r="AA298" s="714">
        <v>1800000</v>
      </c>
      <c r="AB298" s="715">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1"/>
      <c r="D299" s="762"/>
      <c r="E299" s="763"/>
      <c r="F299" s="764"/>
      <c r="G299" s="765"/>
      <c r="H299" s="766"/>
      <c r="I299" s="767"/>
      <c r="J299" s="383" t="str">
        <f>VLOOKUP(B299,[4]CN!$B$33:$J$365,9,FALSE)</f>
        <v>NV Bảo vệ</v>
      </c>
      <c r="K299" s="768"/>
      <c r="L299" s="769"/>
      <c r="M299" s="770"/>
      <c r="N299" s="771"/>
      <c r="O299" s="772"/>
      <c r="P299" s="773"/>
      <c r="Q299" s="771"/>
      <c r="R299" s="774"/>
      <c r="S299" s="769"/>
      <c r="T299" s="775"/>
      <c r="U299" s="769"/>
      <c r="V299" s="776"/>
      <c r="W299" s="777"/>
      <c r="X299" s="778"/>
      <c r="Y299" s="779">
        <v>2508659</v>
      </c>
      <c r="Z299" s="716">
        <f t="shared" si="62"/>
        <v>1.3936994444444444</v>
      </c>
      <c r="AA299" s="714">
        <v>1800000</v>
      </c>
      <c r="AB299" s="715">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1"/>
      <c r="D300" s="762"/>
      <c r="E300" s="763"/>
      <c r="F300" s="764"/>
      <c r="G300" s="765"/>
      <c r="H300" s="766"/>
      <c r="I300" s="767"/>
      <c r="J300" s="383" t="str">
        <f>VLOOKUP(B300,[4]CN!$B$33:$J$365,9,FALSE)</f>
        <v>NV Bảo vệ</v>
      </c>
      <c r="K300" s="768"/>
      <c r="L300" s="769"/>
      <c r="M300" s="770"/>
      <c r="N300" s="771"/>
      <c r="O300" s="772"/>
      <c r="P300" s="773"/>
      <c r="Q300" s="771"/>
      <c r="R300" s="774"/>
      <c r="S300" s="769"/>
      <c r="T300" s="775"/>
      <c r="U300" s="769"/>
      <c r="V300" s="776"/>
      <c r="W300" s="777"/>
      <c r="X300" s="778"/>
      <c r="Y300" s="779">
        <v>4815889</v>
      </c>
      <c r="Z300" s="716">
        <f t="shared" si="62"/>
        <v>2.6754938888888891</v>
      </c>
      <c r="AA300" s="714">
        <v>1800000</v>
      </c>
      <c r="AB300" s="715">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1"/>
      <c r="D301" s="762"/>
      <c r="E301" s="763"/>
      <c r="F301" s="764"/>
      <c r="G301" s="765"/>
      <c r="H301" s="766"/>
      <c r="I301" s="767"/>
      <c r="J301" s="383" t="str">
        <f>VLOOKUP(B301,[4]CN!$B$33:$J$365,9,FALSE)</f>
        <v>NV Bảo vệ</v>
      </c>
      <c r="K301" s="768"/>
      <c r="L301" s="769"/>
      <c r="M301" s="770"/>
      <c r="N301" s="771"/>
      <c r="O301" s="772"/>
      <c r="P301" s="773"/>
      <c r="Q301" s="771"/>
      <c r="R301" s="774"/>
      <c r="S301" s="769"/>
      <c r="T301" s="775"/>
      <c r="U301" s="769"/>
      <c r="V301" s="776"/>
      <c r="W301" s="777"/>
      <c r="X301" s="778"/>
      <c r="Y301" s="779">
        <v>1684800</v>
      </c>
      <c r="Z301" s="716">
        <f t="shared" si="62"/>
        <v>0.93600000000000005</v>
      </c>
      <c r="AA301" s="714">
        <v>1800000</v>
      </c>
      <c r="AB301" s="715">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1"/>
      <c r="D302" s="762"/>
      <c r="E302" s="763"/>
      <c r="F302" s="764"/>
      <c r="G302" s="765"/>
      <c r="H302" s="766"/>
      <c r="I302" s="767"/>
      <c r="J302" s="383" t="str">
        <f>VLOOKUP(B302,[4]CN!$B$33:$J$365,9,FALSE)</f>
        <v>NV Lái xe</v>
      </c>
      <c r="K302" s="768"/>
      <c r="L302" s="769"/>
      <c r="M302" s="770"/>
      <c r="N302" s="771"/>
      <c r="O302" s="772"/>
      <c r="P302" s="773"/>
      <c r="Q302" s="771"/>
      <c r="R302" s="774"/>
      <c r="S302" s="769"/>
      <c r="T302" s="775"/>
      <c r="U302" s="769"/>
      <c r="V302" s="776"/>
      <c r="W302" s="777"/>
      <c r="X302" s="778"/>
      <c r="Y302" s="779">
        <v>5152820</v>
      </c>
      <c r="Z302" s="716">
        <f t="shared" si="62"/>
        <v>2.8626777777777779</v>
      </c>
      <c r="AA302" s="714">
        <v>1800000</v>
      </c>
      <c r="AB302" s="715">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1"/>
      <c r="D303" s="762"/>
      <c r="E303" s="763"/>
      <c r="F303" s="764"/>
      <c r="G303" s="765"/>
      <c r="H303" s="766"/>
      <c r="I303" s="767"/>
      <c r="J303" s="383" t="str">
        <f>VLOOKUP(B303,[4]CN!$B$33:$J$365,9,FALSE)</f>
        <v>NV Phuc vụ Phòng TC - HC - TH</v>
      </c>
      <c r="K303" s="768"/>
      <c r="L303" s="769"/>
      <c r="M303" s="770"/>
      <c r="N303" s="771"/>
      <c r="O303" s="772"/>
      <c r="P303" s="773"/>
      <c r="Q303" s="771"/>
      <c r="R303" s="774"/>
      <c r="S303" s="769"/>
      <c r="T303" s="775"/>
      <c r="U303" s="769"/>
      <c r="V303" s="776"/>
      <c r="W303" s="777"/>
      <c r="X303" s="778"/>
      <c r="Y303" s="779">
        <v>2167074</v>
      </c>
      <c r="Z303" s="716">
        <f t="shared" si="62"/>
        <v>1.2039299999999999</v>
      </c>
      <c r="AA303" s="714">
        <v>1800000</v>
      </c>
      <c r="AB303" s="715">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3"/>
      <c r="D304" s="784"/>
      <c r="E304" s="785"/>
      <c r="F304" s="786"/>
      <c r="G304" s="787"/>
      <c r="H304" s="788"/>
      <c r="I304" s="789"/>
      <c r="J304" s="490" t="str">
        <f>VLOOKUP(B304,[4]CN!$B$33:$J$365,9,FALSE)</f>
        <v>Nhân viên phòng Thanh tra GD - Công tác SV</v>
      </c>
      <c r="K304" s="790"/>
      <c r="L304" s="791"/>
      <c r="M304" s="792"/>
      <c r="N304" s="793"/>
      <c r="O304" s="794"/>
      <c r="P304" s="795"/>
      <c r="Q304" s="793"/>
      <c r="R304" s="796"/>
      <c r="S304" s="791"/>
      <c r="T304" s="797"/>
      <c r="U304" s="791"/>
      <c r="V304" s="791"/>
      <c r="W304" s="798"/>
      <c r="X304" s="799"/>
      <c r="Y304" s="800">
        <v>2072751</v>
      </c>
      <c r="Z304" s="759">
        <f t="shared" si="62"/>
        <v>1.1515283333333333</v>
      </c>
      <c r="AA304" s="760">
        <v>1800000</v>
      </c>
      <c r="AB304" s="758">
        <f t="shared" si="63"/>
        <v>2072750.9999999998</v>
      </c>
      <c r="AC304" s="596">
        <f t="shared" si="65"/>
        <v>282</v>
      </c>
      <c r="AD304" s="820"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1"/>
      <c r="D305" s="762"/>
      <c r="E305" s="763"/>
      <c r="F305" s="764"/>
      <c r="G305" s="765"/>
      <c r="H305" s="766"/>
      <c r="I305" s="767"/>
      <c r="J305" s="383" t="str">
        <f>VLOOKUP(B305,[4]CN!$B$33:$J$365,9,FALSE)</f>
        <v>NV Phòng Tổ chức - Hành chính - Tổng hợp</v>
      </c>
      <c r="K305" s="768"/>
      <c r="L305" s="769"/>
      <c r="M305" s="770"/>
      <c r="N305" s="771"/>
      <c r="O305" s="772"/>
      <c r="P305" s="773"/>
      <c r="Q305" s="771"/>
      <c r="R305" s="774"/>
      <c r="S305" s="769"/>
      <c r="T305" s="775"/>
      <c r="U305" s="769"/>
      <c r="V305" s="776"/>
      <c r="W305" s="777"/>
      <c r="X305" s="778"/>
      <c r="Y305" s="779">
        <v>7156479</v>
      </c>
      <c r="Z305" s="716">
        <f t="shared" si="62"/>
        <v>3.9758216666666666</v>
      </c>
      <c r="AA305" s="714">
        <v>1800000</v>
      </c>
      <c r="AB305" s="715">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1"/>
      <c r="D306" s="762"/>
      <c r="E306" s="763"/>
      <c r="F306" s="764"/>
      <c r="G306" s="765"/>
      <c r="H306" s="766"/>
      <c r="I306" s="767"/>
      <c r="J306" s="383" t="str">
        <f>VLOOKUP(B306,[4]CN!$B$33:$J$365,9,FALSE)</f>
        <v>Nhân viên bảo vệ</v>
      </c>
      <c r="K306" s="768"/>
      <c r="L306" s="769"/>
      <c r="M306" s="770"/>
      <c r="N306" s="771"/>
      <c r="O306" s="772"/>
      <c r="P306" s="773"/>
      <c r="Q306" s="771"/>
      <c r="R306" s="774"/>
      <c r="S306" s="769"/>
      <c r="T306" s="775"/>
      <c r="U306" s="769"/>
      <c r="V306" s="776"/>
      <c r="W306" s="777"/>
      <c r="X306" s="778"/>
      <c r="Y306" s="779">
        <v>1965600</v>
      </c>
      <c r="Z306" s="716">
        <f t="shared" si="62"/>
        <v>1.0920000000000001</v>
      </c>
      <c r="AA306" s="714">
        <v>1800000</v>
      </c>
      <c r="AB306" s="715">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1"/>
      <c r="D307" s="762"/>
      <c r="E307" s="763"/>
      <c r="F307" s="764"/>
      <c r="G307" s="765"/>
      <c r="H307" s="766"/>
      <c r="I307" s="767"/>
      <c r="J307" s="383" t="str">
        <f>VLOOKUP(B307,[4]CN!$B$33:$J$365,9,FALSE)</f>
        <v>NV Phòng Tổ chức - Hành chính - Tổng hợp</v>
      </c>
      <c r="K307" s="768"/>
      <c r="L307" s="769"/>
      <c r="M307" s="770"/>
      <c r="N307" s="771"/>
      <c r="O307" s="772"/>
      <c r="P307" s="773"/>
      <c r="Q307" s="771"/>
      <c r="R307" s="774"/>
      <c r="S307" s="769"/>
      <c r="T307" s="775"/>
      <c r="U307" s="769"/>
      <c r="V307" s="776"/>
      <c r="W307" s="777"/>
      <c r="X307" s="778"/>
      <c r="Y307" s="779">
        <v>5482036</v>
      </c>
      <c r="Z307" s="716">
        <f t="shared" si="62"/>
        <v>3.0455755555555557</v>
      </c>
      <c r="AA307" s="714">
        <v>1800000</v>
      </c>
      <c r="AB307" s="715">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1"/>
      <c r="D308" s="762"/>
      <c r="E308" s="763"/>
      <c r="F308" s="764"/>
      <c r="G308" s="765"/>
      <c r="H308" s="766"/>
      <c r="I308" s="767"/>
      <c r="J308" s="383" t="str">
        <f>VLOOKUP(B308,[4]CN!$B$33:$J$365,9,FALSE)</f>
        <v>NV P. QT 
Dịch vụ</v>
      </c>
      <c r="K308" s="768"/>
      <c r="L308" s="769"/>
      <c r="M308" s="770"/>
      <c r="N308" s="771"/>
      <c r="O308" s="772"/>
      <c r="P308" s="773"/>
      <c r="Q308" s="771"/>
      <c r="R308" s="774"/>
      <c r="S308" s="769"/>
      <c r="T308" s="775"/>
      <c r="U308" s="769"/>
      <c r="V308" s="776"/>
      <c r="W308" s="777"/>
      <c r="X308" s="778"/>
      <c r="Y308" s="779">
        <v>5278653</v>
      </c>
      <c r="Z308" s="716">
        <f t="shared" si="62"/>
        <v>2.932585</v>
      </c>
      <c r="AA308" s="714">
        <v>1800000</v>
      </c>
      <c r="AB308" s="715">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1"/>
      <c r="D309" s="762"/>
      <c r="E309" s="763"/>
      <c r="F309" s="764"/>
      <c r="G309" s="765"/>
      <c r="H309" s="766"/>
      <c r="I309" s="767"/>
      <c r="J309" s="383" t="str">
        <f>VLOOKUP(B309,[4]CN!$B$33:$J$365,9,FALSE)</f>
        <v>NV Phòng Quản trị - Dịch vụ</v>
      </c>
      <c r="K309" s="768"/>
      <c r="L309" s="769"/>
      <c r="M309" s="770"/>
      <c r="N309" s="771"/>
      <c r="O309" s="772"/>
      <c r="P309" s="773"/>
      <c r="Q309" s="771"/>
      <c r="R309" s="774"/>
      <c r="S309" s="769"/>
      <c r="T309" s="775"/>
      <c r="U309" s="769"/>
      <c r="V309" s="776"/>
      <c r="W309" s="777"/>
      <c r="X309" s="778"/>
      <c r="Y309" s="779">
        <v>6263286</v>
      </c>
      <c r="Z309" s="716">
        <f t="shared" si="62"/>
        <v>3.4796033333333334</v>
      </c>
      <c r="AA309" s="714">
        <v>1800000</v>
      </c>
      <c r="AB309" s="715">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1"/>
      <c r="D310" s="762"/>
      <c r="E310" s="763"/>
      <c r="F310" s="764"/>
      <c r="G310" s="765"/>
      <c r="H310" s="766"/>
      <c r="I310" s="767"/>
      <c r="J310" s="383" t="str">
        <f>VLOOKUP(B310,[4]CN!$B$33:$J$365,9,FALSE)</f>
        <v>NV bảo trì</v>
      </c>
      <c r="K310" s="768"/>
      <c r="L310" s="769"/>
      <c r="M310" s="770"/>
      <c r="N310" s="771"/>
      <c r="O310" s="772"/>
      <c r="P310" s="773"/>
      <c r="Q310" s="771"/>
      <c r="R310" s="774"/>
      <c r="S310" s="769"/>
      <c r="T310" s="775"/>
      <c r="U310" s="769"/>
      <c r="V310" s="776"/>
      <c r="W310" s="777"/>
      <c r="X310" s="778"/>
      <c r="Y310" s="779">
        <v>4443772</v>
      </c>
      <c r="Z310" s="716">
        <f t="shared" si="62"/>
        <v>2.4687622222222223</v>
      </c>
      <c r="AA310" s="714">
        <v>1800000</v>
      </c>
      <c r="AB310" s="715">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1"/>
      <c r="D311" s="762"/>
      <c r="E311" s="763"/>
      <c r="F311" s="764"/>
      <c r="G311" s="765"/>
      <c r="H311" s="766"/>
      <c r="I311" s="767"/>
      <c r="J311" s="383" t="str">
        <f>VLOOKUP(B311,[4]CN!$B$33:$J$365,9,FALSE)</f>
        <v>NV P. QT 
Dịch vụ</v>
      </c>
      <c r="K311" s="768"/>
      <c r="L311" s="769"/>
      <c r="M311" s="770"/>
      <c r="N311" s="771"/>
      <c r="O311" s="772"/>
      <c r="P311" s="773"/>
      <c r="Q311" s="771"/>
      <c r="R311" s="774"/>
      <c r="S311" s="769"/>
      <c r="T311" s="775"/>
      <c r="U311" s="769"/>
      <c r="V311" s="776"/>
      <c r="W311" s="777"/>
      <c r="X311" s="778"/>
      <c r="Y311" s="779">
        <v>6183384</v>
      </c>
      <c r="Z311" s="716">
        <f t="shared" si="62"/>
        <v>3.4352133333333335</v>
      </c>
      <c r="AA311" s="714">
        <v>1800000</v>
      </c>
      <c r="AB311" s="715">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1"/>
      <c r="D312" s="762"/>
      <c r="E312" s="763"/>
      <c r="F312" s="764"/>
      <c r="G312" s="765"/>
      <c r="H312" s="766"/>
      <c r="I312" s="767"/>
      <c r="J312" s="383" t="str">
        <f>VLOOKUP(B312,[4]CN!$B$33:$J$365,9,FALSE)</f>
        <v>NV P. QT 
Dịch vụ</v>
      </c>
      <c r="K312" s="768"/>
      <c r="L312" s="769"/>
      <c r="M312" s="770"/>
      <c r="N312" s="771"/>
      <c r="O312" s="772"/>
      <c r="P312" s="773"/>
      <c r="Q312" s="771"/>
      <c r="R312" s="774"/>
      <c r="S312" s="769"/>
      <c r="T312" s="775"/>
      <c r="U312" s="769"/>
      <c r="V312" s="776"/>
      <c r="W312" s="777"/>
      <c r="X312" s="778"/>
      <c r="Y312" s="779">
        <v>6817181</v>
      </c>
      <c r="Z312" s="716">
        <f t="shared" si="62"/>
        <v>3.7873227777777778</v>
      </c>
      <c r="AA312" s="714">
        <v>1800000</v>
      </c>
      <c r="AB312" s="715">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1"/>
      <c r="D313" s="762"/>
      <c r="E313" s="763"/>
      <c r="F313" s="764"/>
      <c r="G313" s="765"/>
      <c r="H313" s="766"/>
      <c r="I313" s="767"/>
      <c r="J313" s="383" t="str">
        <f>VLOOKUP(B313,[4]CN!$B$33:$J$365,9,FALSE)</f>
        <v>NV Phục vụ</v>
      </c>
      <c r="K313" s="768"/>
      <c r="L313" s="769"/>
      <c r="M313" s="770"/>
      <c r="N313" s="771"/>
      <c r="O313" s="772"/>
      <c r="P313" s="773"/>
      <c r="Q313" s="771"/>
      <c r="R313" s="774"/>
      <c r="S313" s="769"/>
      <c r="T313" s="775"/>
      <c r="U313" s="769"/>
      <c r="V313" s="776"/>
      <c r="W313" s="777"/>
      <c r="X313" s="778"/>
      <c r="Y313" s="779">
        <v>3361843</v>
      </c>
      <c r="Z313" s="716">
        <f t="shared" si="62"/>
        <v>1.8676905555555556</v>
      </c>
      <c r="AA313" s="714">
        <v>1800000</v>
      </c>
      <c r="AB313" s="715">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2">
        <f>_xlfn.AGGREGATE(4,7,A$19:A313)+1</f>
        <v>292</v>
      </c>
      <c r="B314" s="588" t="s">
        <v>2077</v>
      </c>
      <c r="C314" s="801"/>
      <c r="D314" s="802"/>
      <c r="E314" s="803"/>
      <c r="F314" s="804"/>
      <c r="G314" s="805"/>
      <c r="H314" s="806"/>
      <c r="I314" s="807"/>
      <c r="J314" s="579" t="str">
        <f>VLOOKUP(B314,[4]CN!$B$33:$J$365,9,FALSE)</f>
        <v>NV Phục vụ</v>
      </c>
      <c r="K314" s="808"/>
      <c r="L314" s="809"/>
      <c r="M314" s="810"/>
      <c r="N314" s="811"/>
      <c r="O314" s="812"/>
      <c r="P314" s="813"/>
      <c r="Q314" s="811"/>
      <c r="R314" s="814"/>
      <c r="S314" s="809"/>
      <c r="T314" s="815"/>
      <c r="U314" s="809"/>
      <c r="V314" s="809"/>
      <c r="W314" s="816"/>
      <c r="X314" s="817"/>
      <c r="Y314" s="818">
        <v>2240784</v>
      </c>
      <c r="Z314" s="756">
        <f t="shared" si="62"/>
        <v>1.24488</v>
      </c>
      <c r="AA314" s="757">
        <v>1800000</v>
      </c>
      <c r="AB314" s="755">
        <f t="shared" si="63"/>
        <v>2240784</v>
      </c>
      <c r="AC314" s="598">
        <f t="shared" si="65"/>
        <v>292</v>
      </c>
      <c r="AD314" s="821"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1"/>
      <c r="D315" s="762"/>
      <c r="E315" s="763"/>
      <c r="F315" s="764"/>
      <c r="G315" s="765"/>
      <c r="H315" s="766"/>
      <c r="I315" s="767"/>
      <c r="J315" s="383" t="str">
        <f>VLOOKUP(B315,[4]CN!$B$33:$J$365,9,FALSE)</f>
        <v>NV Phục vụ</v>
      </c>
      <c r="K315" s="768"/>
      <c r="L315" s="769"/>
      <c r="M315" s="770"/>
      <c r="N315" s="771"/>
      <c r="O315" s="772"/>
      <c r="P315" s="773"/>
      <c r="Q315" s="771"/>
      <c r="R315" s="774"/>
      <c r="S315" s="769"/>
      <c r="T315" s="775"/>
      <c r="U315" s="769"/>
      <c r="V315" s="776"/>
      <c r="W315" s="777"/>
      <c r="X315" s="778"/>
      <c r="Y315" s="779">
        <v>2063880</v>
      </c>
      <c r="Z315" s="716">
        <f t="shared" si="62"/>
        <v>1.1466000000000001</v>
      </c>
      <c r="AA315" s="714">
        <v>1800000</v>
      </c>
      <c r="AB315" s="715">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1"/>
      <c r="D316" s="762"/>
      <c r="E316" s="763"/>
      <c r="F316" s="764"/>
      <c r="G316" s="765"/>
      <c r="H316" s="766"/>
      <c r="I316" s="767"/>
      <c r="J316" s="383" t="str">
        <f>VLOOKUP(B316,[4]CN!$B$33:$J$365,9,FALSE)</f>
        <v>NV Phục vụ</v>
      </c>
      <c r="K316" s="768"/>
      <c r="L316" s="769"/>
      <c r="M316" s="770"/>
      <c r="N316" s="771"/>
      <c r="O316" s="772"/>
      <c r="P316" s="773"/>
      <c r="Q316" s="771"/>
      <c r="R316" s="774"/>
      <c r="S316" s="769"/>
      <c r="T316" s="775"/>
      <c r="U316" s="769"/>
      <c r="V316" s="776"/>
      <c r="W316" s="777"/>
      <c r="X316" s="778"/>
      <c r="Y316" s="779">
        <v>1582825</v>
      </c>
      <c r="Z316" s="716">
        <f t="shared" si="62"/>
        <v>0.87934722222222217</v>
      </c>
      <c r="AA316" s="714">
        <v>1800000</v>
      </c>
      <c r="AB316" s="715">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1"/>
      <c r="D317" s="762"/>
      <c r="E317" s="763"/>
      <c r="F317" s="764"/>
      <c r="G317" s="765"/>
      <c r="H317" s="766"/>
      <c r="I317" s="767"/>
      <c r="J317" s="383" t="str">
        <f>VLOOKUP(B317,[4]CN!$B$33:$J$365,9,FALSE)</f>
        <v>NV Phục vụ</v>
      </c>
      <c r="K317" s="768"/>
      <c r="L317" s="769"/>
      <c r="M317" s="770"/>
      <c r="N317" s="771"/>
      <c r="O317" s="772"/>
      <c r="P317" s="773"/>
      <c r="Q317" s="771"/>
      <c r="R317" s="774"/>
      <c r="S317" s="769"/>
      <c r="T317" s="775"/>
      <c r="U317" s="769"/>
      <c r="V317" s="776"/>
      <c r="W317" s="777"/>
      <c r="X317" s="778"/>
      <c r="Y317" s="779">
        <v>2063880</v>
      </c>
      <c r="Z317" s="716">
        <f t="shared" si="62"/>
        <v>1.1466000000000001</v>
      </c>
      <c r="AA317" s="714">
        <v>1800000</v>
      </c>
      <c r="AB317" s="715">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1"/>
      <c r="D318" s="762"/>
      <c r="E318" s="763"/>
      <c r="F318" s="764"/>
      <c r="G318" s="765"/>
      <c r="H318" s="766"/>
      <c r="I318" s="767"/>
      <c r="J318" s="383" t="str">
        <f>VLOOKUP(B318,[4]CN!$B$33:$J$365,9,FALSE)</f>
        <v>Nhân viên phòng Quản trị - Dịch vụ</v>
      </c>
      <c r="K318" s="768"/>
      <c r="L318" s="769"/>
      <c r="M318" s="770"/>
      <c r="N318" s="771"/>
      <c r="O318" s="772"/>
      <c r="P318" s="773"/>
      <c r="Q318" s="771"/>
      <c r="R318" s="774"/>
      <c r="S318" s="769"/>
      <c r="T318" s="775"/>
      <c r="U318" s="769"/>
      <c r="V318" s="776"/>
      <c r="W318" s="777"/>
      <c r="X318" s="778"/>
      <c r="Y318" s="779">
        <v>2063880</v>
      </c>
      <c r="Z318" s="716">
        <f t="shared" si="62"/>
        <v>1.1466000000000001</v>
      </c>
      <c r="AA318" s="714">
        <v>1800000</v>
      </c>
      <c r="AB318" s="715">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1"/>
      <c r="D319" s="762"/>
      <c r="E319" s="763"/>
      <c r="F319" s="764"/>
      <c r="G319" s="765"/>
      <c r="H319" s="766"/>
      <c r="I319" s="767"/>
      <c r="J319" s="383" t="str">
        <f>VLOOKUP(B319,[4]CN!$B$33:$J$365,9,FALSE)</f>
        <v>Nhân viên phòng Quản trị - Dịch vụ</v>
      </c>
      <c r="K319" s="768"/>
      <c r="L319" s="769"/>
      <c r="M319" s="770"/>
      <c r="N319" s="771"/>
      <c r="O319" s="772"/>
      <c r="P319" s="773"/>
      <c r="Q319" s="771"/>
      <c r="R319" s="774"/>
      <c r="S319" s="769"/>
      <c r="T319" s="775"/>
      <c r="U319" s="769"/>
      <c r="V319" s="776"/>
      <c r="W319" s="777"/>
      <c r="X319" s="778"/>
      <c r="Y319" s="779">
        <v>1474200</v>
      </c>
      <c r="Z319" s="716">
        <f t="shared" si="62"/>
        <v>0.81899999999999995</v>
      </c>
      <c r="AA319" s="714">
        <v>1800000</v>
      </c>
      <c r="AB319" s="715">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1"/>
      <c r="D320" s="762"/>
      <c r="E320" s="763"/>
      <c r="F320" s="764"/>
      <c r="G320" s="765"/>
      <c r="H320" s="766"/>
      <c r="I320" s="767"/>
      <c r="J320" s="383" t="str">
        <f>VLOOKUP(B320,[4]CN!$B$33:$J$365,9,FALSE)</f>
        <v>Nhân viên phòng Quản trị - Dịch vụ</v>
      </c>
      <c r="K320" s="768"/>
      <c r="L320" s="769"/>
      <c r="M320" s="770"/>
      <c r="N320" s="771"/>
      <c r="O320" s="772"/>
      <c r="P320" s="773"/>
      <c r="Q320" s="771"/>
      <c r="R320" s="774"/>
      <c r="S320" s="769"/>
      <c r="T320" s="775"/>
      <c r="U320" s="769"/>
      <c r="V320" s="776"/>
      <c r="W320" s="777"/>
      <c r="X320" s="778"/>
      <c r="Y320" s="779">
        <v>1507453</v>
      </c>
      <c r="Z320" s="716">
        <f t="shared" si="62"/>
        <v>0.83747388888888885</v>
      </c>
      <c r="AA320" s="714">
        <v>1800000</v>
      </c>
      <c r="AB320" s="715">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2">
        <f>_xlfn.AGGREGATE(4,7,A$19:A320)+1</f>
        <v>299</v>
      </c>
      <c r="B321" s="713" t="s">
        <v>2089</v>
      </c>
      <c r="C321" s="801"/>
      <c r="D321" s="802"/>
      <c r="E321" s="803"/>
      <c r="F321" s="804"/>
      <c r="G321" s="805"/>
      <c r="H321" s="806"/>
      <c r="I321" s="807"/>
      <c r="J321" s="579" t="str">
        <f>VLOOKUP(B321,[4]CN!$B$33:$J$365,9,FALSE)</f>
        <v>Nhân viên Y tế</v>
      </c>
      <c r="K321" s="808"/>
      <c r="L321" s="809"/>
      <c r="M321" s="810"/>
      <c r="N321" s="811"/>
      <c r="O321" s="812"/>
      <c r="P321" s="813"/>
      <c r="Q321" s="811"/>
      <c r="R321" s="814"/>
      <c r="S321" s="809"/>
      <c r="T321" s="815"/>
      <c r="U321" s="809"/>
      <c r="V321" s="809"/>
      <c r="W321" s="816"/>
      <c r="X321" s="817"/>
      <c r="Y321" s="818">
        <v>6247627</v>
      </c>
      <c r="Z321" s="756">
        <f t="shared" si="62"/>
        <v>3.470903888888889</v>
      </c>
      <c r="AA321" s="757">
        <v>1800000</v>
      </c>
      <c r="AB321" s="755">
        <f t="shared" si="63"/>
        <v>6247627</v>
      </c>
      <c r="AC321" s="598">
        <f t="shared" si="65"/>
        <v>299</v>
      </c>
      <c r="AD321" s="821"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1"/>
      <c r="D322" s="762"/>
      <c r="E322" s="763"/>
      <c r="F322" s="764"/>
      <c r="G322" s="765"/>
      <c r="H322" s="766"/>
      <c r="I322" s="767"/>
      <c r="J322" s="383" t="str">
        <f>VLOOKUP(B322,[4]CN!$B$33:$J$365,9,FALSE)</f>
        <v>Nhân viên Ký túc xá</v>
      </c>
      <c r="K322" s="768"/>
      <c r="L322" s="769"/>
      <c r="M322" s="770"/>
      <c r="N322" s="771"/>
      <c r="O322" s="772"/>
      <c r="P322" s="773"/>
      <c r="Q322" s="771"/>
      <c r="R322" s="774"/>
      <c r="S322" s="769"/>
      <c r="T322" s="775"/>
      <c r="U322" s="769"/>
      <c r="V322" s="776"/>
      <c r="W322" s="777"/>
      <c r="X322" s="778"/>
      <c r="Y322" s="779">
        <v>1404000</v>
      </c>
      <c r="Z322" s="716">
        <f t="shared" si="62"/>
        <v>0.78</v>
      </c>
      <c r="AA322" s="714">
        <v>1800000</v>
      </c>
      <c r="AB322" s="715">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5" t="s">
        <v>2092</v>
      </c>
      <c r="C323" s="761"/>
      <c r="D323" s="762"/>
      <c r="E323" s="763"/>
      <c r="F323" s="764"/>
      <c r="G323" s="765"/>
      <c r="H323" s="766"/>
      <c r="I323" s="767"/>
      <c r="J323" s="383" t="str">
        <f>VLOOKUP(B323,[4]CN!$B$33:$J$365,9,FALSE)</f>
        <v>Nhân viên</v>
      </c>
      <c r="K323" s="768"/>
      <c r="L323" s="769"/>
      <c r="M323" s="770"/>
      <c r="N323" s="771"/>
      <c r="O323" s="772"/>
      <c r="P323" s="773"/>
      <c r="Q323" s="771"/>
      <c r="R323" s="774"/>
      <c r="S323" s="769"/>
      <c r="T323" s="775"/>
      <c r="U323" s="769"/>
      <c r="V323" s="776"/>
      <c r="W323" s="777"/>
      <c r="X323" s="778"/>
      <c r="Y323" s="779">
        <v>12268290</v>
      </c>
      <c r="Z323" s="716">
        <f t="shared" si="62"/>
        <v>6.8157166666666669</v>
      </c>
      <c r="AA323" s="714">
        <v>1800000</v>
      </c>
      <c r="AB323" s="715">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1"/>
      <c r="D324" s="762"/>
      <c r="E324" s="763"/>
      <c r="F324" s="764"/>
      <c r="G324" s="765"/>
      <c r="H324" s="766"/>
      <c r="I324" s="767"/>
      <c r="J324" s="383" t="str">
        <f>VLOOKUP(B324,[4]CN!$B$33:$J$365,9,FALSE)</f>
        <v>NV Kế toán</v>
      </c>
      <c r="K324" s="768"/>
      <c r="L324" s="769"/>
      <c r="M324" s="770"/>
      <c r="N324" s="771"/>
      <c r="O324" s="772"/>
      <c r="P324" s="773"/>
      <c r="Q324" s="771"/>
      <c r="R324" s="774"/>
      <c r="S324" s="769"/>
      <c r="T324" s="775"/>
      <c r="U324" s="769"/>
      <c r="V324" s="776"/>
      <c r="W324" s="777"/>
      <c r="X324" s="778"/>
      <c r="Y324" s="779">
        <v>5648159</v>
      </c>
      <c r="Z324" s="716">
        <f t="shared" si="62"/>
        <v>3.1378661111111112</v>
      </c>
      <c r="AA324" s="714">
        <v>1800000</v>
      </c>
      <c r="AB324" s="715">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1"/>
      <c r="D325" s="762"/>
      <c r="E325" s="763"/>
      <c r="F325" s="764"/>
      <c r="G325" s="765"/>
      <c r="H325" s="766"/>
      <c r="I325" s="767"/>
      <c r="J325" s="383" t="str">
        <f>VLOOKUP(B325,[4]CN!$B$33:$J$365,9,FALSE)</f>
        <v>NV Kế toán</v>
      </c>
      <c r="K325" s="768"/>
      <c r="L325" s="769"/>
      <c r="M325" s="770"/>
      <c r="N325" s="771"/>
      <c r="O325" s="772"/>
      <c r="P325" s="773"/>
      <c r="Q325" s="771"/>
      <c r="R325" s="774"/>
      <c r="S325" s="769"/>
      <c r="T325" s="775"/>
      <c r="U325" s="769"/>
      <c r="V325" s="776"/>
      <c r="W325" s="777"/>
      <c r="X325" s="778"/>
      <c r="Y325" s="779">
        <v>5618537</v>
      </c>
      <c r="Z325" s="716">
        <f t="shared" si="62"/>
        <v>3.1214094444444442</v>
      </c>
      <c r="AA325" s="714">
        <v>1800000</v>
      </c>
      <c r="AB325" s="715">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1"/>
      <c r="D326" s="762"/>
      <c r="E326" s="763"/>
      <c r="F326" s="764"/>
      <c r="G326" s="765"/>
      <c r="H326" s="766"/>
      <c r="I326" s="767"/>
      <c r="J326" s="383" t="str">
        <f>VLOOKUP(B326,[4]CN!$B$33:$J$365,9,FALSE)</f>
        <v>NV Kế toán</v>
      </c>
      <c r="K326" s="768"/>
      <c r="L326" s="769"/>
      <c r="M326" s="770"/>
      <c r="N326" s="771"/>
      <c r="O326" s="772"/>
      <c r="P326" s="773"/>
      <c r="Q326" s="771"/>
      <c r="R326" s="774"/>
      <c r="S326" s="769"/>
      <c r="T326" s="775"/>
      <c r="U326" s="769"/>
      <c r="V326" s="776"/>
      <c r="W326" s="777"/>
      <c r="X326" s="778"/>
      <c r="Y326" s="779">
        <v>4027059</v>
      </c>
      <c r="Z326" s="716">
        <f t="shared" si="62"/>
        <v>2.2372550000000002</v>
      </c>
      <c r="AA326" s="714">
        <v>1800000</v>
      </c>
      <c r="AB326" s="715">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1"/>
      <c r="D327" s="762"/>
      <c r="E327" s="763"/>
      <c r="F327" s="764"/>
      <c r="G327" s="765"/>
      <c r="H327" s="766"/>
      <c r="I327" s="767"/>
      <c r="J327" s="383" t="str">
        <f>VLOOKUP(B327,[4]CN!$B$33:$J$365,9,FALSE)</f>
        <v>NV Kế toán</v>
      </c>
      <c r="K327" s="768"/>
      <c r="L327" s="769"/>
      <c r="M327" s="770"/>
      <c r="N327" s="771"/>
      <c r="O327" s="772"/>
      <c r="P327" s="773"/>
      <c r="Q327" s="771"/>
      <c r="R327" s="774"/>
      <c r="S327" s="769"/>
      <c r="T327" s="775"/>
      <c r="U327" s="769"/>
      <c r="V327" s="776"/>
      <c r="W327" s="777"/>
      <c r="X327" s="778"/>
      <c r="Y327" s="779">
        <v>5250969</v>
      </c>
      <c r="Z327" s="716">
        <f t="shared" si="62"/>
        <v>2.917205</v>
      </c>
      <c r="AA327" s="714">
        <v>1800000</v>
      </c>
      <c r="AB327" s="715">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5" t="s">
        <v>2100</v>
      </c>
      <c r="C328" s="761"/>
      <c r="D328" s="762"/>
      <c r="E328" s="763"/>
      <c r="F328" s="764"/>
      <c r="G328" s="765"/>
      <c r="H328" s="766"/>
      <c r="I328" s="767"/>
      <c r="J328" s="383" t="str">
        <f>VLOOKUP(B328,[4]CN!$B$33:$J$365,9,FALSE)</f>
        <v>Nhân viên</v>
      </c>
      <c r="K328" s="768"/>
      <c r="L328" s="769"/>
      <c r="M328" s="770"/>
      <c r="N328" s="771"/>
      <c r="O328" s="772"/>
      <c r="P328" s="773"/>
      <c r="Q328" s="771"/>
      <c r="R328" s="774"/>
      <c r="S328" s="769"/>
      <c r="T328" s="775"/>
      <c r="U328" s="769"/>
      <c r="V328" s="776"/>
      <c r="W328" s="777"/>
      <c r="X328" s="778"/>
      <c r="Y328" s="779">
        <v>7880289</v>
      </c>
      <c r="Z328" s="716">
        <f t="shared" si="62"/>
        <v>4.3779383333333337</v>
      </c>
      <c r="AA328" s="714">
        <v>1800000</v>
      </c>
      <c r="AB328" s="715">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1"/>
      <c r="D329" s="762"/>
      <c r="E329" s="763"/>
      <c r="F329" s="764"/>
      <c r="G329" s="765"/>
      <c r="H329" s="766"/>
      <c r="I329" s="767"/>
      <c r="J329" s="383" t="str">
        <f>VLOOKUP(B329,[4]CN!$B$33:$J$365,9,FALSE)</f>
        <v>NV Phòng Quản trị - Dịch vụ</v>
      </c>
      <c r="K329" s="768"/>
      <c r="L329" s="769"/>
      <c r="M329" s="770"/>
      <c r="N329" s="771"/>
      <c r="O329" s="772"/>
      <c r="P329" s="773"/>
      <c r="Q329" s="771"/>
      <c r="R329" s="774"/>
      <c r="S329" s="769"/>
      <c r="T329" s="775"/>
      <c r="U329" s="769"/>
      <c r="V329" s="776"/>
      <c r="W329" s="777"/>
      <c r="X329" s="778"/>
      <c r="Y329" s="779">
        <v>4260738</v>
      </c>
      <c r="Z329" s="716">
        <f t="shared" si="62"/>
        <v>2.3670766666666667</v>
      </c>
      <c r="AA329" s="714">
        <v>1800000</v>
      </c>
      <c r="AB329" s="715">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1"/>
      <c r="D330" s="762"/>
      <c r="E330" s="763"/>
      <c r="F330" s="764"/>
      <c r="G330" s="765"/>
      <c r="H330" s="766"/>
      <c r="I330" s="767"/>
      <c r="J330" s="383" t="str">
        <f>VLOOKUP(B330,[4]CN!$B$33:$J$365,9,FALSE)</f>
        <v>NV Phòng Quản trị - Dịch vụ</v>
      </c>
      <c r="K330" s="768"/>
      <c r="L330" s="769"/>
      <c r="M330" s="770"/>
      <c r="N330" s="771"/>
      <c r="O330" s="772"/>
      <c r="P330" s="773"/>
      <c r="Q330" s="771"/>
      <c r="R330" s="774"/>
      <c r="S330" s="769"/>
      <c r="T330" s="775"/>
      <c r="U330" s="769"/>
      <c r="V330" s="776"/>
      <c r="W330" s="777"/>
      <c r="X330" s="778"/>
      <c r="Y330" s="779">
        <v>5112886</v>
      </c>
      <c r="Z330" s="716">
        <f t="shared" si="62"/>
        <v>2.8404922222222222</v>
      </c>
      <c r="AA330" s="714">
        <v>1800000</v>
      </c>
      <c r="AB330" s="715">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1"/>
      <c r="D331" s="762"/>
      <c r="E331" s="763"/>
      <c r="F331" s="764"/>
      <c r="G331" s="765"/>
      <c r="H331" s="766"/>
      <c r="I331" s="767"/>
      <c r="J331" s="383" t="str">
        <f>VLOOKUP(B331,[4]CN!$B$33:$J$365,9,FALSE)</f>
        <v>NV Phòng Thanh tra GD - Sinh viên</v>
      </c>
      <c r="K331" s="768"/>
      <c r="L331" s="769"/>
      <c r="M331" s="770"/>
      <c r="N331" s="771"/>
      <c r="O331" s="772"/>
      <c r="P331" s="773"/>
      <c r="Q331" s="771"/>
      <c r="R331" s="774"/>
      <c r="S331" s="769"/>
      <c r="T331" s="775"/>
      <c r="U331" s="769"/>
      <c r="V331" s="776"/>
      <c r="W331" s="777"/>
      <c r="X331" s="778"/>
      <c r="Y331" s="779">
        <v>4562421</v>
      </c>
      <c r="Z331" s="716">
        <f t="shared" si="62"/>
        <v>2.5346783333333334</v>
      </c>
      <c r="AA331" s="714">
        <v>1800000</v>
      </c>
      <c r="AB331" s="715">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1"/>
      <c r="D332" s="762"/>
      <c r="E332" s="763"/>
      <c r="F332" s="764"/>
      <c r="G332" s="765"/>
      <c r="H332" s="766"/>
      <c r="I332" s="767"/>
      <c r="J332" s="383" t="str">
        <f>VLOOKUP(B332,[4]CN!$B$33:$J$365,9,FALSE)</f>
        <v>NV Phòng Thanh tra GD - Sinh viên</v>
      </c>
      <c r="K332" s="768"/>
      <c r="L332" s="769"/>
      <c r="M332" s="770"/>
      <c r="N332" s="771"/>
      <c r="O332" s="772"/>
      <c r="P332" s="773"/>
      <c r="Q332" s="771"/>
      <c r="R332" s="774"/>
      <c r="S332" s="769"/>
      <c r="T332" s="775"/>
      <c r="U332" s="769"/>
      <c r="V332" s="776"/>
      <c r="W332" s="777"/>
      <c r="X332" s="778"/>
      <c r="Y332" s="779">
        <v>4206384</v>
      </c>
      <c r="Z332" s="716">
        <f t="shared" si="62"/>
        <v>2.3368799999999998</v>
      </c>
      <c r="AA332" s="714">
        <v>1800000</v>
      </c>
      <c r="AB332" s="715">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1"/>
      <c r="D333" s="762"/>
      <c r="E333" s="763"/>
      <c r="F333" s="764"/>
      <c r="G333" s="765"/>
      <c r="H333" s="766"/>
      <c r="I333" s="767"/>
      <c r="J333" s="383" t="str">
        <f>VLOOKUP(B333,[4]CN!$B$33:$J$365,9,FALSE)</f>
        <v>NV Phòng Quản trị - Dịch vụ</v>
      </c>
      <c r="K333" s="768"/>
      <c r="L333" s="769"/>
      <c r="M333" s="770"/>
      <c r="N333" s="771"/>
      <c r="O333" s="772"/>
      <c r="P333" s="773"/>
      <c r="Q333" s="771"/>
      <c r="R333" s="774"/>
      <c r="S333" s="769"/>
      <c r="T333" s="775"/>
      <c r="U333" s="769"/>
      <c r="V333" s="776"/>
      <c r="W333" s="777"/>
      <c r="X333" s="778"/>
      <c r="Y333" s="779">
        <v>3661214</v>
      </c>
      <c r="Z333" s="716">
        <f t="shared" si="62"/>
        <v>2.0340077777777776</v>
      </c>
      <c r="AA333" s="714">
        <v>1800000</v>
      </c>
      <c r="AB333" s="715">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1"/>
      <c r="D334" s="762"/>
      <c r="E334" s="763"/>
      <c r="F334" s="764"/>
      <c r="G334" s="765"/>
      <c r="H334" s="766"/>
      <c r="I334" s="767"/>
      <c r="J334" s="383" t="str">
        <f>VLOOKUP(B334,[4]CN!$B$33:$J$365,9,FALSE)</f>
        <v>Phòng Thanh tra Giáo dục - Sinh viên</v>
      </c>
      <c r="K334" s="768"/>
      <c r="L334" s="769"/>
      <c r="M334" s="770"/>
      <c r="N334" s="771"/>
      <c r="O334" s="772"/>
      <c r="P334" s="773"/>
      <c r="Q334" s="771"/>
      <c r="R334" s="774"/>
      <c r="S334" s="769"/>
      <c r="T334" s="775"/>
      <c r="U334" s="769"/>
      <c r="V334" s="776"/>
      <c r="W334" s="777"/>
      <c r="X334" s="778"/>
      <c r="Y334" s="779">
        <v>3379571</v>
      </c>
      <c r="Z334" s="716">
        <f t="shared" si="62"/>
        <v>1.8775394444444444</v>
      </c>
      <c r="AA334" s="714">
        <v>1800000</v>
      </c>
      <c r="AB334" s="715">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1"/>
      <c r="D335" s="762"/>
      <c r="E335" s="763"/>
      <c r="F335" s="764"/>
      <c r="G335" s="765"/>
      <c r="H335" s="766"/>
      <c r="I335" s="767"/>
      <c r="J335" s="383" t="str">
        <f>VLOOKUP(B335,[4]CN!$B$33:$J$365,9,FALSE)</f>
        <v>Nhân viên phòng KHCN &amp; HTQT</v>
      </c>
      <c r="K335" s="768"/>
      <c r="L335" s="769"/>
      <c r="M335" s="770"/>
      <c r="N335" s="771"/>
      <c r="O335" s="772"/>
      <c r="P335" s="773"/>
      <c r="Q335" s="771"/>
      <c r="R335" s="774"/>
      <c r="S335" s="769"/>
      <c r="T335" s="775"/>
      <c r="U335" s="769"/>
      <c r="V335" s="776"/>
      <c r="W335" s="777"/>
      <c r="X335" s="778"/>
      <c r="Y335" s="779">
        <v>3876187</v>
      </c>
      <c r="Z335" s="716">
        <f t="shared" si="62"/>
        <v>2.1534372222222222</v>
      </c>
      <c r="AA335" s="714">
        <v>1800000</v>
      </c>
      <c r="AB335" s="715">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1"/>
      <c r="D336" s="762"/>
      <c r="E336" s="763"/>
      <c r="F336" s="764"/>
      <c r="G336" s="765"/>
      <c r="H336" s="766"/>
      <c r="I336" s="767"/>
      <c r="J336" s="383" t="str">
        <f>VLOOKUP(B336,[4]CN!$B$33:$J$365,9,FALSE)</f>
        <v>Nhân viên phòng KHCN &amp; HTQT</v>
      </c>
      <c r="K336" s="768"/>
      <c r="L336" s="769"/>
      <c r="M336" s="770"/>
      <c r="N336" s="771"/>
      <c r="O336" s="772"/>
      <c r="P336" s="773"/>
      <c r="Q336" s="771"/>
      <c r="R336" s="774"/>
      <c r="S336" s="769"/>
      <c r="T336" s="775"/>
      <c r="U336" s="769"/>
      <c r="V336" s="776"/>
      <c r="W336" s="777"/>
      <c r="X336" s="778"/>
      <c r="Y336" s="779">
        <v>4815889</v>
      </c>
      <c r="Z336" s="716">
        <f t="shared" si="62"/>
        <v>2.6754938888888891</v>
      </c>
      <c r="AA336" s="714">
        <v>1800000</v>
      </c>
      <c r="AB336" s="715">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1"/>
      <c r="D337" s="762"/>
      <c r="E337" s="763"/>
      <c r="F337" s="764"/>
      <c r="G337" s="765"/>
      <c r="H337" s="766"/>
      <c r="I337" s="767"/>
      <c r="J337" s="383" t="str">
        <f>VLOOKUP(B337,[4]CN!$B$33:$J$365,9,FALSE)</f>
        <v>NV Phòng Thanh tra - Giáo dục</v>
      </c>
      <c r="K337" s="768"/>
      <c r="L337" s="769"/>
      <c r="M337" s="770"/>
      <c r="N337" s="771"/>
      <c r="O337" s="772"/>
      <c r="P337" s="773"/>
      <c r="Q337" s="771"/>
      <c r="R337" s="774"/>
      <c r="S337" s="769"/>
      <c r="T337" s="775"/>
      <c r="U337" s="769"/>
      <c r="V337" s="776"/>
      <c r="W337" s="777"/>
      <c r="X337" s="778"/>
      <c r="Y337" s="779">
        <v>4815889</v>
      </c>
      <c r="Z337" s="716">
        <f t="shared" si="62"/>
        <v>2.6754938888888891</v>
      </c>
      <c r="AA337" s="714">
        <v>1800000</v>
      </c>
      <c r="AB337" s="715">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1"/>
      <c r="D338" s="762"/>
      <c r="E338" s="763"/>
      <c r="F338" s="764"/>
      <c r="G338" s="765"/>
      <c r="H338" s="766"/>
      <c r="I338" s="767"/>
      <c r="J338" s="383" t="str">
        <f>VLOOKUP(B338,[4]CN!$B$33:$J$365,9,FALSE)</f>
        <v>NV Phòng Quản trị - Dịch vụ</v>
      </c>
      <c r="K338" s="768"/>
      <c r="L338" s="769"/>
      <c r="M338" s="770"/>
      <c r="N338" s="771"/>
      <c r="O338" s="772"/>
      <c r="P338" s="773"/>
      <c r="Q338" s="771"/>
      <c r="R338" s="774"/>
      <c r="S338" s="769"/>
      <c r="T338" s="775"/>
      <c r="U338" s="769"/>
      <c r="V338" s="776"/>
      <c r="W338" s="777"/>
      <c r="X338" s="778"/>
      <c r="Y338" s="779">
        <v>4473776</v>
      </c>
      <c r="Z338" s="716">
        <f t="shared" si="62"/>
        <v>2.4854311111111111</v>
      </c>
      <c r="AA338" s="714">
        <v>1800000</v>
      </c>
      <c r="AB338" s="715">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1"/>
      <c r="D339" s="762"/>
      <c r="E339" s="763"/>
      <c r="F339" s="764"/>
      <c r="G339" s="765"/>
      <c r="H339" s="766"/>
      <c r="I339" s="767"/>
      <c r="J339" s="383" t="str">
        <f>VLOOKUP(B339,[4]CN!$B$33:$J$365,9,FALSE)</f>
        <v>NV Phòng Tuyển sinh - Đào tạo</v>
      </c>
      <c r="K339" s="768"/>
      <c r="L339" s="769"/>
      <c r="M339" s="770"/>
      <c r="N339" s="771"/>
      <c r="O339" s="772"/>
      <c r="P339" s="773"/>
      <c r="Q339" s="771"/>
      <c r="R339" s="774"/>
      <c r="S339" s="769"/>
      <c r="T339" s="775"/>
      <c r="U339" s="769"/>
      <c r="V339" s="776"/>
      <c r="W339" s="777"/>
      <c r="X339" s="778"/>
      <c r="Y339" s="779">
        <v>7351615</v>
      </c>
      <c r="Z339" s="716">
        <f t="shared" si="62"/>
        <v>4.0842305555555551</v>
      </c>
      <c r="AA339" s="714">
        <v>1800000</v>
      </c>
      <c r="AB339" s="715">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1"/>
      <c r="D340" s="762"/>
      <c r="E340" s="763"/>
      <c r="F340" s="764"/>
      <c r="G340" s="765"/>
      <c r="H340" s="766"/>
      <c r="I340" s="767"/>
      <c r="J340" s="383" t="str">
        <f>VLOOKUP(B340,[4]CN!$B$33:$J$365,9,FALSE)</f>
        <v>NV phòng TS - Đào tạo</v>
      </c>
      <c r="K340" s="768"/>
      <c r="L340" s="769"/>
      <c r="M340" s="770"/>
      <c r="N340" s="771"/>
      <c r="O340" s="772"/>
      <c r="P340" s="773"/>
      <c r="Q340" s="771"/>
      <c r="R340" s="774"/>
      <c r="S340" s="769"/>
      <c r="T340" s="775"/>
      <c r="U340" s="769"/>
      <c r="V340" s="776"/>
      <c r="W340" s="777"/>
      <c r="X340" s="778"/>
      <c r="Y340" s="779">
        <v>3928752</v>
      </c>
      <c r="Z340" s="716">
        <f t="shared" si="62"/>
        <v>2.1826400000000001</v>
      </c>
      <c r="AA340" s="714">
        <v>1800000</v>
      </c>
      <c r="AB340" s="715">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1"/>
      <c r="D341" s="762"/>
      <c r="E341" s="763"/>
      <c r="F341" s="764"/>
      <c r="G341" s="765"/>
      <c r="H341" s="766"/>
      <c r="I341" s="767"/>
      <c r="J341" s="383" t="str">
        <f>VLOOKUP(B341,[4]CN!$B$33:$J$365,9,FALSE)</f>
        <v>NV phòng TS - Đào tạo</v>
      </c>
      <c r="K341" s="768"/>
      <c r="L341" s="769"/>
      <c r="M341" s="770"/>
      <c r="N341" s="771"/>
      <c r="O341" s="772"/>
      <c r="P341" s="773"/>
      <c r="Q341" s="771"/>
      <c r="R341" s="774"/>
      <c r="S341" s="769"/>
      <c r="T341" s="775"/>
      <c r="U341" s="769"/>
      <c r="V341" s="776"/>
      <c r="W341" s="777"/>
      <c r="X341" s="778"/>
      <c r="Y341" s="779">
        <v>8416864</v>
      </c>
      <c r="Z341" s="716">
        <f t="shared" si="62"/>
        <v>4.6760355555555559</v>
      </c>
      <c r="AA341" s="714">
        <v>1800000</v>
      </c>
      <c r="AB341" s="715">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1"/>
      <c r="D342" s="762"/>
      <c r="E342" s="763"/>
      <c r="F342" s="764"/>
      <c r="G342" s="765"/>
      <c r="H342" s="766"/>
      <c r="I342" s="767"/>
      <c r="J342" s="383" t="str">
        <f>VLOOKUP(B342,[4]CN!$B$33:$J$365,9,FALSE)</f>
        <v>NV phòng TS - Đào tạo</v>
      </c>
      <c r="K342" s="768"/>
      <c r="L342" s="769"/>
      <c r="M342" s="770"/>
      <c r="N342" s="771"/>
      <c r="O342" s="772"/>
      <c r="P342" s="773"/>
      <c r="Q342" s="771"/>
      <c r="R342" s="774"/>
      <c r="S342" s="769"/>
      <c r="T342" s="775"/>
      <c r="U342" s="769"/>
      <c r="V342" s="776"/>
      <c r="W342" s="777"/>
      <c r="X342" s="778"/>
      <c r="Y342" s="779">
        <v>7880289</v>
      </c>
      <c r="Z342" s="716">
        <f t="shared" si="62"/>
        <v>4.3779383333333337</v>
      </c>
      <c r="AA342" s="714">
        <v>1800000</v>
      </c>
      <c r="AB342" s="715">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1"/>
      <c r="D343" s="762"/>
      <c r="E343" s="763"/>
      <c r="F343" s="764"/>
      <c r="G343" s="765"/>
      <c r="H343" s="766"/>
      <c r="I343" s="767"/>
      <c r="J343" s="383" t="str">
        <f>VLOOKUP(B343,[4]CN!$B$33:$J$365,9,FALSE)</f>
        <v>NV phòng TS - Đào tạo</v>
      </c>
      <c r="K343" s="768"/>
      <c r="L343" s="769"/>
      <c r="M343" s="770"/>
      <c r="N343" s="771"/>
      <c r="O343" s="772"/>
      <c r="P343" s="773"/>
      <c r="Q343" s="771"/>
      <c r="R343" s="774"/>
      <c r="S343" s="769"/>
      <c r="T343" s="775"/>
      <c r="U343" s="769"/>
      <c r="V343" s="776"/>
      <c r="W343" s="777"/>
      <c r="X343" s="778"/>
      <c r="Y343" s="779">
        <v>4500831</v>
      </c>
      <c r="Z343" s="716">
        <f t="shared" si="62"/>
        <v>2.5004616666666668</v>
      </c>
      <c r="AA343" s="714">
        <v>1800000</v>
      </c>
      <c r="AB343" s="715">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1"/>
      <c r="D344" s="762"/>
      <c r="E344" s="763"/>
      <c r="F344" s="764"/>
      <c r="G344" s="765"/>
      <c r="H344" s="766"/>
      <c r="I344" s="767"/>
      <c r="J344" s="383" t="str">
        <f>VLOOKUP(B344,[4]CN!$B$33:$J$365,9,FALSE)</f>
        <v>NV TT Điều hành và QLDL</v>
      </c>
      <c r="K344" s="768"/>
      <c r="L344" s="769"/>
      <c r="M344" s="770"/>
      <c r="N344" s="771"/>
      <c r="O344" s="772"/>
      <c r="P344" s="773"/>
      <c r="Q344" s="771"/>
      <c r="R344" s="774"/>
      <c r="S344" s="769"/>
      <c r="T344" s="775"/>
      <c r="U344" s="769"/>
      <c r="V344" s="776"/>
      <c r="W344" s="777"/>
      <c r="X344" s="778"/>
      <c r="Y344" s="779">
        <v>1454221</v>
      </c>
      <c r="Z344" s="716">
        <f t="shared" ref="Z344:Z353" si="67">Y344/AA344</f>
        <v>0.80790055555555551</v>
      </c>
      <c r="AA344" s="714">
        <v>1800000</v>
      </c>
      <c r="AB344" s="715">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1"/>
      <c r="D345" s="762"/>
      <c r="E345" s="763"/>
      <c r="F345" s="764"/>
      <c r="G345" s="765"/>
      <c r="H345" s="766"/>
      <c r="I345" s="767"/>
      <c r="J345" s="383" t="str">
        <f>VLOOKUP(B345,[4]CN!$B$33:$J$365,9,FALSE)</f>
        <v>NV TT Điều hành và QLDL</v>
      </c>
      <c r="K345" s="768"/>
      <c r="L345" s="769"/>
      <c r="M345" s="770"/>
      <c r="N345" s="771"/>
      <c r="O345" s="772"/>
      <c r="P345" s="773"/>
      <c r="Q345" s="771"/>
      <c r="R345" s="774"/>
      <c r="S345" s="769"/>
      <c r="T345" s="775"/>
      <c r="U345" s="769"/>
      <c r="V345" s="776"/>
      <c r="W345" s="777"/>
      <c r="X345" s="778"/>
      <c r="Y345" s="779">
        <v>5608512</v>
      </c>
      <c r="Z345" s="716">
        <f t="shared" si="67"/>
        <v>3.1158399999999999</v>
      </c>
      <c r="AA345" s="714">
        <v>1800000</v>
      </c>
      <c r="AB345" s="715">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1"/>
      <c r="D346" s="762"/>
      <c r="E346" s="763"/>
      <c r="F346" s="764"/>
      <c r="G346" s="765"/>
      <c r="H346" s="766"/>
      <c r="I346" s="767"/>
      <c r="J346" s="383" t="str">
        <f>VLOOKUP(B346,[4]CN!$B$33:$J$365,9,FALSE)</f>
        <v>NV TT Điều hành và QLDL</v>
      </c>
      <c r="K346" s="768"/>
      <c r="L346" s="769"/>
      <c r="M346" s="770"/>
      <c r="N346" s="771"/>
      <c r="O346" s="772"/>
      <c r="P346" s="773"/>
      <c r="Q346" s="771"/>
      <c r="R346" s="774"/>
      <c r="S346" s="769"/>
      <c r="T346" s="775"/>
      <c r="U346" s="769"/>
      <c r="V346" s="776"/>
      <c r="W346" s="777"/>
      <c r="X346" s="778"/>
      <c r="Y346" s="779">
        <v>2582867</v>
      </c>
      <c r="Z346" s="716">
        <f t="shared" si="67"/>
        <v>1.4349261111111111</v>
      </c>
      <c r="AA346" s="714">
        <v>1800000</v>
      </c>
      <c r="AB346" s="715">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1"/>
      <c r="D347" s="762"/>
      <c r="E347" s="763"/>
      <c r="F347" s="764"/>
      <c r="G347" s="765"/>
      <c r="H347" s="766"/>
      <c r="I347" s="767"/>
      <c r="J347" s="383" t="str">
        <f>VLOOKUP(B347,[4]CN!$B$33:$J$365,9,FALSE)</f>
        <v>NV phòng Khảo thí và ĐBCL</v>
      </c>
      <c r="K347" s="768"/>
      <c r="L347" s="769"/>
      <c r="M347" s="770"/>
      <c r="N347" s="771"/>
      <c r="O347" s="772"/>
      <c r="P347" s="773"/>
      <c r="Q347" s="771"/>
      <c r="R347" s="774"/>
      <c r="S347" s="769"/>
      <c r="T347" s="775"/>
      <c r="U347" s="769"/>
      <c r="V347" s="776"/>
      <c r="W347" s="777"/>
      <c r="X347" s="778"/>
      <c r="Y347" s="779">
        <v>5648159</v>
      </c>
      <c r="Z347" s="716">
        <f t="shared" si="67"/>
        <v>3.1378661111111112</v>
      </c>
      <c r="AA347" s="714">
        <v>1800000</v>
      </c>
      <c r="AB347" s="715">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1"/>
      <c r="D348" s="762"/>
      <c r="E348" s="763"/>
      <c r="F348" s="764"/>
      <c r="G348" s="765"/>
      <c r="H348" s="766"/>
      <c r="I348" s="767"/>
      <c r="J348" s="383" t="str">
        <f>VLOOKUP(B348,[4]CN!$B$33:$J$365,9,FALSE)</f>
        <v>Khoa Động lực</v>
      </c>
      <c r="K348" s="768"/>
      <c r="L348" s="769"/>
      <c r="M348" s="770"/>
      <c r="N348" s="771"/>
      <c r="O348" s="772"/>
      <c r="P348" s="773"/>
      <c r="Q348" s="771"/>
      <c r="R348" s="774"/>
      <c r="S348" s="769"/>
      <c r="T348" s="775"/>
      <c r="U348" s="769"/>
      <c r="V348" s="776"/>
      <c r="W348" s="777"/>
      <c r="X348" s="778"/>
      <c r="Y348" s="779">
        <v>4659903</v>
      </c>
      <c r="Z348" s="716">
        <f t="shared" si="67"/>
        <v>2.588835</v>
      </c>
      <c r="AA348" s="714">
        <v>1800000</v>
      </c>
      <c r="AB348" s="715">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1"/>
      <c r="D349" s="762"/>
      <c r="E349" s="763"/>
      <c r="F349" s="764"/>
      <c r="G349" s="765"/>
      <c r="H349" s="766"/>
      <c r="I349" s="767"/>
      <c r="J349" s="383" t="str">
        <f>VLOOKUP(B349,[4]CN!$B$33:$J$365,9,FALSE)</f>
        <v>NV TT Đào tạo Lý Tự Trọng</v>
      </c>
      <c r="K349" s="768"/>
      <c r="L349" s="769"/>
      <c r="M349" s="770"/>
      <c r="N349" s="771"/>
      <c r="O349" s="772"/>
      <c r="P349" s="773"/>
      <c r="Q349" s="771"/>
      <c r="R349" s="774"/>
      <c r="S349" s="769"/>
      <c r="T349" s="775"/>
      <c r="U349" s="769"/>
      <c r="V349" s="776"/>
      <c r="W349" s="777"/>
      <c r="X349" s="778"/>
      <c r="Y349" s="779">
        <v>3587990</v>
      </c>
      <c r="Z349" s="716">
        <f t="shared" si="67"/>
        <v>1.9933277777777778</v>
      </c>
      <c r="AA349" s="714">
        <v>1800000</v>
      </c>
      <c r="AB349" s="715">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1"/>
      <c r="D350" s="762"/>
      <c r="E350" s="763"/>
      <c r="F350" s="764"/>
      <c r="G350" s="765"/>
      <c r="H350" s="766"/>
      <c r="I350" s="767"/>
      <c r="J350" s="383" t="str">
        <f>VLOOKUP(B350,[4]CN!$B$33:$J$365,9,FALSE)</f>
        <v>NV TT Đào tạo Lý Tự Trọng</v>
      </c>
      <c r="K350" s="768"/>
      <c r="L350" s="769"/>
      <c r="M350" s="770"/>
      <c r="N350" s="771"/>
      <c r="O350" s="772"/>
      <c r="P350" s="773"/>
      <c r="Q350" s="771"/>
      <c r="R350" s="774"/>
      <c r="S350" s="769"/>
      <c r="T350" s="775"/>
      <c r="U350" s="769"/>
      <c r="V350" s="776"/>
      <c r="W350" s="777"/>
      <c r="X350" s="778"/>
      <c r="Y350" s="779">
        <v>1108421</v>
      </c>
      <c r="Z350" s="716">
        <f t="shared" si="67"/>
        <v>0.61578944444444439</v>
      </c>
      <c r="AA350" s="714">
        <v>1800000</v>
      </c>
      <c r="AB350" s="715">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1"/>
      <c r="D351" s="762"/>
      <c r="E351" s="763"/>
      <c r="F351" s="764"/>
      <c r="G351" s="765"/>
      <c r="H351" s="766"/>
      <c r="I351" s="767"/>
      <c r="J351" s="383" t="str">
        <f>VLOOKUP(B351,[4]CN!$B$33:$J$365,9,FALSE)</f>
        <v xml:space="preserve">NV Thư viện  </v>
      </c>
      <c r="K351" s="768"/>
      <c r="L351" s="769"/>
      <c r="M351" s="770"/>
      <c r="N351" s="771"/>
      <c r="O351" s="772"/>
      <c r="P351" s="773"/>
      <c r="Q351" s="771"/>
      <c r="R351" s="774"/>
      <c r="S351" s="769"/>
      <c r="T351" s="775"/>
      <c r="U351" s="769"/>
      <c r="V351" s="776"/>
      <c r="W351" s="777"/>
      <c r="X351" s="778"/>
      <c r="Y351" s="779">
        <v>3627441</v>
      </c>
      <c r="Z351" s="716">
        <f t="shared" si="67"/>
        <v>2.0152450000000002</v>
      </c>
      <c r="AA351" s="714">
        <v>1800000</v>
      </c>
      <c r="AB351" s="715">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1"/>
      <c r="D352" s="762"/>
      <c r="E352" s="763"/>
      <c r="F352" s="764"/>
      <c r="G352" s="765"/>
      <c r="H352" s="766"/>
      <c r="I352" s="767"/>
      <c r="J352" s="383" t="str">
        <f>VLOOKUP(B352,[4]CN!$B$33:$J$365,9,FALSE)</f>
        <v xml:space="preserve">NV Thư viện  </v>
      </c>
      <c r="K352" s="768"/>
      <c r="L352" s="769"/>
      <c r="M352" s="770"/>
      <c r="N352" s="771"/>
      <c r="O352" s="772"/>
      <c r="P352" s="773"/>
      <c r="Q352" s="771"/>
      <c r="R352" s="774"/>
      <c r="S352" s="769"/>
      <c r="T352" s="775"/>
      <c r="U352" s="769"/>
      <c r="V352" s="776"/>
      <c r="W352" s="777"/>
      <c r="X352" s="778"/>
      <c r="Y352" s="779">
        <v>2712011</v>
      </c>
      <c r="Z352" s="716">
        <f t="shared" si="67"/>
        <v>1.5066727777777777</v>
      </c>
      <c r="AA352" s="714">
        <v>1800000</v>
      </c>
      <c r="AB352" s="715">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1"/>
      <c r="D353" s="762"/>
      <c r="E353" s="763"/>
      <c r="F353" s="764"/>
      <c r="G353" s="765"/>
      <c r="H353" s="766"/>
      <c r="I353" s="767"/>
      <c r="J353" s="383" t="str">
        <f>VLOOKUP(B353,[4]CN!$B$33:$J$365,9,FALSE)</f>
        <v xml:space="preserve">NV Thư viện  </v>
      </c>
      <c r="K353" s="768"/>
      <c r="L353" s="769"/>
      <c r="M353" s="770"/>
      <c r="N353" s="771"/>
      <c r="O353" s="772"/>
      <c r="P353" s="773"/>
      <c r="Q353" s="771"/>
      <c r="R353" s="774"/>
      <c r="S353" s="769"/>
      <c r="T353" s="775"/>
      <c r="U353" s="769"/>
      <c r="V353" s="776"/>
      <c r="W353" s="777"/>
      <c r="X353" s="778"/>
      <c r="Y353" s="779">
        <v>3627441</v>
      </c>
      <c r="Z353" s="716">
        <f t="shared" si="67"/>
        <v>2.0152450000000002</v>
      </c>
      <c r="AA353" s="714">
        <v>1800000</v>
      </c>
      <c r="AB353" s="715">
        <f t="shared" si="68"/>
        <v>3627441.0000000005</v>
      </c>
      <c r="AC353" s="593">
        <f t="shared" si="69"/>
        <v>331</v>
      </c>
      <c r="AD353" s="822"/>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3"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7">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4"/>
      <c r="E355" s="671"/>
      <c r="F355" s="430"/>
      <c r="G355" s="430"/>
      <c r="H355" s="430"/>
      <c r="I355" s="430"/>
      <c r="J355" s="430"/>
      <c r="K355" s="430"/>
      <c r="L355" s="431"/>
      <c r="M355" s="430"/>
      <c r="N355" s="432"/>
      <c r="O355" s="432"/>
      <c r="P355" s="433"/>
      <c r="Q355" s="432"/>
      <c r="R355" s="493"/>
      <c r="S355" s="432"/>
      <c r="T355" s="434"/>
      <c r="U355" s="432"/>
      <c r="V355" s="614"/>
      <c r="W355" s="432"/>
      <c r="X355" s="432"/>
      <c r="Y355" s="432"/>
      <c r="Z355" s="885">
        <f>Z354+Z289</f>
        <v>1447.1377051010122</v>
      </c>
      <c r="AA355" s="432"/>
      <c r="AB355" s="432">
        <f>AB354+AB289</f>
        <v>2604847869.1818171</v>
      </c>
      <c r="AC355" s="363"/>
      <c r="AD355" s="886"/>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6"/>
      <c r="N357" s="17"/>
      <c r="O357" s="706"/>
      <c r="P357" s="706"/>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6"/>
      <c r="N358" s="17"/>
      <c r="O358" s="706"/>
      <c r="P358" s="706"/>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1" t="s">
        <v>2185</v>
      </c>
      <c r="X359" s="701"/>
      <c r="Y359" s="701"/>
      <c r="Z359" s="1680" t="s">
        <v>2168</v>
      </c>
      <c r="AA359" s="1680"/>
      <c r="AB359" s="1680"/>
      <c r="AC359" s="1680"/>
      <c r="AD359" s="1680"/>
      <c r="AE359" s="782"/>
    </row>
    <row r="360" spans="1:44" s="16" customFormat="1">
      <c r="A360" s="1678" t="s">
        <v>859</v>
      </c>
      <c r="B360" s="1678"/>
      <c r="C360" s="19"/>
      <c r="D360" s="19"/>
      <c r="E360" s="19"/>
      <c r="F360" s="19"/>
      <c r="G360" s="19"/>
      <c r="H360" s="19"/>
      <c r="I360" s="699"/>
      <c r="J360" s="1681" t="s">
        <v>1191</v>
      </c>
      <c r="K360" s="1681"/>
      <c r="L360" s="1681"/>
      <c r="M360" s="1681"/>
      <c r="N360" s="1681"/>
      <c r="O360" s="1681"/>
      <c r="P360" s="1681"/>
      <c r="Q360" s="1681"/>
      <c r="R360" s="1681"/>
      <c r="S360" s="1681"/>
      <c r="T360" s="1681"/>
      <c r="U360" s="1681"/>
      <c r="V360" s="1681"/>
      <c r="W360" s="1681"/>
      <c r="X360" s="1681"/>
      <c r="Y360" s="1681"/>
      <c r="Z360" s="1681"/>
      <c r="AA360" s="1678" t="s">
        <v>41</v>
      </c>
      <c r="AB360" s="1678"/>
      <c r="AC360" s="1678"/>
      <c r="AD360" s="1678"/>
      <c r="AE360" s="19"/>
      <c r="AF360" s="514"/>
      <c r="AH360" s="158"/>
    </row>
    <row r="361" spans="1:44" s="16" customFormat="1" ht="13.5" customHeight="1">
      <c r="A361" s="699"/>
      <c r="B361" s="699"/>
      <c r="C361" s="19"/>
      <c r="D361" s="19"/>
      <c r="E361" s="19"/>
      <c r="F361" s="19"/>
      <c r="G361" s="19"/>
      <c r="H361" s="19"/>
      <c r="I361" s="699"/>
      <c r="J361" s="699"/>
      <c r="K361" s="235"/>
      <c r="L361" s="366"/>
      <c r="M361" s="14"/>
      <c r="N361" s="14"/>
      <c r="O361" s="699"/>
      <c r="P361" s="19"/>
      <c r="Q361" s="699"/>
      <c r="R361" s="475"/>
      <c r="S361" s="699"/>
      <c r="T361" s="403"/>
      <c r="V361" s="19"/>
      <c r="W361" s="699"/>
      <c r="X361" s="699"/>
      <c r="Y361" s="699"/>
      <c r="Z361" s="699"/>
      <c r="AA361" s="699"/>
      <c r="AB361" s="699"/>
      <c r="AC361" s="699"/>
      <c r="AE361" s="103"/>
      <c r="AF361" s="514"/>
      <c r="AH361" s="158"/>
    </row>
    <row r="362" spans="1:44" s="16" customFormat="1" ht="10.5" customHeight="1">
      <c r="G362" s="702"/>
      <c r="H362" s="706"/>
      <c r="K362" s="235"/>
      <c r="L362" s="372"/>
      <c r="M362" s="14"/>
      <c r="N362" s="699"/>
      <c r="O362" s="706"/>
      <c r="P362" s="706"/>
      <c r="Q362" s="706"/>
      <c r="R362" s="476"/>
      <c r="S362" s="706"/>
      <c r="T362" s="404"/>
      <c r="U362" s="706"/>
      <c r="V362" s="706"/>
      <c r="W362" s="706"/>
      <c r="X362" s="706"/>
      <c r="Y362" s="706"/>
      <c r="Z362" s="706"/>
      <c r="AA362" s="706"/>
      <c r="AB362" s="706"/>
      <c r="AC362" s="706"/>
      <c r="AE362" s="101"/>
      <c r="AF362" s="514"/>
      <c r="AH362" s="158"/>
    </row>
    <row r="363" spans="1:44" s="16" customFormat="1" ht="13.5" customHeight="1">
      <c r="G363" s="702"/>
      <c r="H363" s="706"/>
      <c r="K363" s="235"/>
      <c r="L363" s="372"/>
      <c r="M363" s="14"/>
      <c r="N363" s="699"/>
      <c r="O363" s="706"/>
      <c r="P363" s="706"/>
      <c r="Q363" s="410"/>
      <c r="R363" s="476"/>
      <c r="S363" s="706"/>
      <c r="T363" s="404"/>
      <c r="U363" s="706"/>
      <c r="V363" s="706"/>
      <c r="W363" s="706"/>
      <c r="X363" s="706"/>
      <c r="Y363" s="706"/>
      <c r="Z363" s="706"/>
      <c r="AA363" s="706"/>
      <c r="AB363" s="706"/>
      <c r="AC363" s="706"/>
      <c r="AE363" s="466"/>
      <c r="AF363" s="514"/>
      <c r="AH363" s="158"/>
    </row>
    <row r="364" spans="1:44" s="16" customFormat="1" ht="13.5" customHeight="1">
      <c r="G364" s="702"/>
      <c r="H364" s="706"/>
      <c r="K364" s="235"/>
      <c r="L364" s="372"/>
      <c r="M364" s="14"/>
      <c r="N364" s="699"/>
      <c r="O364" s="49"/>
      <c r="P364" s="706"/>
      <c r="Q364" s="49"/>
      <c r="R364" s="476"/>
      <c r="S364" s="706"/>
      <c r="T364" s="404"/>
      <c r="U364" s="706"/>
      <c r="V364" s="706"/>
      <c r="W364" s="49"/>
      <c r="X364" s="49"/>
      <c r="Y364" s="49"/>
      <c r="Z364" s="49"/>
      <c r="AA364" s="49"/>
      <c r="AB364" s="49"/>
      <c r="AC364" s="49"/>
      <c r="AE364" s="101"/>
      <c r="AF364" s="514"/>
      <c r="AH364" s="158"/>
    </row>
    <row r="365" spans="1:44" s="16" customFormat="1" ht="13.5" customHeight="1">
      <c r="G365" s="702"/>
      <c r="H365" s="706"/>
      <c r="I365" s="706"/>
      <c r="J365" s="706"/>
      <c r="K365" s="700"/>
      <c r="L365" s="367"/>
      <c r="M365" s="14"/>
      <c r="N365" s="699"/>
      <c r="O365" s="706"/>
      <c r="P365" s="706"/>
      <c r="Q365" s="706"/>
      <c r="R365" s="476"/>
      <c r="S365" s="706"/>
      <c r="T365" s="404"/>
      <c r="U365" s="706"/>
      <c r="V365" s="706"/>
      <c r="W365" s="706"/>
      <c r="X365" s="706"/>
      <c r="Y365" s="706"/>
      <c r="Z365" s="706"/>
      <c r="AA365" s="706"/>
      <c r="AB365" s="706"/>
      <c r="AC365" s="706"/>
      <c r="AE365" s="466"/>
      <c r="AF365" s="514"/>
      <c r="AH365" s="158"/>
    </row>
    <row r="366" spans="1:44" s="16" customFormat="1" ht="13.5" customHeight="1">
      <c r="G366" s="1698"/>
      <c r="H366" s="1698"/>
      <c r="I366" s="706"/>
      <c r="J366" s="706"/>
      <c r="K366" s="700"/>
      <c r="L366" s="367"/>
      <c r="M366" s="14"/>
      <c r="N366" s="699"/>
      <c r="O366" s="706"/>
      <c r="P366" s="706"/>
      <c r="Q366" s="706"/>
      <c r="R366" s="476"/>
      <c r="S366" s="706"/>
      <c r="T366" s="404"/>
      <c r="U366" s="706"/>
      <c r="V366" s="706"/>
      <c r="W366" s="706"/>
      <c r="X366" s="706"/>
      <c r="Y366" s="706"/>
      <c r="Z366" s="706"/>
      <c r="AA366" s="706"/>
      <c r="AB366" s="706"/>
      <c r="AC366" s="706"/>
      <c r="AE366" s="101"/>
      <c r="AF366" s="514"/>
      <c r="AH366" s="158"/>
    </row>
    <row r="367" spans="1:44" s="16" customFormat="1" ht="13.5" customHeight="1">
      <c r="A367" s="1678" t="s">
        <v>1827</v>
      </c>
      <c r="B367" s="1678"/>
      <c r="C367" s="699"/>
      <c r="D367" s="699"/>
      <c r="E367" s="699"/>
      <c r="F367" s="14"/>
      <c r="G367" s="19"/>
      <c r="H367" s="19"/>
      <c r="I367" s="699"/>
      <c r="J367" s="1681" t="s">
        <v>1445</v>
      </c>
      <c r="K367" s="1681"/>
      <c r="L367" s="1681"/>
      <c r="M367" s="1681"/>
      <c r="N367" s="1681"/>
      <c r="O367" s="1681"/>
      <c r="P367" s="1681"/>
      <c r="Q367" s="1681"/>
      <c r="R367" s="1681"/>
      <c r="S367" s="1681"/>
      <c r="T367" s="1681"/>
      <c r="U367" s="1681"/>
      <c r="V367" s="1681"/>
      <c r="W367" s="1681"/>
      <c r="X367" s="1681"/>
      <c r="Y367" s="1681"/>
      <c r="Z367" s="1681"/>
      <c r="AA367" s="1678" t="s">
        <v>1433</v>
      </c>
      <c r="AB367" s="1678"/>
      <c r="AC367" s="1678"/>
      <c r="AD367" s="1678"/>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985" priority="105" stopIfTrue="1" operator="equal">
      <formula>"KXL"</formula>
    </cfRule>
    <cfRule type="cellIs" dxfId="1984" priority="106" stopIfTrue="1" operator="equal">
      <formula>"A DN"</formula>
    </cfRule>
    <cfRule type="cellIs" dxfId="1983" priority="107" stopIfTrue="1" operator="equal">
      <formula>"C"</formula>
    </cfRule>
    <cfRule type="cellIs" dxfId="1982" priority="108" stopIfTrue="1" operator="equal">
      <formula>"B"</formula>
    </cfRule>
  </conditionalFormatting>
  <conditionalFormatting sqref="B280:C280 R280 T280">
    <cfRule type="cellIs" dxfId="1981" priority="101" stopIfTrue="1" operator="equal">
      <formula>"KXL"</formula>
    </cfRule>
    <cfRule type="cellIs" dxfId="1980" priority="102" stopIfTrue="1" operator="equal">
      <formula>"A DN"</formula>
    </cfRule>
    <cfRule type="cellIs" dxfId="1979" priority="103" stopIfTrue="1" operator="equal">
      <formula>"C"</formula>
    </cfRule>
    <cfRule type="cellIs" dxfId="1978" priority="104" stopIfTrue="1" operator="equal">
      <formula>"B"</formula>
    </cfRule>
  </conditionalFormatting>
  <conditionalFormatting sqref="B60:C60 R60 T60 F60:G60 AE60:JA60 AE73:JA73 AE124:JA124 I60 AE125:AE158">
    <cfRule type="cellIs" dxfId="1977" priority="98" stopIfTrue="1" operator="equal">
      <formula>"C"</formula>
    </cfRule>
    <cfRule type="cellIs" dxfId="1976" priority="99" stopIfTrue="1" operator="equal">
      <formula>"B"</formula>
    </cfRule>
    <cfRule type="cellIs" dxfId="1975" priority="100" stopIfTrue="1" operator="equal">
      <formula>"A DN"</formula>
    </cfRule>
  </conditionalFormatting>
  <conditionalFormatting sqref="R73 B73:C73 T73 F73:G73 I73">
    <cfRule type="cellIs" dxfId="1974" priority="95" stopIfTrue="1" operator="equal">
      <formula>"C"</formula>
    </cfRule>
    <cfRule type="cellIs" dxfId="1973" priority="96" stopIfTrue="1" operator="equal">
      <formula>"B"</formula>
    </cfRule>
    <cfRule type="cellIs" dxfId="1972" priority="97" stopIfTrue="1" operator="equal">
      <formula>"A DN"</formula>
    </cfRule>
  </conditionalFormatting>
  <conditionalFormatting sqref="B124:C124 F124:G124 R124 T124 I124">
    <cfRule type="cellIs" dxfId="1971" priority="92" stopIfTrue="1" operator="equal">
      <formula>"C"</formula>
    </cfRule>
    <cfRule type="cellIs" dxfId="1970" priority="93" stopIfTrue="1" operator="equal">
      <formula>"B"</formula>
    </cfRule>
    <cfRule type="cellIs" dxfId="1969" priority="94" stopIfTrue="1" operator="equal">
      <formula>"A DN"</formula>
    </cfRule>
  </conditionalFormatting>
  <conditionalFormatting sqref="E124">
    <cfRule type="cellIs" dxfId="1968" priority="88" stopIfTrue="1" operator="equal">
      <formula>"KXL"</formula>
    </cfRule>
    <cfRule type="cellIs" dxfId="1967" priority="89" stopIfTrue="1" operator="equal">
      <formula>"A DN"</formula>
    </cfRule>
    <cfRule type="cellIs" dxfId="1966" priority="90" stopIfTrue="1" operator="equal">
      <formula>"C"</formula>
    </cfRule>
    <cfRule type="cellIs" dxfId="1965" priority="91" stopIfTrue="1" operator="equal">
      <formula>"B"</formula>
    </cfRule>
  </conditionalFormatting>
  <conditionalFormatting sqref="D26:G26 I26 R26 T26">
    <cfRule type="cellIs" dxfId="1964" priority="84" stopIfTrue="1" operator="equal">
      <formula>"KXL"</formula>
    </cfRule>
    <cfRule type="cellIs" dxfId="1963" priority="85" stopIfTrue="1" operator="equal">
      <formula>"A DN"</formula>
    </cfRule>
    <cfRule type="cellIs" dxfId="1962" priority="86" stopIfTrue="1" operator="equal">
      <formula>"C"</formula>
    </cfRule>
    <cfRule type="cellIs" dxfId="1961" priority="87" stopIfTrue="1" operator="equal">
      <formula>"B"</formula>
    </cfRule>
  </conditionalFormatting>
  <conditionalFormatting sqref="R35:R36 D35:G36 I35:I36 T35:T36">
    <cfRule type="cellIs" dxfId="1960" priority="80" stopIfTrue="1" operator="equal">
      <formula>"KXL"</formula>
    </cfRule>
    <cfRule type="cellIs" dxfId="1959" priority="81" stopIfTrue="1" operator="equal">
      <formula>"A DN"</formula>
    </cfRule>
    <cfRule type="cellIs" dxfId="1958" priority="82" stopIfTrue="1" operator="equal">
      <formula>"C"</formula>
    </cfRule>
    <cfRule type="cellIs" dxfId="1957" priority="83" stopIfTrue="1" operator="equal">
      <formula>"B"</formula>
    </cfRule>
  </conditionalFormatting>
  <conditionalFormatting sqref="D46:G46 R46:R47 I46:I47 T46:T47 D47 F47:G47">
    <cfRule type="cellIs" dxfId="1956" priority="76" stopIfTrue="1" operator="equal">
      <formula>"KXL"</formula>
    </cfRule>
    <cfRule type="cellIs" dxfId="1955" priority="77" stopIfTrue="1" operator="equal">
      <formula>"A DN"</formula>
    </cfRule>
    <cfRule type="cellIs" dxfId="1954" priority="78" stopIfTrue="1" operator="equal">
      <formula>"C"</formula>
    </cfRule>
    <cfRule type="cellIs" dxfId="1953" priority="79" stopIfTrue="1" operator="equal">
      <formula>"B"</formula>
    </cfRule>
  </conditionalFormatting>
  <conditionalFormatting sqref="M349:M351 M336:M337 M32:M290">
    <cfRule type="expression" dxfId="1952" priority="73" stopIfTrue="1">
      <formula>"if=B1"</formula>
    </cfRule>
    <cfRule type="expression" dxfId="1951" priority="74" stopIfTrue="1">
      <formula>$B21</formula>
    </cfRule>
    <cfRule type="expression" dxfId="1950" priority="75" stopIfTrue="1">
      <formula>B21</formula>
    </cfRule>
  </conditionalFormatting>
  <conditionalFormatting sqref="V92 AC92 Q92:S92 L92:L94">
    <cfRule type="cellIs" dxfId="1949" priority="69" stopIfTrue="1" operator="equal">
      <formula>"KXL"</formula>
    </cfRule>
    <cfRule type="cellIs" dxfId="1948" priority="70" stopIfTrue="1" operator="equal">
      <formula>"A DN"</formula>
    </cfRule>
    <cfRule type="cellIs" dxfId="1947" priority="71" stopIfTrue="1" operator="equal">
      <formula>"C"</formula>
    </cfRule>
    <cfRule type="cellIs" dxfId="1946" priority="72" stopIfTrue="1" operator="equal">
      <formula>"B"</formula>
    </cfRule>
  </conditionalFormatting>
  <conditionalFormatting sqref="AE92:JA92 D92:I92 T92:U92 K92">
    <cfRule type="cellIs" dxfId="1945" priority="65" stopIfTrue="1" operator="equal">
      <formula>"KXL"</formula>
    </cfRule>
    <cfRule type="cellIs" dxfId="1944" priority="66" stopIfTrue="1" operator="equal">
      <formula>"A DN"</formula>
    </cfRule>
    <cfRule type="cellIs" dxfId="1943" priority="67" stopIfTrue="1" operator="equal">
      <formula>"C"</formula>
    </cfRule>
    <cfRule type="cellIs" dxfId="1942" priority="68" stopIfTrue="1" operator="equal">
      <formula>"B"</formula>
    </cfRule>
  </conditionalFormatting>
  <conditionalFormatting sqref="AC18">
    <cfRule type="cellIs" dxfId="1941" priority="61" stopIfTrue="1" operator="equal">
      <formula>"KXL"</formula>
    </cfRule>
    <cfRule type="cellIs" dxfId="1940" priority="62" stopIfTrue="1" operator="equal">
      <formula>"A DN"</formula>
    </cfRule>
    <cfRule type="cellIs" dxfId="1939" priority="63" stopIfTrue="1" operator="equal">
      <formula>"C"</formula>
    </cfRule>
    <cfRule type="cellIs" dxfId="1938" priority="64" stopIfTrue="1" operator="equal">
      <formula>"B"</formula>
    </cfRule>
  </conditionalFormatting>
  <conditionalFormatting sqref="Z18:AB18">
    <cfRule type="cellIs" dxfId="1937" priority="57" stopIfTrue="1" operator="equal">
      <formula>"KXL"</formula>
    </cfRule>
    <cfRule type="cellIs" dxfId="1936" priority="58" stopIfTrue="1" operator="equal">
      <formula>"A DN"</formula>
    </cfRule>
    <cfRule type="cellIs" dxfId="1935" priority="59" stopIfTrue="1" operator="equal">
      <formula>"C"</formula>
    </cfRule>
    <cfRule type="cellIs" dxfId="1934" priority="60" stopIfTrue="1" operator="equal">
      <formula>"B"</formula>
    </cfRule>
  </conditionalFormatting>
  <conditionalFormatting sqref="J18">
    <cfRule type="cellIs" dxfId="1933" priority="53" stopIfTrue="1" operator="equal">
      <formula>"KXL"</formula>
    </cfRule>
    <cfRule type="cellIs" dxfId="1932" priority="54" stopIfTrue="1" operator="equal">
      <formula>"A DN"</formula>
    </cfRule>
    <cfRule type="cellIs" dxfId="1931" priority="55" stopIfTrue="1" operator="equal">
      <formula>"C"</formula>
    </cfRule>
    <cfRule type="cellIs" dxfId="1930" priority="56" stopIfTrue="1" operator="equal">
      <formula>"B"</formula>
    </cfRule>
  </conditionalFormatting>
  <conditionalFormatting sqref="J19:N20">
    <cfRule type="cellIs" dxfId="1929" priority="49" stopIfTrue="1" operator="equal">
      <formula>"KXL"</formula>
    </cfRule>
    <cfRule type="cellIs" dxfId="1928" priority="50" stopIfTrue="1" operator="equal">
      <formula>"A DN"</formula>
    </cfRule>
    <cfRule type="cellIs" dxfId="1927" priority="51" stopIfTrue="1" operator="equal">
      <formula>"C"</formula>
    </cfRule>
    <cfRule type="cellIs" dxfId="1926" priority="52" stopIfTrue="1" operator="equal">
      <formula>"B"</formula>
    </cfRule>
  </conditionalFormatting>
  <conditionalFormatting sqref="Z19:AD20">
    <cfRule type="cellIs" dxfId="1925" priority="45" stopIfTrue="1" operator="equal">
      <formula>"KXL"</formula>
    </cfRule>
    <cfRule type="cellIs" dxfId="1924" priority="46" stopIfTrue="1" operator="equal">
      <formula>"A DN"</formula>
    </cfRule>
    <cfRule type="cellIs" dxfId="1923" priority="47" stopIfTrue="1" operator="equal">
      <formula>"C"</formula>
    </cfRule>
    <cfRule type="cellIs" dxfId="1922" priority="48" stopIfTrue="1" operator="equal">
      <formula>"B"</formula>
    </cfRule>
  </conditionalFormatting>
  <conditionalFormatting sqref="AF1:IV7">
    <cfRule type="cellIs" dxfId="1921" priority="41" stopIfTrue="1" operator="equal">
      <formula>"KXL"</formula>
    </cfRule>
    <cfRule type="cellIs" dxfId="1920" priority="42" stopIfTrue="1" operator="equal">
      <formula>"A DN"</formula>
    </cfRule>
    <cfRule type="cellIs" dxfId="1919" priority="43" stopIfTrue="1" operator="equal">
      <formula>"C"</formula>
    </cfRule>
    <cfRule type="cellIs" dxfId="1918" priority="44" stopIfTrue="1" operator="equal">
      <formula>"B"</formula>
    </cfRule>
  </conditionalFormatting>
  <conditionalFormatting sqref="AB5">
    <cfRule type="cellIs" dxfId="1917" priority="37" stopIfTrue="1" operator="equal">
      <formula>"KXL"</formula>
    </cfRule>
    <cfRule type="cellIs" dxfId="1916" priority="38" stopIfTrue="1" operator="equal">
      <formula>"A DN"</formula>
    </cfRule>
    <cfRule type="cellIs" dxfId="1915" priority="39" stopIfTrue="1" operator="equal">
      <formula>"C"</formula>
    </cfRule>
    <cfRule type="cellIs" dxfId="1914" priority="40" stopIfTrue="1" operator="equal">
      <formula>"B"</formula>
    </cfRule>
  </conditionalFormatting>
  <conditionalFormatting sqref="A1 O1:U1 K1:M1">
    <cfRule type="cellIs" dxfId="1913" priority="33" stopIfTrue="1" operator="equal">
      <formula>"KXL"</formula>
    </cfRule>
    <cfRule type="cellIs" dxfId="1912" priority="34" stopIfTrue="1" operator="equal">
      <formula>"A DN"</formula>
    </cfRule>
    <cfRule type="cellIs" dxfId="1911" priority="35" stopIfTrue="1" operator="equal">
      <formula>"C"</formula>
    </cfRule>
    <cfRule type="cellIs" dxfId="1910" priority="36" stopIfTrue="1" operator="equal">
      <formula>"B"</formula>
    </cfRule>
  </conditionalFormatting>
  <conditionalFormatting sqref="O2:U3 A3:M3 A1:A2 K1:M2 A4:AB4">
    <cfRule type="cellIs" dxfId="1909" priority="25" stopIfTrue="1" operator="equal">
      <formula>"KXL"</formula>
    </cfRule>
    <cfRule type="cellIs" dxfId="1908" priority="26" stopIfTrue="1" operator="equal">
      <formula>"A DN"</formula>
    </cfRule>
    <cfRule type="cellIs" dxfId="1907" priority="27" stopIfTrue="1" operator="equal">
      <formula>"C"</formula>
    </cfRule>
    <cfRule type="cellIs" dxfId="1906" priority="28" stopIfTrue="1" operator="equal">
      <formula>"B"</formula>
    </cfRule>
  </conditionalFormatting>
  <conditionalFormatting sqref="A5:AA5 A6:A7">
    <cfRule type="cellIs" dxfId="1905" priority="29" stopIfTrue="1" operator="equal">
      <formula>"KXL"</formula>
    </cfRule>
    <cfRule type="cellIs" dxfId="1904" priority="30" stopIfTrue="1" operator="equal">
      <formula>"A DN"</formula>
    </cfRule>
    <cfRule type="cellIs" dxfId="1903" priority="31" stopIfTrue="1" operator="equal">
      <formula>"C"</formula>
    </cfRule>
    <cfRule type="cellIs" dxfId="1902" priority="32" stopIfTrue="1" operator="equal">
      <formula>"B"</formula>
    </cfRule>
  </conditionalFormatting>
  <conditionalFormatting sqref="AB5">
    <cfRule type="cellIs" dxfId="1901" priority="21" stopIfTrue="1" operator="equal">
      <formula>"KXL"</formula>
    </cfRule>
    <cfRule type="cellIs" dxfId="1900" priority="22" stopIfTrue="1" operator="equal">
      <formula>"A DN"</formula>
    </cfRule>
    <cfRule type="cellIs" dxfId="1899" priority="23" stopIfTrue="1" operator="equal">
      <formula>"C"</formula>
    </cfRule>
    <cfRule type="cellIs" dxfId="1898" priority="24" stopIfTrue="1" operator="equal">
      <formula>"B"</formula>
    </cfRule>
  </conditionalFormatting>
  <conditionalFormatting sqref="M21:M29 M291:M298">
    <cfRule type="expression" dxfId="1897" priority="2243" stopIfTrue="1">
      <formula>"if=B1"</formula>
    </cfRule>
    <cfRule type="expression" dxfId="1896" priority="2244" stopIfTrue="1">
      <formula>$B8</formula>
    </cfRule>
    <cfRule type="expression" dxfId="1895" priority="2245" stopIfTrue="1">
      <formula>B8</formula>
    </cfRule>
  </conditionalFormatting>
  <conditionalFormatting sqref="M352:M353">
    <cfRule type="expression" dxfId="1894" priority="2272" stopIfTrue="1">
      <formula>"if=B1"</formula>
    </cfRule>
    <cfRule type="expression" dxfId="1893" priority="2273" stopIfTrue="1">
      <formula>$B278</formula>
    </cfRule>
    <cfRule type="expression" dxfId="1892" priority="2274" stopIfTrue="1">
      <formula>B278</formula>
    </cfRule>
  </conditionalFormatting>
  <conditionalFormatting sqref="M338:M348">
    <cfRule type="expression" dxfId="1891" priority="2321" stopIfTrue="1">
      <formula>"if=B1"</formula>
    </cfRule>
    <cfRule type="expression" dxfId="1890" priority="2322" stopIfTrue="1">
      <formula>$B278</formula>
    </cfRule>
    <cfRule type="expression" dxfId="1889" priority="2323" stopIfTrue="1">
      <formula>B278</formula>
    </cfRule>
  </conditionalFormatting>
  <conditionalFormatting sqref="M335">
    <cfRule type="expression" dxfId="1888" priority="2390" stopIfTrue="1">
      <formula>"if=B1"</formula>
    </cfRule>
    <cfRule type="expression" dxfId="1887" priority="2391" stopIfTrue="1">
      <formula>$B291</formula>
    </cfRule>
    <cfRule type="expression" dxfId="1886" priority="2392" stopIfTrue="1">
      <formula>B291</formula>
    </cfRule>
  </conditionalFormatting>
  <conditionalFormatting sqref="M319:M324">
    <cfRule type="cellIs" dxfId="1885" priority="2412" stopIfTrue="1" operator="equal">
      <formula>"C2"</formula>
    </cfRule>
    <cfRule type="cellIs" dxfId="1884" priority="2413" stopIfTrue="1" operator="equal">
      <formula>"C1"</formula>
    </cfRule>
    <cfRule type="cellIs" dxfId="1883" priority="2414" stopIfTrue="1" operator="equal">
      <formula>"C2"</formula>
    </cfRule>
    <cfRule type="cellIs" dxfId="1882" priority="2415" stopIfTrue="1" operator="equal">
      <formula>"D"</formula>
    </cfRule>
    <cfRule type="cellIs" dxfId="1881" priority="2416" stopIfTrue="1" operator="equal">
      <formula>"E"</formula>
    </cfRule>
    <cfRule type="cellIs" dxfId="1880" priority="2417" stopIfTrue="1" operator="equal">
      <formula>"A DN"</formula>
    </cfRule>
    <cfRule type="cellIs" dxfId="1879" priority="2418" stopIfTrue="1" operator="equal">
      <formula>"A DN"</formula>
    </cfRule>
    <cfRule type="cellIs" dxfId="1878" priority="2419" stopIfTrue="1" operator="equal">
      <formula>"E"</formula>
    </cfRule>
    <cfRule type="cellIs" dxfId="1877" priority="2420" stopIfTrue="1" operator="equal">
      <formula>"D"</formula>
    </cfRule>
    <cfRule type="cellIs" dxfId="1876" priority="2421" stopIfTrue="1" operator="equal">
      <formula>"D1"</formula>
    </cfRule>
    <cfRule type="cellIs" dxfId="1875" priority="2422" stopIfTrue="1" operator="equal">
      <formula>"C2"</formula>
    </cfRule>
    <cfRule type="cellIs" dxfId="1874" priority="2423" stopIfTrue="1" operator="equal">
      <formula>"C1"</formula>
    </cfRule>
    <cfRule type="cellIs" dxfId="1873" priority="2424" stopIfTrue="1" operator="equal">
      <formula>"B2"</formula>
    </cfRule>
    <cfRule type="cellIs" dxfId="1872" priority="2425" stopIfTrue="1" operator="equal">
      <formula>"B1"</formula>
    </cfRule>
    <cfRule type="expression" dxfId="1871" priority="2426" stopIfTrue="1">
      <formula>B278</formula>
    </cfRule>
    <cfRule type="cellIs" dxfId="1870" priority="2427" stopIfTrue="1" operator="equal">
      <formula>"D"</formula>
    </cfRule>
  </conditionalFormatting>
  <conditionalFormatting sqref="M319:M324">
    <cfRule type="cellIs" dxfId="1869" priority="2430" stopIfTrue="1" operator="equal">
      <formula>"B1"</formula>
    </cfRule>
    <cfRule type="expression" dxfId="1868" priority="2431" stopIfTrue="1">
      <formula>B278</formula>
    </cfRule>
  </conditionalFormatting>
  <conditionalFormatting sqref="M319:M324">
    <cfRule type="cellIs" dxfId="1867" priority="2434" stopIfTrue="1" operator="equal">
      <formula>"B2"</formula>
    </cfRule>
    <cfRule type="expression" dxfId="1866" priority="2435" stopIfTrue="1">
      <formula>B278</formula>
    </cfRule>
  </conditionalFormatting>
  <conditionalFormatting sqref="M319:M324">
    <cfRule type="expression" dxfId="1865" priority="2479" stopIfTrue="1">
      <formula>"if=B1"</formula>
    </cfRule>
    <cfRule type="expression" dxfId="1864" priority="2480" stopIfTrue="1">
      <formula>$B279</formula>
    </cfRule>
    <cfRule type="expression" dxfId="1863" priority="2481" stopIfTrue="1">
      <formula>B279</formula>
    </cfRule>
  </conditionalFormatting>
  <conditionalFormatting sqref="M313:M318">
    <cfRule type="expression" dxfId="1862" priority="2585" stopIfTrue="1">
      <formula>"if=B1"</formula>
    </cfRule>
    <cfRule type="expression" dxfId="1861" priority="2586" stopIfTrue="1">
      <formula>$B279</formula>
    </cfRule>
    <cfRule type="expression" dxfId="1860" priority="2587" stopIfTrue="1">
      <formula>B279</formula>
    </cfRule>
  </conditionalFormatting>
  <conditionalFormatting sqref="M313:M318">
    <cfRule type="cellIs" dxfId="1859" priority="2604" stopIfTrue="1" operator="equal">
      <formula>"C2"</formula>
    </cfRule>
    <cfRule type="cellIs" dxfId="1858" priority="2605" stopIfTrue="1" operator="equal">
      <formula>"C1"</formula>
    </cfRule>
    <cfRule type="cellIs" dxfId="1857" priority="2606" stopIfTrue="1" operator="equal">
      <formula>"C2"</formula>
    </cfRule>
    <cfRule type="cellIs" dxfId="1856" priority="2607" stopIfTrue="1" operator="equal">
      <formula>"D"</formula>
    </cfRule>
    <cfRule type="cellIs" dxfId="1855" priority="2608" stopIfTrue="1" operator="equal">
      <formula>"E"</formula>
    </cfRule>
    <cfRule type="cellIs" dxfId="1854" priority="2609" stopIfTrue="1" operator="equal">
      <formula>"A DN"</formula>
    </cfRule>
    <cfRule type="cellIs" dxfId="1853" priority="2610" stopIfTrue="1" operator="equal">
      <formula>"A DN"</formula>
    </cfRule>
    <cfRule type="cellIs" dxfId="1852" priority="2611" stopIfTrue="1" operator="equal">
      <formula>"E"</formula>
    </cfRule>
    <cfRule type="cellIs" dxfId="1851" priority="2612" stopIfTrue="1" operator="equal">
      <formula>"D"</formula>
    </cfRule>
    <cfRule type="cellIs" dxfId="1850" priority="2613" stopIfTrue="1" operator="equal">
      <formula>"D1"</formula>
    </cfRule>
    <cfRule type="cellIs" dxfId="1849" priority="2614" stopIfTrue="1" operator="equal">
      <formula>"C2"</formula>
    </cfRule>
    <cfRule type="cellIs" dxfId="1848" priority="2615" stopIfTrue="1" operator="equal">
      <formula>"C1"</formula>
    </cfRule>
    <cfRule type="cellIs" dxfId="1847" priority="2616" stopIfTrue="1" operator="equal">
      <formula>"B2"</formula>
    </cfRule>
    <cfRule type="cellIs" dxfId="1846" priority="2617" stopIfTrue="1" operator="equal">
      <formula>"B1"</formula>
    </cfRule>
    <cfRule type="expression" dxfId="1845" priority="2618" stopIfTrue="1">
      <formula>B278</formula>
    </cfRule>
    <cfRule type="cellIs" dxfId="1844" priority="2619" stopIfTrue="1" operator="equal">
      <formula>"D"</formula>
    </cfRule>
  </conditionalFormatting>
  <conditionalFormatting sqref="M313:M318">
    <cfRule type="cellIs" dxfId="1843" priority="2622" stopIfTrue="1" operator="equal">
      <formula>"B1"</formula>
    </cfRule>
    <cfRule type="expression" dxfId="1842" priority="2623" stopIfTrue="1">
      <formula>B278</formula>
    </cfRule>
  </conditionalFormatting>
  <conditionalFormatting sqref="M313:M318">
    <cfRule type="cellIs" dxfId="1841" priority="2626" stopIfTrue="1" operator="equal">
      <formula>"B2"</formula>
    </cfRule>
    <cfRule type="expression" dxfId="1840" priority="2627" stopIfTrue="1">
      <formula>B278</formula>
    </cfRule>
  </conditionalFormatting>
  <conditionalFormatting sqref="M306:M312">
    <cfRule type="expression" dxfId="1839" priority="2691" stopIfTrue="1">
      <formula>"if=B1"</formula>
    </cfRule>
    <cfRule type="expression" dxfId="1838" priority="2692" stopIfTrue="1">
      <formula>$B279</formula>
    </cfRule>
    <cfRule type="expression" dxfId="1837" priority="2693" stopIfTrue="1">
      <formula>B279</formula>
    </cfRule>
  </conditionalFormatting>
  <conditionalFormatting sqref="M306:M312">
    <cfRule type="cellIs" dxfId="1836" priority="2710" stopIfTrue="1" operator="equal">
      <formula>"C2"</formula>
    </cfRule>
    <cfRule type="cellIs" dxfId="1835" priority="2711" stopIfTrue="1" operator="equal">
      <formula>"C1"</formula>
    </cfRule>
    <cfRule type="cellIs" dxfId="1834" priority="2712" stopIfTrue="1" operator="equal">
      <formula>"C2"</formula>
    </cfRule>
    <cfRule type="cellIs" dxfId="1833" priority="2713" stopIfTrue="1" operator="equal">
      <formula>"D"</formula>
    </cfRule>
    <cfRule type="cellIs" dxfId="1832" priority="2714" stopIfTrue="1" operator="equal">
      <formula>"E"</formula>
    </cfRule>
    <cfRule type="cellIs" dxfId="1831" priority="2715" stopIfTrue="1" operator="equal">
      <formula>"A DN"</formula>
    </cfRule>
    <cfRule type="cellIs" dxfId="1830" priority="2716" stopIfTrue="1" operator="equal">
      <formula>"A DN"</formula>
    </cfRule>
    <cfRule type="cellIs" dxfId="1829" priority="2717" stopIfTrue="1" operator="equal">
      <formula>"E"</formula>
    </cfRule>
    <cfRule type="cellIs" dxfId="1828" priority="2718" stopIfTrue="1" operator="equal">
      <formula>"D"</formula>
    </cfRule>
    <cfRule type="cellIs" dxfId="1827" priority="2719" stopIfTrue="1" operator="equal">
      <formula>"D1"</formula>
    </cfRule>
    <cfRule type="cellIs" dxfId="1826" priority="2720" stopIfTrue="1" operator="equal">
      <formula>"C2"</formula>
    </cfRule>
    <cfRule type="cellIs" dxfId="1825" priority="2721" stopIfTrue="1" operator="equal">
      <formula>"C1"</formula>
    </cfRule>
    <cfRule type="cellIs" dxfId="1824" priority="2722" stopIfTrue="1" operator="equal">
      <formula>"B2"</formula>
    </cfRule>
    <cfRule type="cellIs" dxfId="1823" priority="2723" stopIfTrue="1" operator="equal">
      <formula>"B1"</formula>
    </cfRule>
    <cfRule type="expression" dxfId="1822" priority="2724" stopIfTrue="1">
      <formula>B278</formula>
    </cfRule>
    <cfRule type="cellIs" dxfId="1821" priority="2725" stopIfTrue="1" operator="equal">
      <formula>"D"</formula>
    </cfRule>
  </conditionalFormatting>
  <conditionalFormatting sqref="M306:M312">
    <cfRule type="cellIs" dxfId="1820" priority="2728" stopIfTrue="1" operator="equal">
      <formula>"B1"</formula>
    </cfRule>
    <cfRule type="expression" dxfId="1819" priority="2729" stopIfTrue="1">
      <formula>B278</formula>
    </cfRule>
  </conditionalFormatting>
  <conditionalFormatting sqref="M306:M312">
    <cfRule type="cellIs" dxfId="1818" priority="2732" stopIfTrue="1" operator="equal">
      <formula>"B2"</formula>
    </cfRule>
    <cfRule type="expression" dxfId="1817" priority="2733" stopIfTrue="1">
      <formula>B278</formula>
    </cfRule>
  </conditionalFormatting>
  <conditionalFormatting sqref="M299:M305">
    <cfRule type="expression" dxfId="1816" priority="2797" stopIfTrue="1">
      <formula>"if=B1"</formula>
    </cfRule>
    <cfRule type="expression" dxfId="1815" priority="2798" stopIfTrue="1">
      <formula>$B279</formula>
    </cfRule>
    <cfRule type="expression" dxfId="1814" priority="2799" stopIfTrue="1">
      <formula>B279</formula>
    </cfRule>
  </conditionalFormatting>
  <conditionalFormatting sqref="M299:M305">
    <cfRule type="cellIs" dxfId="1813" priority="2816" stopIfTrue="1" operator="equal">
      <formula>"C2"</formula>
    </cfRule>
    <cfRule type="cellIs" dxfId="1812" priority="2817" stopIfTrue="1" operator="equal">
      <formula>"C1"</formula>
    </cfRule>
    <cfRule type="cellIs" dxfId="1811" priority="2818" stopIfTrue="1" operator="equal">
      <formula>"C2"</formula>
    </cfRule>
    <cfRule type="cellIs" dxfId="1810" priority="2819" stopIfTrue="1" operator="equal">
      <formula>"D"</formula>
    </cfRule>
    <cfRule type="cellIs" dxfId="1809" priority="2820" stopIfTrue="1" operator="equal">
      <formula>"E"</formula>
    </cfRule>
    <cfRule type="cellIs" dxfId="1808" priority="2821" stopIfTrue="1" operator="equal">
      <formula>"A DN"</formula>
    </cfRule>
    <cfRule type="cellIs" dxfId="1807" priority="2822" stopIfTrue="1" operator="equal">
      <formula>"A DN"</formula>
    </cfRule>
    <cfRule type="cellIs" dxfId="1806" priority="2823" stopIfTrue="1" operator="equal">
      <formula>"E"</formula>
    </cfRule>
    <cfRule type="cellIs" dxfId="1805" priority="2824" stopIfTrue="1" operator="equal">
      <formula>"D"</formula>
    </cfRule>
    <cfRule type="cellIs" dxfId="1804" priority="2825" stopIfTrue="1" operator="equal">
      <formula>"D1"</formula>
    </cfRule>
    <cfRule type="cellIs" dxfId="1803" priority="2826" stopIfTrue="1" operator="equal">
      <formula>"C2"</formula>
    </cfRule>
    <cfRule type="cellIs" dxfId="1802" priority="2827" stopIfTrue="1" operator="equal">
      <formula>"C1"</formula>
    </cfRule>
    <cfRule type="cellIs" dxfId="1801" priority="2828" stopIfTrue="1" operator="equal">
      <formula>"B2"</formula>
    </cfRule>
    <cfRule type="cellIs" dxfId="1800" priority="2829" stopIfTrue="1" operator="equal">
      <formula>"B1"</formula>
    </cfRule>
    <cfRule type="expression" dxfId="1799" priority="2830" stopIfTrue="1">
      <formula>B278</formula>
    </cfRule>
    <cfRule type="cellIs" dxfId="1798" priority="2831" stopIfTrue="1" operator="equal">
      <formula>"D"</formula>
    </cfRule>
  </conditionalFormatting>
  <conditionalFormatting sqref="M299:M305">
    <cfRule type="cellIs" dxfId="1797" priority="2834" stopIfTrue="1" operator="equal">
      <formula>"B1"</formula>
    </cfRule>
    <cfRule type="expression" dxfId="1796" priority="2835" stopIfTrue="1">
      <formula>B278</formula>
    </cfRule>
  </conditionalFormatting>
  <conditionalFormatting sqref="M299:M305">
    <cfRule type="cellIs" dxfId="1795" priority="2838" stopIfTrue="1" operator="equal">
      <formula>"B2"</formula>
    </cfRule>
    <cfRule type="expression" dxfId="1794" priority="2839" stopIfTrue="1">
      <formula>B278</formula>
    </cfRule>
  </conditionalFormatting>
  <conditionalFormatting sqref="M352:M353">
    <cfRule type="cellIs" dxfId="1793" priority="2880" stopIfTrue="1" operator="equal">
      <formula>"C2"</formula>
    </cfRule>
    <cfRule type="cellIs" dxfId="1792" priority="2881" stopIfTrue="1" operator="equal">
      <formula>"C1"</formula>
    </cfRule>
    <cfRule type="cellIs" dxfId="1791" priority="2882" stopIfTrue="1" operator="equal">
      <formula>"C2"</formula>
    </cfRule>
    <cfRule type="cellIs" dxfId="1790" priority="2883" stopIfTrue="1" operator="equal">
      <formula>"D"</formula>
    </cfRule>
    <cfRule type="cellIs" dxfId="1789" priority="2884" stopIfTrue="1" operator="equal">
      <formula>"E"</formula>
    </cfRule>
    <cfRule type="cellIs" dxfId="1788" priority="2885" stopIfTrue="1" operator="equal">
      <formula>"A DN"</formula>
    </cfRule>
    <cfRule type="cellIs" dxfId="1787" priority="2886" stopIfTrue="1" operator="equal">
      <formula>"A DN"</formula>
    </cfRule>
    <cfRule type="cellIs" dxfId="1786" priority="2887" stopIfTrue="1" operator="equal">
      <formula>"E"</formula>
    </cfRule>
    <cfRule type="cellIs" dxfId="1785" priority="2888" stopIfTrue="1" operator="equal">
      <formula>"D"</formula>
    </cfRule>
    <cfRule type="cellIs" dxfId="1784" priority="2889" stopIfTrue="1" operator="equal">
      <formula>"D1"</formula>
    </cfRule>
    <cfRule type="cellIs" dxfId="1783" priority="2890" stopIfTrue="1" operator="equal">
      <formula>"C2"</formula>
    </cfRule>
    <cfRule type="cellIs" dxfId="1782" priority="2891" stopIfTrue="1" operator="equal">
      <formula>"C1"</formula>
    </cfRule>
    <cfRule type="cellIs" dxfId="1781" priority="2892" stopIfTrue="1" operator="equal">
      <formula>"B2"</formula>
    </cfRule>
    <cfRule type="cellIs" dxfId="1780" priority="2893" stopIfTrue="1" operator="equal">
      <formula>"B1"</formula>
    </cfRule>
    <cfRule type="expression" dxfId="1779" priority="2894" stopIfTrue="1">
      <formula>B277</formula>
    </cfRule>
    <cfRule type="cellIs" dxfId="1778" priority="2895" stopIfTrue="1" operator="equal">
      <formula>"D"</formula>
    </cfRule>
  </conditionalFormatting>
  <conditionalFormatting sqref="M352:M353">
    <cfRule type="cellIs" dxfId="1777" priority="2896" stopIfTrue="1" operator="equal">
      <formula>"B1"</formula>
    </cfRule>
    <cfRule type="expression" dxfId="1776" priority="2897" stopIfTrue="1">
      <formula>B277</formula>
    </cfRule>
  </conditionalFormatting>
  <conditionalFormatting sqref="M352:M353">
    <cfRule type="cellIs" dxfId="1775" priority="2898" stopIfTrue="1" operator="equal">
      <formula>"B2"</formula>
    </cfRule>
    <cfRule type="expression" dxfId="1774" priority="2899" stopIfTrue="1">
      <formula>B277</formula>
    </cfRule>
  </conditionalFormatting>
  <conditionalFormatting sqref="B312:B320">
    <cfRule type="cellIs" dxfId="1773" priority="17" stopIfTrue="1" operator="equal">
      <formula>"KXL"</formula>
    </cfRule>
    <cfRule type="cellIs" dxfId="1772" priority="18" stopIfTrue="1" operator="equal">
      <formula>"A DN"</formula>
    </cfRule>
    <cfRule type="cellIs" dxfId="1771" priority="19" stopIfTrue="1" operator="equal">
      <formula>"C"</formula>
    </cfRule>
    <cfRule type="cellIs" dxfId="1770" priority="20" stopIfTrue="1" operator="equal">
      <formula>"B"</formula>
    </cfRule>
  </conditionalFormatting>
  <conditionalFormatting sqref="B295:B307">
    <cfRule type="cellIs" dxfId="1769" priority="13" stopIfTrue="1" operator="equal">
      <formula>"KXL"</formula>
    </cfRule>
    <cfRule type="cellIs" dxfId="1768" priority="14" stopIfTrue="1" operator="equal">
      <formula>"A DN"</formula>
    </cfRule>
    <cfRule type="cellIs" dxfId="1767" priority="15" stopIfTrue="1" operator="equal">
      <formula>"C"</formula>
    </cfRule>
    <cfRule type="cellIs" dxfId="1766" priority="16" stopIfTrue="1" operator="equal">
      <formula>"B"</formula>
    </cfRule>
  </conditionalFormatting>
  <conditionalFormatting sqref="A368:AE368">
    <cfRule type="cellIs" dxfId="1765" priority="9" stopIfTrue="1" operator="equal">
      <formula>"KXL"</formula>
    </cfRule>
    <cfRule type="cellIs" dxfId="1764" priority="10" stopIfTrue="1" operator="equal">
      <formula>"A DN"</formula>
    </cfRule>
    <cfRule type="cellIs" dxfId="1763" priority="11" stopIfTrue="1" operator="equal">
      <formula>"C"</formula>
    </cfRule>
    <cfRule type="cellIs" dxfId="1762" priority="12" stopIfTrue="1" operator="equal">
      <formula>"B"</formula>
    </cfRule>
  </conditionalFormatting>
  <conditionalFormatting sqref="A361:AE366">
    <cfRule type="cellIs" dxfId="1761" priority="5" stopIfTrue="1" operator="equal">
      <formula>"KXL"</formula>
    </cfRule>
    <cfRule type="cellIs" dxfId="1760" priority="6" stopIfTrue="1" operator="equal">
      <formula>"A DN"</formula>
    </cfRule>
    <cfRule type="cellIs" dxfId="1759" priority="7" stopIfTrue="1" operator="equal">
      <formula>"C"</formula>
    </cfRule>
    <cfRule type="cellIs" dxfId="1758" priority="8" stopIfTrue="1" operator="equal">
      <formula>"B"</formula>
    </cfRule>
  </conditionalFormatting>
  <conditionalFormatting sqref="A359:Y359 A360:J360 A367:J367">
    <cfRule type="cellIs" dxfId="1757" priority="1" stopIfTrue="1" operator="equal">
      <formula>"KXL"</formula>
    </cfRule>
    <cfRule type="cellIs" dxfId="1756" priority="2" stopIfTrue="1" operator="equal">
      <formula>"A DN"</formula>
    </cfRule>
    <cfRule type="cellIs" dxfId="1755" priority="3" stopIfTrue="1" operator="equal">
      <formula>"C"</formula>
    </cfRule>
    <cfRule type="cellIs" dxfId="1754" priority="4" stopIfTrue="1" operator="equal">
      <formula>"B"</formula>
    </cfRule>
  </conditionalFormatting>
  <conditionalFormatting sqref="M30:M31">
    <cfRule type="expression" dxfId="1753" priority="2954" stopIfTrue="1">
      <formula>"if=B1"</formula>
    </cfRule>
    <cfRule type="expression" dxfId="1752" priority="2955" stopIfTrue="1">
      <formula>$B18</formula>
    </cfRule>
    <cfRule type="expression" dxfId="1751" priority="2956" stopIfTrue="1">
      <formula>B18</formula>
    </cfRule>
  </conditionalFormatting>
  <conditionalFormatting sqref="M21:M290">
    <cfRule type="cellIs" dxfId="1750" priority="2960" stopIfTrue="1" operator="equal">
      <formula>"C2"</formula>
    </cfRule>
    <cfRule type="cellIs" dxfId="1749" priority="2961" stopIfTrue="1" operator="equal">
      <formula>"C1"</formula>
    </cfRule>
    <cfRule type="cellIs" dxfId="1748" priority="2962" stopIfTrue="1" operator="equal">
      <formula>"C2"</formula>
    </cfRule>
    <cfRule type="cellIs" dxfId="1747" priority="2963" stopIfTrue="1" operator="equal">
      <formula>"D"</formula>
    </cfRule>
    <cfRule type="cellIs" dxfId="1746" priority="2964" stopIfTrue="1" operator="equal">
      <formula>"E"</formula>
    </cfRule>
    <cfRule type="cellIs" dxfId="1745" priority="2965" stopIfTrue="1" operator="equal">
      <formula>"A DN"</formula>
    </cfRule>
    <cfRule type="cellIs" dxfId="1744" priority="2966" stopIfTrue="1" operator="equal">
      <formula>"A DN"</formula>
    </cfRule>
    <cfRule type="cellIs" dxfId="1743" priority="2967" stopIfTrue="1" operator="equal">
      <formula>"E"</formula>
    </cfRule>
    <cfRule type="cellIs" dxfId="1742" priority="2968" stopIfTrue="1" operator="equal">
      <formula>"D"</formula>
    </cfRule>
    <cfRule type="cellIs" dxfId="1741" priority="2969" stopIfTrue="1" operator="equal">
      <formula>"D1"</formula>
    </cfRule>
    <cfRule type="cellIs" dxfId="1740" priority="2970" stopIfTrue="1" operator="equal">
      <formula>"C2"</formula>
    </cfRule>
    <cfRule type="cellIs" dxfId="1739" priority="2971" stopIfTrue="1" operator="equal">
      <formula>"C1"</formula>
    </cfRule>
    <cfRule type="cellIs" dxfId="1738" priority="2972" stopIfTrue="1" operator="equal">
      <formula>"B2"</formula>
    </cfRule>
    <cfRule type="cellIs" dxfId="1737" priority="2973" stopIfTrue="1" operator="equal">
      <formula>"B1"</formula>
    </cfRule>
    <cfRule type="expression" dxfId="1736" priority="2974" stopIfTrue="1">
      <formula>B8</formula>
    </cfRule>
    <cfRule type="cellIs" dxfId="1735" priority="2975" stopIfTrue="1" operator="equal">
      <formula>"D"</formula>
    </cfRule>
  </conditionalFormatting>
  <conditionalFormatting sqref="M21:M290">
    <cfRule type="cellIs" dxfId="1734" priority="2976" stopIfTrue="1" operator="equal">
      <formula>"B1"</formula>
    </cfRule>
    <cfRule type="expression" dxfId="1733" priority="2977" stopIfTrue="1">
      <formula>B8</formula>
    </cfRule>
  </conditionalFormatting>
  <conditionalFormatting sqref="M21:M290">
    <cfRule type="cellIs" dxfId="1732" priority="2978" stopIfTrue="1" operator="equal">
      <formula>"B2"</formula>
    </cfRule>
    <cfRule type="expression" dxfId="1731" priority="2979" stopIfTrue="1">
      <formula>B8</formula>
    </cfRule>
  </conditionalFormatting>
  <conditionalFormatting sqref="M325:M334">
    <cfRule type="expression" dxfId="1730" priority="2986" stopIfTrue="1">
      <formula>"if=B1"</formula>
    </cfRule>
    <cfRule type="expression" dxfId="1729" priority="2987" stopIfTrue="1">
      <formula>$B279</formula>
    </cfRule>
    <cfRule type="expression" dxfId="1728" priority="2988" stopIfTrue="1">
      <formula>B279</formula>
    </cfRule>
  </conditionalFormatting>
  <conditionalFormatting sqref="M291:M298">
    <cfRule type="cellIs" dxfId="1727" priority="3048" stopIfTrue="1" operator="equal">
      <formula>"C2"</formula>
    </cfRule>
    <cfRule type="cellIs" dxfId="1726" priority="3049" stopIfTrue="1" operator="equal">
      <formula>"C1"</formula>
    </cfRule>
    <cfRule type="cellIs" dxfId="1725" priority="3050" stopIfTrue="1" operator="equal">
      <formula>"C2"</formula>
    </cfRule>
    <cfRule type="cellIs" dxfId="1724" priority="3051" stopIfTrue="1" operator="equal">
      <formula>"D"</formula>
    </cfRule>
    <cfRule type="cellIs" dxfId="1723" priority="3052" stopIfTrue="1" operator="equal">
      <formula>"E"</formula>
    </cfRule>
    <cfRule type="cellIs" dxfId="1722" priority="3053" stopIfTrue="1" operator="equal">
      <formula>"A DN"</formula>
    </cfRule>
    <cfRule type="cellIs" dxfId="1721" priority="3054" stopIfTrue="1" operator="equal">
      <formula>"A DN"</formula>
    </cfRule>
    <cfRule type="cellIs" dxfId="1720" priority="3055" stopIfTrue="1" operator="equal">
      <formula>"E"</formula>
    </cfRule>
    <cfRule type="cellIs" dxfId="1719" priority="3056" stopIfTrue="1" operator="equal">
      <formula>"D"</formula>
    </cfRule>
    <cfRule type="cellIs" dxfId="1718" priority="3057" stopIfTrue="1" operator="equal">
      <formula>"D1"</formula>
    </cfRule>
    <cfRule type="cellIs" dxfId="1717" priority="3058" stopIfTrue="1" operator="equal">
      <formula>"C2"</formula>
    </cfRule>
    <cfRule type="cellIs" dxfId="1716" priority="3059" stopIfTrue="1" operator="equal">
      <formula>"C1"</formula>
    </cfRule>
    <cfRule type="cellIs" dxfId="1715" priority="3060" stopIfTrue="1" operator="equal">
      <formula>"B2"</formula>
    </cfRule>
    <cfRule type="cellIs" dxfId="1714" priority="3061" stopIfTrue="1" operator="equal">
      <formula>"B1"</formula>
    </cfRule>
    <cfRule type="expression" dxfId="1713" priority="3062" stopIfTrue="1">
      <formula>B276</formula>
    </cfRule>
    <cfRule type="cellIs" dxfId="1712" priority="3063" stopIfTrue="1" operator="equal">
      <formula>"D"</formula>
    </cfRule>
  </conditionalFormatting>
  <conditionalFormatting sqref="M291:M298">
    <cfRule type="cellIs" dxfId="1711" priority="3066" stopIfTrue="1" operator="equal">
      <formula>"B1"</formula>
    </cfRule>
    <cfRule type="expression" dxfId="1710" priority="3067" stopIfTrue="1">
      <formula>B276</formula>
    </cfRule>
  </conditionalFormatting>
  <conditionalFormatting sqref="M291:M298">
    <cfRule type="cellIs" dxfId="1709" priority="3070" stopIfTrue="1" operator="equal">
      <formula>"B2"</formula>
    </cfRule>
    <cfRule type="expression" dxfId="1708" priority="3071" stopIfTrue="1">
      <formula>B276</formula>
    </cfRule>
  </conditionalFormatting>
  <conditionalFormatting sqref="M325:M337">
    <cfRule type="cellIs" dxfId="1707" priority="3075" stopIfTrue="1" operator="equal">
      <formula>"C2"</formula>
    </cfRule>
    <cfRule type="cellIs" dxfId="1706" priority="3076" stopIfTrue="1" operator="equal">
      <formula>"C1"</formula>
    </cfRule>
    <cfRule type="cellIs" dxfId="1705" priority="3077" stopIfTrue="1" operator="equal">
      <formula>"C2"</formula>
    </cfRule>
    <cfRule type="cellIs" dxfId="1704" priority="3078" stopIfTrue="1" operator="equal">
      <formula>"D"</formula>
    </cfRule>
    <cfRule type="cellIs" dxfId="1703" priority="3079" stopIfTrue="1" operator="equal">
      <formula>"E"</formula>
    </cfRule>
    <cfRule type="cellIs" dxfId="1702" priority="3080" stopIfTrue="1" operator="equal">
      <formula>"A DN"</formula>
    </cfRule>
    <cfRule type="cellIs" dxfId="1701" priority="3081" stopIfTrue="1" operator="equal">
      <formula>"A DN"</formula>
    </cfRule>
    <cfRule type="cellIs" dxfId="1700" priority="3082" stopIfTrue="1" operator="equal">
      <formula>"E"</formula>
    </cfRule>
    <cfRule type="cellIs" dxfId="1699" priority="3083" stopIfTrue="1" operator="equal">
      <formula>"D"</formula>
    </cfRule>
    <cfRule type="cellIs" dxfId="1698" priority="3084" stopIfTrue="1" operator="equal">
      <formula>"D1"</formula>
    </cfRule>
    <cfRule type="cellIs" dxfId="1697" priority="3085" stopIfTrue="1" operator="equal">
      <formula>"C2"</formula>
    </cfRule>
    <cfRule type="cellIs" dxfId="1696" priority="3086" stopIfTrue="1" operator="equal">
      <formula>"C1"</formula>
    </cfRule>
    <cfRule type="cellIs" dxfId="1695" priority="3087" stopIfTrue="1" operator="equal">
      <formula>"B2"</formula>
    </cfRule>
    <cfRule type="cellIs" dxfId="1694" priority="3088" stopIfTrue="1" operator="equal">
      <formula>"B1"</formula>
    </cfRule>
    <cfRule type="expression" dxfId="1693" priority="3089" stopIfTrue="1">
      <formula>B278</formula>
    </cfRule>
    <cfRule type="cellIs" dxfId="1692" priority="3090" stopIfTrue="1" operator="equal">
      <formula>"D"</formula>
    </cfRule>
  </conditionalFormatting>
  <conditionalFormatting sqref="M325:M337">
    <cfRule type="cellIs" dxfId="1691" priority="3091" stopIfTrue="1" operator="equal">
      <formula>"B1"</formula>
    </cfRule>
    <cfRule type="expression" dxfId="1690" priority="3092" stopIfTrue="1">
      <formula>B278</formula>
    </cfRule>
  </conditionalFormatting>
  <conditionalFormatting sqref="M325:M337">
    <cfRule type="cellIs" dxfId="1689" priority="3093" stopIfTrue="1" operator="equal">
      <formula>"B2"</formula>
    </cfRule>
    <cfRule type="expression" dxfId="1688" priority="3094" stopIfTrue="1">
      <formula>B278</formula>
    </cfRule>
  </conditionalFormatting>
  <conditionalFormatting sqref="M338:M351">
    <cfRule type="cellIs" dxfId="1687" priority="3095" stopIfTrue="1" operator="equal">
      <formula>"C2"</formula>
    </cfRule>
    <cfRule type="cellIs" dxfId="1686" priority="3096" stopIfTrue="1" operator="equal">
      <formula>"C1"</formula>
    </cfRule>
    <cfRule type="cellIs" dxfId="1685" priority="3097" stopIfTrue="1" operator="equal">
      <formula>"C2"</formula>
    </cfRule>
    <cfRule type="cellIs" dxfId="1684" priority="3098" stopIfTrue="1" operator="equal">
      <formula>"D"</formula>
    </cfRule>
    <cfRule type="cellIs" dxfId="1683" priority="3099" stopIfTrue="1" operator="equal">
      <formula>"E"</formula>
    </cfRule>
    <cfRule type="cellIs" dxfId="1682" priority="3100" stopIfTrue="1" operator="equal">
      <formula>"A DN"</formula>
    </cfRule>
    <cfRule type="cellIs" dxfId="1681" priority="3101" stopIfTrue="1" operator="equal">
      <formula>"A DN"</formula>
    </cfRule>
    <cfRule type="cellIs" dxfId="1680" priority="3102" stopIfTrue="1" operator="equal">
      <formula>"E"</formula>
    </cfRule>
    <cfRule type="cellIs" dxfId="1679" priority="3103" stopIfTrue="1" operator="equal">
      <formula>"D"</formula>
    </cfRule>
    <cfRule type="cellIs" dxfId="1678" priority="3104" stopIfTrue="1" operator="equal">
      <formula>"D1"</formula>
    </cfRule>
    <cfRule type="cellIs" dxfId="1677" priority="3105" stopIfTrue="1" operator="equal">
      <formula>"C2"</formula>
    </cfRule>
    <cfRule type="cellIs" dxfId="1676" priority="3106" stopIfTrue="1" operator="equal">
      <formula>"C1"</formula>
    </cfRule>
    <cfRule type="cellIs" dxfId="1675" priority="3107" stopIfTrue="1" operator="equal">
      <formula>"B2"</formula>
    </cfRule>
    <cfRule type="cellIs" dxfId="1674" priority="3108" stopIfTrue="1" operator="equal">
      <formula>"B1"</formula>
    </cfRule>
    <cfRule type="expression" dxfId="1673" priority="3109" stopIfTrue="1">
      <formula>B277</formula>
    </cfRule>
    <cfRule type="cellIs" dxfId="1672" priority="3110" stopIfTrue="1" operator="equal">
      <formula>"D"</formula>
    </cfRule>
  </conditionalFormatting>
  <conditionalFormatting sqref="M338:M351">
    <cfRule type="cellIs" dxfId="1671" priority="3111" stopIfTrue="1" operator="equal">
      <formula>"B1"</formula>
    </cfRule>
    <cfRule type="expression" dxfId="1670" priority="3112" stopIfTrue="1">
      <formula>B277</formula>
    </cfRule>
  </conditionalFormatting>
  <conditionalFormatting sqref="M338:M351">
    <cfRule type="cellIs" dxfId="1669" priority="3113" stopIfTrue="1" operator="equal">
      <formula>"B2"</formula>
    </cfRule>
    <cfRule type="expression" dxfId="1668"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694" t="s">
        <v>492</v>
      </c>
      <c r="B1" s="1694"/>
      <c r="C1" s="1694"/>
      <c r="D1" s="1694"/>
      <c r="E1" s="1694"/>
      <c r="F1" s="1694"/>
      <c r="G1" s="1694"/>
      <c r="H1" s="1694"/>
      <c r="I1" s="1694"/>
      <c r="J1" s="1694"/>
      <c r="K1" s="1694"/>
      <c r="L1" s="1694"/>
      <c r="N1" s="19"/>
      <c r="O1" s="19"/>
      <c r="P1" s="19"/>
      <c r="Q1" s="467"/>
      <c r="R1" s="1678" t="s">
        <v>849</v>
      </c>
      <c r="S1" s="1678"/>
      <c r="T1" s="1678"/>
      <c r="U1" s="1678"/>
      <c r="V1" s="1678"/>
      <c r="W1" s="1678"/>
      <c r="X1" s="1678"/>
      <c r="Y1" s="1678"/>
      <c r="Z1" s="1678"/>
    </row>
    <row r="2" spans="1:63" ht="15" customHeight="1">
      <c r="A2" s="1678" t="s">
        <v>1563</v>
      </c>
      <c r="B2" s="1678"/>
      <c r="C2" s="1678"/>
      <c r="D2" s="1678"/>
      <c r="E2" s="1678"/>
      <c r="F2" s="1678"/>
      <c r="G2" s="1678"/>
      <c r="H2" s="1678"/>
      <c r="I2" s="1678"/>
      <c r="J2" s="1678"/>
      <c r="K2" s="1678"/>
      <c r="L2" s="1678"/>
      <c r="N2" s="19"/>
      <c r="O2" s="19"/>
      <c r="P2" s="19"/>
      <c r="Q2" s="467"/>
      <c r="R2" s="1678" t="s">
        <v>851</v>
      </c>
      <c r="S2" s="1678"/>
      <c r="T2" s="1678"/>
      <c r="U2" s="1678"/>
      <c r="V2" s="1678"/>
      <c r="W2" s="1678"/>
      <c r="X2" s="1678"/>
      <c r="Y2" s="1678"/>
      <c r="Z2" s="1678"/>
    </row>
    <row r="3" spans="1:63" ht="16.5" customHeight="1">
      <c r="A3" s="1678" t="s">
        <v>1564</v>
      </c>
      <c r="B3" s="1678"/>
      <c r="C3" s="1678"/>
      <c r="D3" s="1678"/>
      <c r="E3" s="1678"/>
      <c r="F3" s="1678"/>
      <c r="G3" s="1678"/>
      <c r="H3" s="1678"/>
      <c r="I3" s="1678"/>
      <c r="J3" s="1678"/>
      <c r="K3" s="1678"/>
      <c r="L3" s="1678"/>
      <c r="M3" s="104"/>
      <c r="N3" s="689"/>
      <c r="O3" s="689"/>
      <c r="P3" s="17"/>
      <c r="Q3" s="468"/>
      <c r="R3" s="17"/>
      <c r="S3" s="397"/>
      <c r="T3" s="17"/>
      <c r="U3" s="607"/>
      <c r="V3" s="17"/>
      <c r="W3" s="17"/>
      <c r="X3" s="17"/>
      <c r="Y3" s="16"/>
    </row>
    <row r="4" spans="1:63" ht="9" customHeight="1">
      <c r="A4" s="691"/>
      <c r="B4" s="691"/>
      <c r="C4" s="691"/>
      <c r="D4" s="691"/>
      <c r="E4" s="691"/>
      <c r="F4" s="691"/>
      <c r="G4" s="691"/>
      <c r="H4" s="691"/>
      <c r="I4" s="691"/>
      <c r="J4" s="691"/>
      <c r="K4" s="691"/>
      <c r="L4" s="691"/>
      <c r="M4" s="104"/>
      <c r="N4" s="689"/>
      <c r="O4" s="689"/>
      <c r="P4" s="17"/>
      <c r="Q4" s="468"/>
      <c r="R4" s="17"/>
      <c r="S4" s="397"/>
      <c r="T4" s="17"/>
      <c r="U4" s="607"/>
      <c r="V4" s="17"/>
      <c r="W4" s="17"/>
      <c r="X4" s="17"/>
      <c r="Y4" s="16"/>
    </row>
    <row r="5" spans="1:63" ht="18.75" customHeight="1">
      <c r="A5" s="1682" t="s">
        <v>2163</v>
      </c>
      <c r="B5" s="1682"/>
      <c r="C5" s="1682"/>
      <c r="D5" s="1682"/>
      <c r="E5" s="1682"/>
      <c r="F5" s="1682"/>
      <c r="G5" s="1682"/>
      <c r="H5" s="1682"/>
      <c r="I5" s="1682"/>
      <c r="J5" s="1682"/>
      <c r="K5" s="1682"/>
      <c r="L5" s="1682"/>
      <c r="M5" s="1682"/>
      <c r="N5" s="1682"/>
      <c r="O5" s="1682"/>
      <c r="P5" s="1682"/>
      <c r="Q5" s="1682"/>
      <c r="R5" s="1682"/>
      <c r="S5" s="1682"/>
      <c r="T5" s="1682"/>
      <c r="U5" s="1682"/>
      <c r="V5" s="1682"/>
      <c r="W5" s="1682"/>
      <c r="X5" s="1682"/>
      <c r="Y5" s="1682"/>
      <c r="Z5" s="1682"/>
    </row>
    <row r="6" spans="1:63" ht="18.75" customHeight="1">
      <c r="A6" s="1682" t="s">
        <v>1600</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row>
    <row r="7" spans="1:63" ht="54" customHeight="1">
      <c r="A7" s="1683" t="s">
        <v>2007</v>
      </c>
      <c r="B7" s="1683"/>
      <c r="C7" s="1683"/>
      <c r="D7" s="1683"/>
      <c r="E7" s="1683"/>
      <c r="F7" s="1683"/>
      <c r="G7" s="1683"/>
      <c r="H7" s="1683"/>
      <c r="I7" s="1683"/>
      <c r="J7" s="1683"/>
      <c r="K7" s="1683"/>
      <c r="L7" s="1683"/>
      <c r="M7" s="1683"/>
      <c r="N7" s="1683"/>
      <c r="O7" s="1683"/>
      <c r="P7" s="1683"/>
      <c r="Q7" s="1683"/>
      <c r="R7" s="1683"/>
      <c r="S7" s="1683"/>
      <c r="T7" s="1683"/>
      <c r="U7" s="1683"/>
      <c r="V7" s="1683"/>
      <c r="W7" s="1683"/>
      <c r="X7" s="1683"/>
      <c r="Y7" s="1683"/>
      <c r="Z7" s="1683"/>
    </row>
    <row r="8" spans="1:63" s="521" customFormat="1" ht="16.5" customHeight="1">
      <c r="A8" s="520" t="s">
        <v>2013</v>
      </c>
      <c r="C8" s="522">
        <v>1490000</v>
      </c>
      <c r="D8" s="523"/>
      <c r="E8" s="523"/>
      <c r="F8" s="692"/>
      <c r="G8" s="525">
        <v>1800000</v>
      </c>
      <c r="H8" s="525"/>
      <c r="I8" s="526"/>
      <c r="J8" s="527"/>
      <c r="K8" s="528"/>
      <c r="L8" s="526"/>
      <c r="M8" s="529"/>
      <c r="N8" s="1684"/>
      <c r="O8" s="1684"/>
      <c r="P8" s="1684"/>
      <c r="Q8" s="1684"/>
      <c r="R8" s="1684"/>
      <c r="S8" s="530"/>
      <c r="T8" s="531"/>
      <c r="U8" s="608"/>
      <c r="V8" s="685" t="s">
        <v>1181</v>
      </c>
      <c r="W8" s="685"/>
      <c r="X8" s="685"/>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8" t="s">
        <v>853</v>
      </c>
      <c r="B10" s="1685" t="s">
        <v>854</v>
      </c>
      <c r="C10" s="1685"/>
      <c r="D10" s="93" t="s">
        <v>1598</v>
      </c>
      <c r="E10" s="437" t="s">
        <v>50</v>
      </c>
      <c r="F10" s="45" t="s">
        <v>1137</v>
      </c>
      <c r="G10" s="228" t="s">
        <v>1138</v>
      </c>
      <c r="H10" s="45" t="s">
        <v>1139</v>
      </c>
      <c r="I10" s="45" t="s">
        <v>1140</v>
      </c>
      <c r="J10" s="83" t="s">
        <v>855</v>
      </c>
      <c r="K10" s="364" t="s">
        <v>1141</v>
      </c>
      <c r="L10" s="688" t="s">
        <v>860</v>
      </c>
      <c r="M10" s="688" t="s">
        <v>1186</v>
      </c>
      <c r="N10" s="688" t="s">
        <v>861</v>
      </c>
      <c r="O10" s="688" t="s">
        <v>857</v>
      </c>
      <c r="P10" s="688" t="s">
        <v>1187</v>
      </c>
      <c r="Q10" s="470" t="s">
        <v>1247</v>
      </c>
      <c r="R10" s="98" t="s">
        <v>1188</v>
      </c>
      <c r="S10" s="399" t="s">
        <v>1184</v>
      </c>
      <c r="T10" s="688" t="s">
        <v>1189</v>
      </c>
      <c r="U10" s="610" t="s">
        <v>1190</v>
      </c>
      <c r="V10" s="693" t="s">
        <v>1100</v>
      </c>
      <c r="W10" s="631" t="s">
        <v>2162</v>
      </c>
      <c r="X10" s="631" t="s">
        <v>2161</v>
      </c>
      <c r="Y10" s="1700" t="s">
        <v>40</v>
      </c>
      <c r="Z10" s="1701"/>
      <c r="AA10" s="454"/>
      <c r="AD10" s="159"/>
    </row>
    <row r="11" spans="1:63" s="113" customFormat="1" ht="15" customHeight="1">
      <c r="A11" s="686" t="s">
        <v>1110</v>
      </c>
      <c r="B11" s="1679" t="s">
        <v>1111</v>
      </c>
      <c r="C11" s="1679"/>
      <c r="D11" s="686"/>
      <c r="E11" s="438"/>
      <c r="F11" s="686" t="s">
        <v>1112</v>
      </c>
      <c r="G11" s="686" t="s">
        <v>1113</v>
      </c>
      <c r="H11" s="686" t="s">
        <v>1114</v>
      </c>
      <c r="I11" s="686" t="s">
        <v>1115</v>
      </c>
      <c r="J11" s="77" t="s">
        <v>1112</v>
      </c>
      <c r="K11" s="365" t="s">
        <v>1117</v>
      </c>
      <c r="L11" s="686" t="s">
        <v>1113</v>
      </c>
      <c r="M11" s="686" t="s">
        <v>1114</v>
      </c>
      <c r="N11" s="686" t="s">
        <v>1115</v>
      </c>
      <c r="O11" s="686" t="s">
        <v>1116</v>
      </c>
      <c r="P11" s="686" t="s">
        <v>1117</v>
      </c>
      <c r="Q11" s="471" t="s">
        <v>1125</v>
      </c>
      <c r="R11" s="686" t="s">
        <v>1118</v>
      </c>
      <c r="S11" s="400" t="s">
        <v>1127</v>
      </c>
      <c r="T11" s="686">
        <v>10</v>
      </c>
      <c r="U11" s="611" t="s">
        <v>2022</v>
      </c>
      <c r="V11" s="686">
        <v>11</v>
      </c>
      <c r="W11" s="690"/>
      <c r="X11" s="690"/>
      <c r="Y11" s="1688">
        <v>12</v>
      </c>
      <c r="Z11" s="1689"/>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t="e">
        <f>VLOOKUP(B12,CN!B13:O271,15,FALSE)</f>
        <v>#REF!</v>
      </c>
      <c r="X12" s="694" t="e">
        <f>V12-W12</f>
        <v>#REF!</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t="e">
        <f>VLOOKUP(B13,CN!B13:O272,15,FALSE)</f>
        <v>#REF!</v>
      </c>
      <c r="X13" s="694" t="e">
        <f t="shared" ref="X13:X73" si="10">V13-W13</f>
        <v>#REF!</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t="e">
        <f>VLOOKUP(B14,CN!B14:O273,15,FALSE)</f>
        <v>#REF!</v>
      </c>
      <c r="X14" s="694" t="e">
        <f t="shared" si="10"/>
        <v>#REF!</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t="e">
        <f>VLOOKUP(B15,CN!B15:O274,15,FALSE)</f>
        <v>#REF!</v>
      </c>
      <c r="X15" s="694" t="e">
        <f t="shared" si="10"/>
        <v>#REF!</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t="e">
        <f>VLOOKUP(B16,CN!B16:O275,15,FALSE)</f>
        <v>#REF!</v>
      </c>
      <c r="X16" s="694" t="e">
        <f t="shared" si="10"/>
        <v>#REF!</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t="e">
        <f>VLOOKUP(B17,CN!B16:O276,15,FALSE)</f>
        <v>#REF!</v>
      </c>
      <c r="X17" s="694" t="e">
        <f t="shared" si="10"/>
        <v>#REF!</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VLOOKUP(B18,CN!B17:O277,15,FALSE)</f>
        <v>#N/A</v>
      </c>
      <c r="X18" s="694"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t="e">
        <f>VLOOKUP(B19,CN!B19:O278,15,FALSE)</f>
        <v>#REF!</v>
      </c>
      <c r="X19" s="694" t="e">
        <f t="shared" si="10"/>
        <v>#REF!</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t="e">
        <f>VLOOKUP(B20,CN!B21:O279,15,FALSE)</f>
        <v>#REF!</v>
      </c>
      <c r="X20" s="694" t="e">
        <f t="shared" si="10"/>
        <v>#REF!</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t="e">
        <f>VLOOKUP(B21,CN!B22:O280,15,FALSE)</f>
        <v>#REF!</v>
      </c>
      <c r="X21" s="694" t="e">
        <f t="shared" si="10"/>
        <v>#REF!</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t="e">
        <f>VLOOKUP(B22,CN!B23:O281,15,FALSE)</f>
        <v>#REF!</v>
      </c>
      <c r="X22" s="694" t="e">
        <f t="shared" si="10"/>
        <v>#REF!</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t="e">
        <f>VLOOKUP(B23,CN!B24:O282,15,FALSE)</f>
        <v>#REF!</v>
      </c>
      <c r="X23" s="694" t="e">
        <f t="shared" si="10"/>
        <v>#REF!</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t="e">
        <f>VLOOKUP(B24,CN!B20:O283,15,FALSE)</f>
        <v>#REF!</v>
      </c>
      <c r="X24" s="694" t="e">
        <f t="shared" si="10"/>
        <v>#REF!</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t="e">
        <f>VLOOKUP(B25,CN!B18:O285,15,FALSE)</f>
        <v>#REF!</v>
      </c>
      <c r="X25" s="694" t="e">
        <f t="shared" si="10"/>
        <v>#REF!</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t="e">
        <f>VLOOKUP(B26,CN!B26:O287,15,FALSE)</f>
        <v>#REF!</v>
      </c>
      <c r="X26" s="694" t="e">
        <f t="shared" si="10"/>
        <v>#REF!</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t="e">
        <f>VLOOKUP(B27,CN!B27:O288,15,FALSE)</f>
        <v>#REF!</v>
      </c>
      <c r="X27" s="694" t="e">
        <f t="shared" si="10"/>
        <v>#REF!</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t="e">
        <f>VLOOKUP(B28,CN!B28:O289,15,FALSE)</f>
        <v>#REF!</v>
      </c>
      <c r="X28" s="694" t="e">
        <f t="shared" si="10"/>
        <v>#REF!</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t="e">
        <f>VLOOKUP(B29,CN!B29:O290,15,FALSE)</f>
        <v>#REF!</v>
      </c>
      <c r="X29" s="694" t="e">
        <f t="shared" si="10"/>
        <v>#REF!</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VLOOKUP(B30,CN!B30:O291,15,FALSE)</f>
        <v>#N/A</v>
      </c>
      <c r="X30" s="694"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t="e">
        <f>VLOOKUP(B31,CN!B31:O292,15,FALSE)</f>
        <v>#REF!</v>
      </c>
      <c r="X31" s="694" t="e">
        <f t="shared" si="10"/>
        <v>#REF!</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t="e">
        <f>VLOOKUP(B32,CN!B32:O293,15,FALSE)</f>
        <v>#REF!</v>
      </c>
      <c r="X32" s="694" t="e">
        <f t="shared" si="10"/>
        <v>#REF!</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t="e">
        <f>VLOOKUP(B33,CN!B33:O294,15,FALSE)</f>
        <v>#REF!</v>
      </c>
      <c r="X33" s="694" t="e">
        <f>V33-W33</f>
        <v>#REF!</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t="e">
        <f>VLOOKUP(B34,CN!B34:O295,15,FALSE)</f>
        <v>#REF!</v>
      </c>
      <c r="X34" s="694" t="e">
        <f t="shared" si="10"/>
        <v>#REF!</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t="e">
        <f>VLOOKUP(B35,CN!B35:O296,15,FALSE)</f>
        <v>#REF!</v>
      </c>
      <c r="X35" s="694" t="e">
        <f t="shared" si="10"/>
        <v>#REF!</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t="e">
        <f>VLOOKUP(B36,CN!B36:O297,15,FALSE)</f>
        <v>#REF!</v>
      </c>
      <c r="X36" s="694" t="e">
        <f t="shared" si="10"/>
        <v>#REF!</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t="e">
        <f>VLOOKUP(B37,CN!B37:O298,15,FALSE)</f>
        <v>#REF!</v>
      </c>
      <c r="X37" s="694" t="e">
        <f t="shared" si="10"/>
        <v>#REF!</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t="e">
        <f>VLOOKUP(B38,CN!B38:O299,15,FALSE)</f>
        <v>#REF!</v>
      </c>
      <c r="X38" s="694" t="e">
        <f t="shared" si="10"/>
        <v>#REF!</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t="e">
        <f>VLOOKUP(B39,CN!B39:O300,15,FALSE)</f>
        <v>#REF!</v>
      </c>
      <c r="X39" s="694" t="e">
        <f t="shared" si="10"/>
        <v>#REF!</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t="e">
        <f>VLOOKUP(B40,CN!B40:O301,15,FALSE)</f>
        <v>#REF!</v>
      </c>
      <c r="X40" s="694" t="e">
        <f t="shared" si="10"/>
        <v>#REF!</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t="e">
        <f>VLOOKUP(B41,CN!B41:O302,15,FALSE)</f>
        <v>#REF!</v>
      </c>
      <c r="X41" s="694" t="e">
        <f t="shared" si="10"/>
        <v>#REF!</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t="e">
        <f>VLOOKUP(B42,CN!B42:O303,15,FALSE)</f>
        <v>#REF!</v>
      </c>
      <c r="X42" s="694" t="e">
        <f t="shared" si="10"/>
        <v>#REF!</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t="e">
        <f>VLOOKUP(B43,CN!B43:O304,15,FALSE)</f>
        <v>#REF!</v>
      </c>
      <c r="X43" s="694" t="e">
        <f t="shared" si="10"/>
        <v>#REF!</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t="e">
        <f>VLOOKUP(B44,CN!B44:O305,15,FALSE)</f>
        <v>#REF!</v>
      </c>
      <c r="X44" s="694" t="e">
        <f>V44-W44</f>
        <v>#REF!</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t="e">
        <f>VLOOKUP(B45,CN!B45:O306,15,FALSE)</f>
        <v>#REF!</v>
      </c>
      <c r="X45" s="694" t="e">
        <f t="shared" si="10"/>
        <v>#REF!</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t="e">
        <f>VLOOKUP(B46,CN!B46:O307,15,FALSE)</f>
        <v>#REF!</v>
      </c>
      <c r="X46" s="694" t="e">
        <f t="shared" si="10"/>
        <v>#REF!</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t="e">
        <f>VLOOKUP(B47,CN!B48:O308,15,FALSE)</f>
        <v>#REF!</v>
      </c>
      <c r="X47" s="694" t="e">
        <f t="shared" si="10"/>
        <v>#REF!</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t="e">
        <f>VLOOKUP(B48,CN!B49:O309,15,FALSE)</f>
        <v>#REF!</v>
      </c>
      <c r="X48" s="694" t="e">
        <f t="shared" si="10"/>
        <v>#REF!</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t="e">
        <f>VLOOKUP(B49,CN!B50:O310,15,FALSE)</f>
        <v>#REF!</v>
      </c>
      <c r="X49" s="694" t="e">
        <f t="shared" si="10"/>
        <v>#REF!</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t="e">
        <f>VLOOKUP(B50,CN!B51:O311,15,FALSE)</f>
        <v>#REF!</v>
      </c>
      <c r="X50" s="694" t="e">
        <f t="shared" si="10"/>
        <v>#REF!</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t="e">
        <f>VLOOKUP(B51,CN!B51:O312,15,FALSE)</f>
        <v>#REF!</v>
      </c>
      <c r="X51" s="694" t="e">
        <f t="shared" si="10"/>
        <v>#REF!</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t="e">
        <f>VLOOKUP(B52,CN!B52:O313,15,FALSE)</f>
        <v>#REF!</v>
      </c>
      <c r="X52" s="694" t="e">
        <f t="shared" si="10"/>
        <v>#REF!</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t="e">
        <f>VLOOKUP(B53,CN!B52:O314,15,FALSE)</f>
        <v>#REF!</v>
      </c>
      <c r="X53" s="694" t="e">
        <f t="shared" si="10"/>
        <v>#REF!</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t="e">
        <f>VLOOKUP(B54,CN!B53:O315,15,FALSE)</f>
        <v>#REF!</v>
      </c>
      <c r="X54" s="694" t="e">
        <f t="shared" si="10"/>
        <v>#REF!</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t="e">
        <f>VLOOKUP(B55,CN!B54:O316,15,FALSE)</f>
        <v>#REF!</v>
      </c>
      <c r="X55" s="694" t="e">
        <f>V55-W55</f>
        <v>#REF!</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t="e">
        <f>VLOOKUP(B56,CN!B55:O317,15,FALSE)</f>
        <v>#REF!</v>
      </c>
      <c r="X56" s="694" t="e">
        <f t="shared" si="10"/>
        <v>#REF!</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t="e">
        <f>VLOOKUP(B57,CN!B56:O318,15,FALSE)</f>
        <v>#REF!</v>
      </c>
      <c r="X57" s="694" t="e">
        <f t="shared" si="10"/>
        <v>#REF!</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t="e">
        <f>VLOOKUP(B58,CN!B57:O319,15,FALSE)</f>
        <v>#REF!</v>
      </c>
      <c r="X58" s="694" t="e">
        <f t="shared" si="10"/>
        <v>#REF!</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t="e">
        <f>VLOOKUP(B59,CN!B58:O320,15,FALSE)</f>
        <v>#REF!</v>
      </c>
      <c r="X59" s="694" t="e">
        <f t="shared" si="10"/>
        <v>#REF!</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t="e">
        <f>VLOOKUP(B60,CN!B59:O321,15,FALSE)</f>
        <v>#REF!</v>
      </c>
      <c r="X60" s="694" t="e">
        <f t="shared" si="10"/>
        <v>#REF!</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t="e">
        <f>VLOOKUP(B61,CN!B60:O322,15,FALSE)</f>
        <v>#REF!</v>
      </c>
      <c r="X61" s="694" t="e">
        <f t="shared" si="10"/>
        <v>#REF!</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t="e">
        <f>VLOOKUP(B62,CN!B61:O323,15,FALSE)</f>
        <v>#REF!</v>
      </c>
      <c r="X62" s="694" t="e">
        <f t="shared" si="10"/>
        <v>#REF!</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t="e">
        <f>VLOOKUP(B63,CN!B62:O324,15,FALSE)</f>
        <v>#REF!</v>
      </c>
      <c r="X63" s="694" t="e">
        <f t="shared" si="10"/>
        <v>#REF!</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t="e">
        <f>VLOOKUP(B64,CN!B63:O325,15,FALSE)</f>
        <v>#REF!</v>
      </c>
      <c r="X64" s="694" t="e">
        <f t="shared" si="10"/>
        <v>#REF!</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t="e">
        <f>VLOOKUP(B65,CN!B64:O326,15,FALSE)</f>
        <v>#REF!</v>
      </c>
      <c r="X65" s="694" t="e">
        <f t="shared" si="10"/>
        <v>#REF!</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t="e">
        <f>VLOOKUP(B66,CN!B65:O327,15,FALSE)</f>
        <v>#REF!</v>
      </c>
      <c r="X66" s="694" t="e">
        <f>V66-W66</f>
        <v>#REF!</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t="e">
        <f>VLOOKUP(B67,CN!B66:O328,15,FALSE)</f>
        <v>#REF!</v>
      </c>
      <c r="X67" s="694" t="e">
        <f t="shared" si="10"/>
        <v>#REF!</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t="e">
        <f>VLOOKUP(B68,CN!B67:O329,15,FALSE)</f>
        <v>#REF!</v>
      </c>
      <c r="X68" s="694" t="e">
        <f t="shared" si="10"/>
        <v>#REF!</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t="e">
        <f>VLOOKUP(B69,CN!B68:O330,15,FALSE)</f>
        <v>#REF!</v>
      </c>
      <c r="X69" s="694" t="e">
        <f t="shared" si="10"/>
        <v>#REF!</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t="e">
        <f>VLOOKUP(B70,CN!B68:O331,15,FALSE)</f>
        <v>#REF!</v>
      </c>
      <c r="X70" s="694" t="e">
        <f t="shared" si="10"/>
        <v>#REF!</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t="e">
        <f>VLOOKUP(B71,CN!B69:O332,15,FALSE)</f>
        <v>#REF!</v>
      </c>
      <c r="X71" s="694" t="e">
        <f t="shared" si="10"/>
        <v>#REF!</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t="e">
        <f>VLOOKUP(B72,CN!B70:O333,15,FALSE)</f>
        <v>#REF!</v>
      </c>
      <c r="X72" s="694" t="e">
        <f>V72-W72</f>
        <v>#REF!</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t="e">
        <f>VLOOKUP(B73,CN!B72:O334,15,FALSE)</f>
        <v>#REF!</v>
      </c>
      <c r="X73" s="694" t="e">
        <f t="shared" si="10"/>
        <v>#REF!</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t="e">
        <f>VLOOKUP(B74,CN!B74:O336,15,FALSE)</f>
        <v>#REF!</v>
      </c>
      <c r="X74" s="694" t="e">
        <f t="shared" ref="X74:X135" si="24">V74-W74</f>
        <v>#REF!</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t="e">
        <f>VLOOKUP(B75,CN!B75:O337,15,FALSE)</f>
        <v>#REF!</v>
      </c>
      <c r="X75" s="694" t="e">
        <f t="shared" si="24"/>
        <v>#REF!</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t="e">
        <f>VLOOKUP(B76,CN!B76:O338,15,FALSE)</f>
        <v>#REF!</v>
      </c>
      <c r="X76" s="694" t="e">
        <f t="shared" si="24"/>
        <v>#REF!</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t="e">
        <f>VLOOKUP(B77,CN!B77:O339,15,FALSE)</f>
        <v>#REF!</v>
      </c>
      <c r="X77" s="694" t="e">
        <f t="shared" si="24"/>
        <v>#REF!</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t="e">
        <f>VLOOKUP(B78,CN!B78:O340,15,FALSE)</f>
        <v>#REF!</v>
      </c>
      <c r="X78" s="694" t="e">
        <f t="shared" si="24"/>
        <v>#REF!</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t="e">
        <f>VLOOKUP(B79,CN!B79:O341,15,FALSE)</f>
        <v>#REF!</v>
      </c>
      <c r="X79" s="694" t="e">
        <f t="shared" si="24"/>
        <v>#REF!</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t="e">
        <f>VLOOKUP(B80,CN!B80:O342,15,FALSE)</f>
        <v>#REF!</v>
      </c>
      <c r="X80" s="694" t="e">
        <f t="shared" si="24"/>
        <v>#REF!</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t="e">
        <f>VLOOKUP(B81,CN!B82:O343,15,FALSE)</f>
        <v>#REF!</v>
      </c>
      <c r="X81" s="694" t="e">
        <f t="shared" si="24"/>
        <v>#REF!</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t="e">
        <f>VLOOKUP(B82,CN!B83:O344,15,FALSE)</f>
        <v>#REF!</v>
      </c>
      <c r="X82" s="694" t="e">
        <f t="shared" si="24"/>
        <v>#REF!</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t="e">
        <f>VLOOKUP(B83,CN!B85:O346,15,FALSE)</f>
        <v>#REF!</v>
      </c>
      <c r="X83" s="694" t="e">
        <f t="shared" si="24"/>
        <v>#REF!</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t="e">
        <f>VLOOKUP(B84,CN!B86:O347,15,FALSE)</f>
        <v>#REF!</v>
      </c>
      <c r="X84" s="694" t="e">
        <f t="shared" si="24"/>
        <v>#REF!</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t="e">
        <f>VLOOKUP(B85,CN!B87:O348,15,FALSE)</f>
        <v>#REF!</v>
      </c>
      <c r="X85" s="694" t="e">
        <f t="shared" si="24"/>
        <v>#REF!</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t="e">
        <f>VLOOKUP(B86,CN!B88:O349,15,FALSE)</f>
        <v>#REF!</v>
      </c>
      <c r="X86" s="694" t="e">
        <f t="shared" si="24"/>
        <v>#REF!</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t="e">
        <f>VLOOKUP(B87,CN!B89:O350,15,FALSE)</f>
        <v>#N/A</v>
      </c>
      <c r="X87" s="694" t="e">
        <f t="shared" si="24"/>
        <v>#N/A</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VLOOKUP(B88,CN!B90:O351,15,FALSE)</f>
        <v>#N/A</v>
      </c>
      <c r="X88" s="694"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t="e">
        <f>VLOOKUP(B89,CN!B90:O352,15,FALSE)</f>
        <v>#REF!</v>
      </c>
      <c r="X89" s="694" t="e">
        <f t="shared" si="24"/>
        <v>#REF!</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t="e">
        <f>VLOOKUP(B90,CN!B91:O353,15,FALSE)</f>
        <v>#REF!</v>
      </c>
      <c r="X90" s="694" t="e">
        <f t="shared" si="24"/>
        <v>#REF!</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t="e">
        <f>VLOOKUP(B91,CN!B92:O354,15,FALSE)</f>
        <v>#REF!</v>
      </c>
      <c r="X91" s="694" t="e">
        <f t="shared" si="24"/>
        <v>#REF!</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VLOOKUP(B92,CN!B93:O355,15,FALSE)</f>
        <v>#N/A</v>
      </c>
      <c r="X92" s="694"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t="e">
        <f>VLOOKUP(B93,CN!B94:O356,15,FALSE)</f>
        <v>#REF!</v>
      </c>
      <c r="X93" s="694" t="e">
        <f t="shared" si="24"/>
        <v>#REF!</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t="e">
        <f>VLOOKUP(B94,CN!B95:O357,15,FALSE)</f>
        <v>#REF!</v>
      </c>
      <c r="X94" s="694" t="e">
        <f t="shared" si="24"/>
        <v>#REF!</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t="e">
        <f>VLOOKUP(B95,CN!B47:O358,15,FALSE)</f>
        <v>#REF!</v>
      </c>
      <c r="X95" s="694" t="e">
        <f t="shared" si="24"/>
        <v>#REF!</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t="e">
        <f>VLOOKUP(B96,CN!B96:O359,15,FALSE)</f>
        <v>#REF!</v>
      </c>
      <c r="X96" s="694" t="e">
        <f t="shared" si="24"/>
        <v>#REF!</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t="e">
        <f>VLOOKUP(B97,CN!B97:O360,15,FALSE)</f>
        <v>#REF!</v>
      </c>
      <c r="X97" s="694" t="e">
        <f t="shared" si="24"/>
        <v>#REF!</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t="e">
        <f>VLOOKUP(B98,CN!B97:O361,15,FALSE)</f>
        <v>#REF!</v>
      </c>
      <c r="X98" s="694" t="e">
        <f t="shared" si="24"/>
        <v>#REF!</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t="e">
        <f>VLOOKUP(B99,CN!B98:O362,15,FALSE)</f>
        <v>#REF!</v>
      </c>
      <c r="X99" s="694" t="e">
        <f t="shared" si="24"/>
        <v>#REF!</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t="e">
        <f>VLOOKUP(B100,CN!B99:O363,15,FALSE)</f>
        <v>#REF!</v>
      </c>
      <c r="X100" s="694" t="e">
        <f t="shared" si="24"/>
        <v>#REF!</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t="e">
        <f>VLOOKUP(B101,CN!B100:O364,15,FALSE)</f>
        <v>#REF!</v>
      </c>
      <c r="X101" s="694" t="e">
        <f t="shared" si="24"/>
        <v>#REF!</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t="e">
        <f>VLOOKUP(B102,CN!B102:O365,15,FALSE)</f>
        <v>#REF!</v>
      </c>
      <c r="X102" s="694" t="e">
        <f t="shared" si="24"/>
        <v>#REF!</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t="e">
        <f>VLOOKUP(B103,CN!B102:O366,15,FALSE)</f>
        <v>#REF!</v>
      </c>
      <c r="X103" s="694" t="e">
        <f t="shared" si="24"/>
        <v>#REF!</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t="e">
        <f>VLOOKUP(B104,CN!B103:O367,15,FALSE)</f>
        <v>#REF!</v>
      </c>
      <c r="X104" s="694" t="e">
        <f t="shared" si="24"/>
        <v>#REF!</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t="e">
        <f>VLOOKUP(B105,CN!B104:O368,15,FALSE)</f>
        <v>#REF!</v>
      </c>
      <c r="X105" s="694" t="e">
        <f t="shared" si="24"/>
        <v>#REF!</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t="e">
        <f>VLOOKUP(B106,CN!B105:O369,15,FALSE)</f>
        <v>#REF!</v>
      </c>
      <c r="X106" s="694" t="e">
        <f t="shared" si="24"/>
        <v>#REF!</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t="e">
        <f>VLOOKUP(B107,CN!B106:O370,15,FALSE)</f>
        <v>#REF!</v>
      </c>
      <c r="X107" s="694" t="e">
        <f t="shared" si="24"/>
        <v>#REF!</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t="e">
        <f>VLOOKUP(B108,CN!B107:O371,15,FALSE)</f>
        <v>#REF!</v>
      </c>
      <c r="X108" s="694" t="e">
        <f t="shared" si="24"/>
        <v>#REF!</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t="e">
        <f>VLOOKUP(B109,CN!B109:O373,15,FALSE)</f>
        <v>#REF!</v>
      </c>
      <c r="X109" s="694" t="e">
        <f t="shared" si="24"/>
        <v>#REF!</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t="e">
        <f>VLOOKUP(B110,CN!B110:O374,15,FALSE)</f>
        <v>#REF!</v>
      </c>
      <c r="X110" s="694" t="e">
        <f t="shared" si="24"/>
        <v>#REF!</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t="e">
        <f>VLOOKUP(B111,CN!B111:O375,15,FALSE)</f>
        <v>#REF!</v>
      </c>
      <c r="X111" s="694" t="e">
        <f t="shared" si="24"/>
        <v>#REF!</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t="e">
        <f>VLOOKUP(B112,CN!B112:O376,15,FALSE)</f>
        <v>#REF!</v>
      </c>
      <c r="X112" s="694" t="e">
        <f t="shared" si="24"/>
        <v>#REF!</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t="e">
        <f>VLOOKUP(B113,CN!B113:O377,15,FALSE)</f>
        <v>#REF!</v>
      </c>
      <c r="X113" s="694" t="e">
        <f t="shared" si="24"/>
        <v>#REF!</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t="e">
        <f>VLOOKUP(B114,CN!B114:O378,15,FALSE)</f>
        <v>#REF!</v>
      </c>
      <c r="X114" s="694" t="e">
        <f t="shared" si="24"/>
        <v>#REF!</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t="e">
        <f>VLOOKUP(B115,CN!B115:O379,15,FALSE)</f>
        <v>#REF!</v>
      </c>
      <c r="X115" s="694" t="e">
        <f t="shared" si="24"/>
        <v>#REF!</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t="e">
        <f>VLOOKUP(B116,CN!B116:O380,15,FALSE)</f>
        <v>#REF!</v>
      </c>
      <c r="X116" s="694" t="e">
        <f t="shared" si="24"/>
        <v>#REF!</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t="e">
        <f>VLOOKUP(B117,CN!B117:O381,15,FALSE)</f>
        <v>#REF!</v>
      </c>
      <c r="X117" s="694" t="e">
        <f t="shared" si="24"/>
        <v>#REF!</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t="e">
        <f>VLOOKUP(B118,CN!B118:O382,15,FALSE)</f>
        <v>#REF!</v>
      </c>
      <c r="X118" s="694" t="e">
        <f t="shared" si="24"/>
        <v>#REF!</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t="e">
        <f>VLOOKUP(B119,CN!B119:O383,15,FALSE)</f>
        <v>#REF!</v>
      </c>
      <c r="X119" s="694" t="e">
        <f t="shared" si="24"/>
        <v>#REF!</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t="e">
        <f>VLOOKUP(B120,CN!B120:O384,15,FALSE)</f>
        <v>#REF!</v>
      </c>
      <c r="X120" s="694" t="e">
        <f t="shared" si="24"/>
        <v>#REF!</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t="e">
        <f>VLOOKUP(B121,CN!B121:O385,15,FALSE)</f>
        <v>#REF!</v>
      </c>
      <c r="X121" s="694" t="e">
        <f t="shared" si="24"/>
        <v>#REF!</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t="e">
        <f>VLOOKUP(B122,CN!B122:O386,15,FALSE)</f>
        <v>#REF!</v>
      </c>
      <c r="X122" s="694" t="e">
        <f t="shared" si="24"/>
        <v>#REF!</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t="e">
        <f>VLOOKUP(B123,CN!B123:O387,15,FALSE)</f>
        <v>#REF!</v>
      </c>
      <c r="X123" s="694" t="e">
        <f t="shared" si="24"/>
        <v>#REF!</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t="e">
        <f>VLOOKUP(B124,CN!B124:O388,15,FALSE)</f>
        <v>#REF!</v>
      </c>
      <c r="X124" s="694" t="e">
        <f t="shared" si="24"/>
        <v>#REF!</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t="e">
        <f>VLOOKUP(B125,CN!B125:O389,15,FALSE)</f>
        <v>#REF!</v>
      </c>
      <c r="X125" s="694" t="e">
        <f t="shared" si="24"/>
        <v>#REF!</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t="e">
        <f>VLOOKUP(B126,CN!B126:O390,15,FALSE)</f>
        <v>#REF!</v>
      </c>
      <c r="X126" s="694" t="e">
        <f t="shared" si="24"/>
        <v>#REF!</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VLOOKUP(B127,CN!B127:O391,15,FALSE)</f>
        <v>#N/A</v>
      </c>
      <c r="X127" s="694"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t="e">
        <f>VLOOKUP(B128,CN!B128:O392,15,FALSE)</f>
        <v>#REF!</v>
      </c>
      <c r="X128" s="694" t="e">
        <f t="shared" si="24"/>
        <v>#REF!</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t="e">
        <f>VLOOKUP(B129,CN!B129:O393,15,FALSE)</f>
        <v>#REF!</v>
      </c>
      <c r="X129" s="694" t="e">
        <f t="shared" si="24"/>
        <v>#REF!</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t="e">
        <f>VLOOKUP(B130,CN!B130:O394,15,FALSE)</f>
        <v>#REF!</v>
      </c>
      <c r="X130" s="694" t="e">
        <f t="shared" si="24"/>
        <v>#REF!</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t="e">
        <f>VLOOKUP(B131,CN!B131:O395,15,FALSE)</f>
        <v>#REF!</v>
      </c>
      <c r="X131" s="694" t="e">
        <f t="shared" si="24"/>
        <v>#REF!</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t="e">
        <f>VLOOKUP(B132,CN!B132:O396,15,FALSE)</f>
        <v>#REF!</v>
      </c>
      <c r="X132" s="694" t="e">
        <f t="shared" si="24"/>
        <v>#REF!</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t="e">
        <f>VLOOKUP(B133,CN!B133:O397,15,FALSE)</f>
        <v>#REF!</v>
      </c>
      <c r="X133" s="694" t="e">
        <f t="shared" si="24"/>
        <v>#REF!</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t="e">
        <f>VLOOKUP(B134,CN!B134:O398,15,FALSE)</f>
        <v>#REF!</v>
      </c>
      <c r="X134" s="694" t="e">
        <f t="shared" si="24"/>
        <v>#REF!</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t="e">
        <f>VLOOKUP(B135,CN!B135:O399,15,FALSE)</f>
        <v>#REF!</v>
      </c>
      <c r="X135" s="694" t="e">
        <f t="shared" si="24"/>
        <v>#REF!</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t="e">
        <f>VLOOKUP(B136,CN!B136:O400,15,FALSE)</f>
        <v>#REF!</v>
      </c>
      <c r="X136" s="694" t="e">
        <f t="shared" ref="X136:X198" si="35">V136-W136</f>
        <v>#REF!</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t="e">
        <f>VLOOKUP(B137,CN!B137:O401,15,FALSE)</f>
        <v>#REF!</v>
      </c>
      <c r="X137" s="694" t="e">
        <f t="shared" si="35"/>
        <v>#REF!</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t="e">
        <f>VLOOKUP(B138,CN!B138:O402,15,FALSE)</f>
        <v>#REF!</v>
      </c>
      <c r="X138" s="694" t="e">
        <f t="shared" si="35"/>
        <v>#REF!</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t="e">
        <f>VLOOKUP(B139,CN!B139:O403,15,FALSE)</f>
        <v>#REF!</v>
      </c>
      <c r="X139" s="694" t="e">
        <f t="shared" si="35"/>
        <v>#REF!</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t="e">
        <f>VLOOKUP(B140,CN!B140:O404,15,FALSE)</f>
        <v>#REF!</v>
      </c>
      <c r="X140" s="694" t="e">
        <f t="shared" si="35"/>
        <v>#REF!</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t="e">
        <f>VLOOKUP(B141,CN!B141:O405,15,FALSE)</f>
        <v>#REF!</v>
      </c>
      <c r="X141" s="694" t="e">
        <f t="shared" si="35"/>
        <v>#REF!</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t="e">
        <f>VLOOKUP(B142,CN!B142:O406,15,FALSE)</f>
        <v>#REF!</v>
      </c>
      <c r="X142" s="694" t="e">
        <f t="shared" si="35"/>
        <v>#REF!</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t="e">
        <f>VLOOKUP(B143,CN!B143:O407,15,FALSE)</f>
        <v>#REF!</v>
      </c>
      <c r="X143" s="694" t="e">
        <f t="shared" si="35"/>
        <v>#REF!</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t="e">
        <f>VLOOKUP(B144,CN!B144:O408,15,FALSE)</f>
        <v>#REF!</v>
      </c>
      <c r="X144" s="694" t="e">
        <f t="shared" si="35"/>
        <v>#REF!</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t="e">
        <f>VLOOKUP(B145,CN!B145:O409,15,FALSE)</f>
        <v>#REF!</v>
      </c>
      <c r="X145" s="694" t="e">
        <f t="shared" si="35"/>
        <v>#REF!</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t="e">
        <f>VLOOKUP(B146,CN!B148:O410,15,FALSE)</f>
        <v>#REF!</v>
      </c>
      <c r="X146" s="694" t="e">
        <f t="shared" si="35"/>
        <v>#REF!</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t="e">
        <f>VLOOKUP(B147,CN!B149:O411,15,FALSE)</f>
        <v>#REF!</v>
      </c>
      <c r="X147" s="694" t="e">
        <f t="shared" si="35"/>
        <v>#REF!</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t="e">
        <f>VLOOKUP(B148,CN!B150:O412,15,FALSE)</f>
        <v>#REF!</v>
      </c>
      <c r="X148" s="694" t="e">
        <f t="shared" si="35"/>
        <v>#REF!</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t="e">
        <f>VLOOKUP(B149,CN!B151:O413,15,FALSE)</f>
        <v>#REF!</v>
      </c>
      <c r="X149" s="694" t="e">
        <f t="shared" si="35"/>
        <v>#REF!</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t="e">
        <f>VLOOKUP(B150,CN!B153:O415,15,FALSE)</f>
        <v>#REF!</v>
      </c>
      <c r="X150" s="694" t="e">
        <f t="shared" si="35"/>
        <v>#REF!</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t="e">
        <f>VLOOKUP(B151,CN!B154:O416,15,FALSE)</f>
        <v>#REF!</v>
      </c>
      <c r="X151" s="694" t="e">
        <f t="shared" si="35"/>
        <v>#REF!</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t="e">
        <f>VLOOKUP(B152,CN!B155:O417,15,FALSE)</f>
        <v>#REF!</v>
      </c>
      <c r="X152" s="694" t="e">
        <f t="shared" si="35"/>
        <v>#REF!</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t="e">
        <f>VLOOKUP(B153,CN!B156:O418,15,FALSE)</f>
        <v>#REF!</v>
      </c>
      <c r="X153" s="694" t="e">
        <f t="shared" si="35"/>
        <v>#REF!</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t="e">
        <f>VLOOKUP(B154,CN!B157:O419,15,FALSE)</f>
        <v>#REF!</v>
      </c>
      <c r="X154" s="694" t="e">
        <f t="shared" si="35"/>
        <v>#REF!</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t="e">
        <f>VLOOKUP(B155,CN!B158:O420,15,FALSE)</f>
        <v>#REF!</v>
      </c>
      <c r="X155" s="694" t="e">
        <f t="shared" si="35"/>
        <v>#REF!</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t="e">
        <f>VLOOKUP(B156,CN!B159:O421,15,FALSE)</f>
        <v>#REF!</v>
      </c>
      <c r="X156" s="694" t="e">
        <f t="shared" si="35"/>
        <v>#REF!</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t="e">
        <f>VLOOKUP(B157,CN!B160:O422,15,FALSE)</f>
        <v>#REF!</v>
      </c>
      <c r="X157" s="694" t="e">
        <f t="shared" si="35"/>
        <v>#REF!</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t="e">
        <f>VLOOKUP(B158,CN!B161:O423,15,FALSE)</f>
        <v>#REF!</v>
      </c>
      <c r="X158" s="694" t="e">
        <f t="shared" si="35"/>
        <v>#REF!</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t="e">
        <f>VLOOKUP(B159,CN!B162:O424,15,FALSE)</f>
        <v>#REF!</v>
      </c>
      <c r="X159" s="694" t="e">
        <f t="shared" si="35"/>
        <v>#REF!</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t="e">
        <f>VLOOKUP(B160,CN!B162:O425,15,FALSE)</f>
        <v>#REF!</v>
      </c>
      <c r="X160" s="694" t="e">
        <f t="shared" si="35"/>
        <v>#REF!</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t="e">
        <f>VLOOKUP(B161,CN!B162:O426,15,FALSE)</f>
        <v>#REF!</v>
      </c>
      <c r="X161" s="694" t="e">
        <f t="shared" si="35"/>
        <v>#REF!</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t="e">
        <f>VLOOKUP(B162,CN!B163:O427,15,FALSE)</f>
        <v>#REF!</v>
      </c>
      <c r="X162" s="694" t="e">
        <f t="shared" si="35"/>
        <v>#REF!</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t="e">
        <f>VLOOKUP(B163,CN!B164:O428,15,FALSE)</f>
        <v>#REF!</v>
      </c>
      <c r="X163" s="694" t="e">
        <f t="shared" si="35"/>
        <v>#REF!</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t="e">
        <f>VLOOKUP(B164,CN!B165:O429,15,FALSE)</f>
        <v>#REF!</v>
      </c>
      <c r="X164" s="694" t="e">
        <f t="shared" si="35"/>
        <v>#REF!</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t="e">
        <f>VLOOKUP(B165,CN!B165:O430,15,FALSE)</f>
        <v>#REF!</v>
      </c>
      <c r="X165" s="694" t="e">
        <f t="shared" si="35"/>
        <v>#REF!</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t="e">
        <f>VLOOKUP(B166,CN!B166:O431,15,FALSE)</f>
        <v>#REF!</v>
      </c>
      <c r="X166" s="694" t="e">
        <f t="shared" si="35"/>
        <v>#REF!</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t="e">
        <f>VLOOKUP(B167,CN!B167:O432,15,FALSE)</f>
        <v>#REF!</v>
      </c>
      <c r="X167" s="694" t="e">
        <f t="shared" si="35"/>
        <v>#REF!</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t="e">
        <f>VLOOKUP(B168,CN!B168:O433,15,FALSE)</f>
        <v>#REF!</v>
      </c>
      <c r="X168" s="694" t="e">
        <f t="shared" si="35"/>
        <v>#REF!</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t="e">
        <f>VLOOKUP(B169,CN!B169:O434,15,FALSE)</f>
        <v>#REF!</v>
      </c>
      <c r="X169" s="694" t="e">
        <f t="shared" si="35"/>
        <v>#REF!</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t="e">
        <f>VLOOKUP(B170,CN!B170:O435,15,FALSE)</f>
        <v>#REF!</v>
      </c>
      <c r="X170" s="694" t="e">
        <f t="shared" si="35"/>
        <v>#REF!</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t="e">
        <f>VLOOKUP(B171,CN!B171:O436,15,FALSE)</f>
        <v>#REF!</v>
      </c>
      <c r="X171" s="694" t="e">
        <f t="shared" si="35"/>
        <v>#REF!</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t="e">
        <f>VLOOKUP(B172,CN!B172:O437,15,FALSE)</f>
        <v>#REF!</v>
      </c>
      <c r="X172" s="694" t="e">
        <f t="shared" si="35"/>
        <v>#REF!</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t="e">
        <f>VLOOKUP(B173,CN!B173:O438,15,FALSE)</f>
        <v>#REF!</v>
      </c>
      <c r="X173" s="694" t="e">
        <f t="shared" si="35"/>
        <v>#REF!</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t="e">
        <f>VLOOKUP(B174,CN!B174:O439,15,FALSE)</f>
        <v>#REF!</v>
      </c>
      <c r="X174" s="694" t="e">
        <f t="shared" si="35"/>
        <v>#REF!</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t="e">
        <f>VLOOKUP(B175,CN!B175:O440,15,FALSE)</f>
        <v>#REF!</v>
      </c>
      <c r="X175" s="694" t="e">
        <f t="shared" si="35"/>
        <v>#REF!</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t="e">
        <f>VLOOKUP(B176,CN!B176:O441,15,FALSE)</f>
        <v>#REF!</v>
      </c>
      <c r="X176" s="694" t="e">
        <f t="shared" si="35"/>
        <v>#REF!</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t="e">
        <f>VLOOKUP(B177,CN!B177:O442,15,FALSE)</f>
        <v>#REF!</v>
      </c>
      <c r="X177" s="694" t="e">
        <f t="shared" si="35"/>
        <v>#REF!</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t="e">
        <f>VLOOKUP(B178,CN!B178:O443,15,FALSE)</f>
        <v>#REF!</v>
      </c>
      <c r="X178" s="694" t="e">
        <f t="shared" si="35"/>
        <v>#REF!</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t="e">
        <f>VLOOKUP(B179,CN!B179:O444,15,FALSE)</f>
        <v>#REF!</v>
      </c>
      <c r="X179" s="694" t="e">
        <f t="shared" si="35"/>
        <v>#REF!</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t="e">
        <f>VLOOKUP(B180,CN!B180:O445,15,FALSE)</f>
        <v>#REF!</v>
      </c>
      <c r="X180" s="694" t="e">
        <f t="shared" si="35"/>
        <v>#REF!</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t="e">
        <f>VLOOKUP(B181,CN!B181:O446,15,FALSE)</f>
        <v>#REF!</v>
      </c>
      <c r="X181" s="694" t="e">
        <f t="shared" si="35"/>
        <v>#REF!</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t="e">
        <f>VLOOKUP(B182,CN!B182:O447,15,FALSE)</f>
        <v>#REF!</v>
      </c>
      <c r="X182" s="694" t="e">
        <f t="shared" si="35"/>
        <v>#REF!</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t="e">
        <f>VLOOKUP(B183,CN!B183:O448,15,FALSE)</f>
        <v>#REF!</v>
      </c>
      <c r="X183" s="694" t="e">
        <f t="shared" si="35"/>
        <v>#REF!</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t="e">
        <f>VLOOKUP(B184,CN!B184:O449,15,FALSE)</f>
        <v>#REF!</v>
      </c>
      <c r="X184" s="694" t="e">
        <f t="shared" si="35"/>
        <v>#REF!</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VLOOKUP(B185,CN!B185:O450,15,FALSE)</f>
        <v>#N/A</v>
      </c>
      <c r="X185" s="694"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t="e">
        <f>VLOOKUP(B186,CN!B186:O451,15,FALSE)</f>
        <v>#REF!</v>
      </c>
      <c r="X186" s="694" t="e">
        <f t="shared" si="35"/>
        <v>#REF!</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VLOOKUP(B187,CN!B187:O452,15,FALSE)</f>
        <v>#N/A</v>
      </c>
      <c r="X187" s="694"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t="e">
        <f>VLOOKUP(B188,CN!B188:O453,15,FALSE)</f>
        <v>#REF!</v>
      </c>
      <c r="X188" s="694" t="e">
        <f t="shared" si="35"/>
        <v>#REF!</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t="e">
        <f>VLOOKUP(B189,CN!B189:O454,15,FALSE)</f>
        <v>#REF!</v>
      </c>
      <c r="X189" s="694" t="e">
        <f t="shared" si="35"/>
        <v>#REF!</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t="e">
        <f>VLOOKUP(B190,CN!B190:O455,15,FALSE)</f>
        <v>#REF!</v>
      </c>
      <c r="X190" s="694" t="e">
        <f t="shared" si="35"/>
        <v>#REF!</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t="e">
        <f>VLOOKUP(B191,CN!B191:O456,15,FALSE)</f>
        <v>#N/A</v>
      </c>
      <c r="X191" s="694" t="e">
        <f t="shared" si="35"/>
        <v>#N/A</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t="e">
        <f>VLOOKUP(B192,CN!B192:O457,15,FALSE)</f>
        <v>#REF!</v>
      </c>
      <c r="X192" s="694" t="e">
        <f t="shared" si="35"/>
        <v>#REF!</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t="e">
        <f>VLOOKUP(B193,CN!B193:O458,15,FALSE)</f>
        <v>#REF!</v>
      </c>
      <c r="X193" s="694" t="e">
        <f t="shared" si="35"/>
        <v>#REF!</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t="e">
        <f>VLOOKUP(B194,CN!B194:O459,15,FALSE)</f>
        <v>#REF!</v>
      </c>
      <c r="X194" s="694" t="e">
        <f t="shared" si="35"/>
        <v>#REF!</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t="e">
        <f>VLOOKUP(B195,CN!B195:O460,15,FALSE)</f>
        <v>#REF!</v>
      </c>
      <c r="X195" s="694" t="e">
        <f t="shared" si="35"/>
        <v>#REF!</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t="e">
        <f>VLOOKUP(B196,CN!B196:O461,15,FALSE)</f>
        <v>#REF!</v>
      </c>
      <c r="X196" s="694" t="e">
        <f t="shared" si="35"/>
        <v>#REF!</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t="e">
        <f>VLOOKUP(B197,CN!B197:O462,15,FALSE)</f>
        <v>#REF!</v>
      </c>
      <c r="X197" s="694" t="e">
        <f t="shared" si="35"/>
        <v>#REF!</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t="e">
        <f>VLOOKUP(B198,CN!B198:O463,15,FALSE)</f>
        <v>#REF!</v>
      </c>
      <c r="X198" s="694" t="e">
        <f t="shared" si="35"/>
        <v>#REF!</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t="e">
        <f>VLOOKUP(B199,CN!B199:O464,15,FALSE)</f>
        <v>#REF!</v>
      </c>
      <c r="X199" s="694" t="e">
        <f t="shared" ref="X199" si="44">V199-W199</f>
        <v>#REF!</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#REF!</v>
      </c>
      <c r="X200" s="460" t="e">
        <f t="shared" si="46"/>
        <v>#REF!</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9"/>
      <c r="M202" s="17"/>
      <c r="N202" s="689"/>
      <c r="O202" s="689"/>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9"/>
      <c r="M203" s="17"/>
      <c r="N203" s="689"/>
      <c r="O203" s="689"/>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699" t="s">
        <v>2165</v>
      </c>
      <c r="U204" s="1699"/>
      <c r="V204" s="1699"/>
      <c r="W204" s="1699"/>
      <c r="X204" s="1699"/>
      <c r="Y204" s="1699"/>
      <c r="Z204" s="1699"/>
    </row>
    <row r="205" spans="1:40" s="16" customFormat="1">
      <c r="A205" s="1678" t="s">
        <v>859</v>
      </c>
      <c r="B205" s="1678"/>
      <c r="C205" s="19"/>
      <c r="D205" s="19"/>
      <c r="E205" s="19"/>
      <c r="F205" s="19"/>
      <c r="G205" s="19"/>
      <c r="H205" s="19"/>
      <c r="I205" s="683"/>
      <c r="J205" s="1681" t="s">
        <v>1446</v>
      </c>
      <c r="K205" s="1681"/>
      <c r="L205" s="1681"/>
      <c r="M205" s="1681"/>
      <c r="N205" s="1681"/>
      <c r="O205" s="1678" t="s">
        <v>1191</v>
      </c>
      <c r="P205" s="1678"/>
      <c r="Q205" s="1678"/>
      <c r="R205" s="1678"/>
      <c r="S205" s="19"/>
      <c r="T205" s="1678" t="s">
        <v>41</v>
      </c>
      <c r="U205" s="1678"/>
      <c r="V205" s="1678"/>
      <c r="W205" s="1678"/>
      <c r="X205" s="1678"/>
      <c r="Y205" s="1678"/>
      <c r="Z205" s="1678"/>
      <c r="AA205" s="111"/>
      <c r="AB205" s="514"/>
      <c r="AD205" s="158"/>
    </row>
    <row r="206" spans="1:40" s="16" customFormat="1" ht="13.5" customHeight="1">
      <c r="A206" s="683"/>
      <c r="B206" s="683"/>
      <c r="C206" s="19"/>
      <c r="D206" s="19"/>
      <c r="E206" s="19"/>
      <c r="F206" s="19"/>
      <c r="G206" s="19"/>
      <c r="H206" s="19"/>
      <c r="I206" s="683"/>
      <c r="J206" s="235"/>
      <c r="K206" s="366"/>
      <c r="L206" s="676"/>
      <c r="M206" s="14"/>
      <c r="N206" s="683"/>
      <c r="O206" s="19"/>
      <c r="P206" s="683"/>
      <c r="Q206" s="475"/>
      <c r="R206" s="683"/>
      <c r="S206" s="403"/>
      <c r="U206" s="615"/>
      <c r="V206" s="683"/>
      <c r="W206" s="683"/>
      <c r="X206" s="683"/>
      <c r="Z206" s="103"/>
      <c r="AA206" s="111"/>
      <c r="AB206" s="514"/>
      <c r="AD206" s="158"/>
    </row>
    <row r="207" spans="1:40" s="16" customFormat="1" ht="10.5" customHeight="1">
      <c r="A207" s="683"/>
      <c r="B207" s="683"/>
      <c r="C207" s="19"/>
      <c r="D207" s="19"/>
      <c r="E207" s="19"/>
      <c r="F207" s="19"/>
      <c r="G207" s="19"/>
      <c r="H207" s="19"/>
      <c r="I207" s="683"/>
      <c r="J207" s="235"/>
      <c r="K207" s="366"/>
      <c r="L207" s="681">
        <f>COUNTIF(L12:L199,"A1")</f>
        <v>11</v>
      </c>
      <c r="M207" s="14"/>
      <c r="N207" s="683"/>
      <c r="O207" s="19"/>
      <c r="P207" s="683"/>
      <c r="Q207" s="475"/>
      <c r="R207" s="683"/>
      <c r="S207" s="403"/>
      <c r="U207" s="615"/>
      <c r="V207" s="683"/>
      <c r="W207" s="683"/>
      <c r="X207" s="683"/>
      <c r="Z207" s="103"/>
      <c r="AA207" s="111"/>
      <c r="AB207" s="514"/>
      <c r="AD207" s="158"/>
    </row>
    <row r="208" spans="1:40" s="16" customFormat="1" ht="13.5" customHeight="1">
      <c r="G208" s="687"/>
      <c r="H208" s="689"/>
      <c r="J208" s="235"/>
      <c r="K208" s="372"/>
      <c r="L208" s="681">
        <f>COUNTIF($L$12:$L$199,"A2")</f>
        <v>16</v>
      </c>
      <c r="M208" s="683"/>
      <c r="N208" s="683"/>
      <c r="O208" s="689"/>
      <c r="P208" s="689"/>
      <c r="Q208" s="476"/>
      <c r="R208" s="689"/>
      <c r="S208" s="404"/>
      <c r="T208" s="689"/>
      <c r="U208" s="616"/>
      <c r="V208" s="689"/>
      <c r="W208" s="689"/>
      <c r="X208" s="689"/>
      <c r="Z208" s="101"/>
      <c r="AA208" s="111"/>
      <c r="AB208" s="514"/>
      <c r="AD208" s="158"/>
    </row>
    <row r="209" spans="1:30" s="16" customFormat="1" ht="13.5" customHeight="1">
      <c r="G209" s="687"/>
      <c r="H209" s="689"/>
      <c r="J209" s="235"/>
      <c r="K209" s="372"/>
      <c r="L209" s="681">
        <f>COUNTIF($L$12:$L$199,"A3")</f>
        <v>93</v>
      </c>
      <c r="M209" s="683"/>
      <c r="N209" s="683"/>
      <c r="O209" s="689"/>
      <c r="P209" s="410"/>
      <c r="Q209" s="476"/>
      <c r="R209" s="689"/>
      <c r="S209" s="404"/>
      <c r="T209" s="689"/>
      <c r="U209" s="616"/>
      <c r="V209" s="689"/>
      <c r="W209" s="689"/>
      <c r="X209" s="689"/>
      <c r="Z209" s="466"/>
      <c r="AA209" s="111"/>
      <c r="AB209" s="514"/>
      <c r="AD209" s="158"/>
    </row>
    <row r="210" spans="1:30" s="16" customFormat="1" ht="13.5" customHeight="1">
      <c r="G210" s="687"/>
      <c r="H210" s="689"/>
      <c r="J210" s="235"/>
      <c r="K210" s="372"/>
      <c r="L210" s="681">
        <f>COUNTIF($L$12:$L$199,"A4")</f>
        <v>67</v>
      </c>
      <c r="M210" s="683"/>
      <c r="N210" s="683"/>
      <c r="O210" s="689"/>
      <c r="P210" s="49"/>
      <c r="Q210" s="476"/>
      <c r="R210" s="689"/>
      <c r="S210" s="404"/>
      <c r="T210" s="689"/>
      <c r="U210" s="616"/>
      <c r="V210" s="49"/>
      <c r="W210" s="49"/>
      <c r="X210" s="49"/>
      <c r="Z210" s="101"/>
      <c r="AA210" s="111"/>
      <c r="AB210" s="514"/>
      <c r="AD210" s="158"/>
    </row>
    <row r="211" spans="1:30" s="16" customFormat="1" ht="13.5" customHeight="1">
      <c r="G211" s="687"/>
      <c r="H211" s="689"/>
      <c r="I211" s="689"/>
      <c r="J211" s="684"/>
      <c r="K211" s="367"/>
      <c r="L211" s="681"/>
      <c r="M211" s="683"/>
      <c r="N211" s="689"/>
      <c r="O211" s="689"/>
      <c r="P211" s="689"/>
      <c r="Q211" s="476"/>
      <c r="R211" s="689"/>
      <c r="S211" s="404"/>
      <c r="T211" s="689"/>
      <c r="U211" s="616"/>
      <c r="V211" s="689"/>
      <c r="W211" s="689"/>
      <c r="X211" s="689"/>
      <c r="Z211" s="466"/>
      <c r="AA211" s="111"/>
      <c r="AB211" s="514"/>
      <c r="AD211" s="158"/>
    </row>
    <row r="212" spans="1:30" s="16" customFormat="1" ht="13.5" customHeight="1">
      <c r="G212" s="1698"/>
      <c r="H212" s="1698"/>
      <c r="I212" s="689"/>
      <c r="J212" s="684"/>
      <c r="K212" s="367"/>
      <c r="L212" s="681"/>
      <c r="M212" s="683"/>
      <c r="N212" s="689"/>
      <c r="O212" s="689"/>
      <c r="P212" s="689"/>
      <c r="Q212" s="476"/>
      <c r="R212" s="689"/>
      <c r="S212" s="404"/>
      <c r="T212" s="689"/>
      <c r="U212" s="616"/>
      <c r="V212" s="689"/>
      <c r="W212" s="689"/>
      <c r="X212" s="689"/>
      <c r="Z212" s="101"/>
      <c r="AA212" s="111"/>
      <c r="AB212" s="514"/>
      <c r="AD212" s="158"/>
    </row>
    <row r="213" spans="1:30" s="16" customFormat="1">
      <c r="A213" s="1678" t="s">
        <v>1827</v>
      </c>
      <c r="B213" s="1678"/>
      <c r="C213" s="683"/>
      <c r="D213" s="683"/>
      <c r="E213" s="683"/>
      <c r="F213" s="14"/>
      <c r="G213" s="19"/>
      <c r="H213" s="19"/>
      <c r="I213" s="683"/>
      <c r="J213" s="1681" t="s">
        <v>1458</v>
      </c>
      <c r="K213" s="1681"/>
      <c r="L213" s="1681"/>
      <c r="M213" s="1681"/>
      <c r="N213" s="1681"/>
      <c r="O213" s="1678" t="s">
        <v>1445</v>
      </c>
      <c r="P213" s="1678"/>
      <c r="Q213" s="1678"/>
      <c r="R213" s="1678"/>
      <c r="S213" s="19"/>
      <c r="T213" s="1678" t="s">
        <v>1433</v>
      </c>
      <c r="U213" s="1678"/>
      <c r="V213" s="1678"/>
      <c r="W213" s="1678"/>
      <c r="X213" s="1678"/>
      <c r="Y213" s="1678"/>
      <c r="Z213" s="1678"/>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667" priority="41" stopIfTrue="1" operator="equal">
      <formula>"KXL"</formula>
    </cfRule>
    <cfRule type="cellIs" dxfId="1666" priority="42" stopIfTrue="1" operator="equal">
      <formula>"A DN"</formula>
    </cfRule>
    <cfRule type="cellIs" dxfId="1665" priority="43" stopIfTrue="1" operator="equal">
      <formula>"C"</formula>
    </cfRule>
    <cfRule type="cellIs" dxfId="1664" priority="44" stopIfTrue="1" operator="equal">
      <formula>"B"</formula>
    </cfRule>
  </conditionalFormatting>
  <conditionalFormatting sqref="B191:C191 Q191 S191">
    <cfRule type="cellIs" dxfId="1663" priority="37" stopIfTrue="1" operator="equal">
      <formula>"KXL"</formula>
    </cfRule>
    <cfRule type="cellIs" dxfId="1662" priority="38" stopIfTrue="1" operator="equal">
      <formula>"A DN"</formula>
    </cfRule>
    <cfRule type="cellIs" dxfId="1661" priority="39" stopIfTrue="1" operator="equal">
      <formula>"C"</formula>
    </cfRule>
    <cfRule type="cellIs" dxfId="1660" priority="40" stopIfTrue="1" operator="equal">
      <formula>"B"</formula>
    </cfRule>
  </conditionalFormatting>
  <conditionalFormatting sqref="AA40:IW40 AA41:AA73">
    <cfRule type="cellIs" dxfId="1659" priority="34" stopIfTrue="1" operator="equal">
      <formula>"C"</formula>
    </cfRule>
    <cfRule type="cellIs" dxfId="1658" priority="35" stopIfTrue="1" operator="equal">
      <formula>"B"</formula>
    </cfRule>
    <cfRule type="cellIs" dxfId="1657" priority="36" stopIfTrue="1" operator="equal">
      <formula>"A DN"</formula>
    </cfRule>
  </conditionalFormatting>
  <conditionalFormatting sqref="B40:C40 F40:G40 Q40 S40 I40">
    <cfRule type="cellIs" dxfId="1656" priority="28" stopIfTrue="1" operator="equal">
      <formula>"C"</formula>
    </cfRule>
    <cfRule type="cellIs" dxfId="1655" priority="29" stopIfTrue="1" operator="equal">
      <formula>"B"</formula>
    </cfRule>
    <cfRule type="cellIs" dxfId="1654" priority="30" stopIfTrue="1" operator="equal">
      <formula>"A DN"</formula>
    </cfRule>
  </conditionalFormatting>
  <conditionalFormatting sqref="E40">
    <cfRule type="cellIs" dxfId="1653" priority="24" stopIfTrue="1" operator="equal">
      <formula>"KXL"</formula>
    </cfRule>
    <cfRule type="cellIs" dxfId="1652" priority="25" stopIfTrue="1" operator="equal">
      <formula>"A DN"</formula>
    </cfRule>
    <cfRule type="cellIs" dxfId="1651" priority="26" stopIfTrue="1" operator="equal">
      <formula>"C"</formula>
    </cfRule>
    <cfRule type="cellIs" dxfId="1650" priority="27" stopIfTrue="1" operator="equal">
      <formula>"B"</formula>
    </cfRule>
  </conditionalFormatting>
  <conditionalFormatting sqref="L94:L108 L37:L82 L23:L24 L120:L149 L161:L199">
    <cfRule type="expression" dxfId="1649" priority="9" stopIfTrue="1">
      <formula>"if=B1"</formula>
    </cfRule>
    <cfRule type="expression" dxfId="1648" priority="10" stopIfTrue="1">
      <formula>$B12</formula>
    </cfRule>
    <cfRule type="expression" dxfId="1647" priority="11" stopIfTrue="1">
      <formula>B12</formula>
    </cfRule>
  </conditionalFormatting>
  <conditionalFormatting sqref="L12:L22 L119 L93 L36 L160">
    <cfRule type="expression" dxfId="1646" priority="1432" stopIfTrue="1">
      <formula>"if=B1"</formula>
    </cfRule>
    <cfRule type="expression" dxfId="1645" priority="1433" stopIfTrue="1">
      <formula>#REF!</formula>
    </cfRule>
    <cfRule type="expression" dxfId="1644" priority="1434" stopIfTrue="1">
      <formula>#REF!</formula>
    </cfRule>
  </conditionalFormatting>
  <conditionalFormatting sqref="L12:L73">
    <cfRule type="cellIs" dxfId="1643" priority="1438" stopIfTrue="1" operator="equal">
      <formula>"C2"</formula>
    </cfRule>
    <cfRule type="cellIs" dxfId="1642" priority="1439" stopIfTrue="1" operator="equal">
      <formula>"C1"</formula>
    </cfRule>
    <cfRule type="cellIs" dxfId="1641" priority="1440" stopIfTrue="1" operator="equal">
      <formula>"C2"</formula>
    </cfRule>
    <cfRule type="cellIs" dxfId="1640" priority="1441" stopIfTrue="1" operator="equal">
      <formula>"D"</formula>
    </cfRule>
    <cfRule type="cellIs" dxfId="1639" priority="1442" stopIfTrue="1" operator="equal">
      <formula>"E"</formula>
    </cfRule>
    <cfRule type="cellIs" dxfId="1638" priority="1443" stopIfTrue="1" operator="equal">
      <formula>"A DN"</formula>
    </cfRule>
    <cfRule type="cellIs" dxfId="1637" priority="1444" stopIfTrue="1" operator="equal">
      <formula>"A DN"</formula>
    </cfRule>
    <cfRule type="cellIs" dxfId="1636" priority="1445" stopIfTrue="1" operator="equal">
      <formula>"E"</formula>
    </cfRule>
    <cfRule type="cellIs" dxfId="1635" priority="1446" stopIfTrue="1" operator="equal">
      <formula>"D"</formula>
    </cfRule>
    <cfRule type="cellIs" dxfId="1634" priority="1447" stopIfTrue="1" operator="equal">
      <formula>"D1"</formula>
    </cfRule>
    <cfRule type="cellIs" dxfId="1633" priority="1448" stopIfTrue="1" operator="equal">
      <formula>"C2"</formula>
    </cfRule>
    <cfRule type="cellIs" dxfId="1632" priority="1449" stopIfTrue="1" operator="equal">
      <formula>"C1"</formula>
    </cfRule>
    <cfRule type="cellIs" dxfId="1631" priority="1450" stopIfTrue="1" operator="equal">
      <formula>"B2"</formula>
    </cfRule>
    <cfRule type="cellIs" dxfId="1630" priority="1451" stopIfTrue="1" operator="equal">
      <formula>"B1"</formula>
    </cfRule>
    <cfRule type="expression" dxfId="1629" priority="1452" stopIfTrue="1">
      <formula>#REF!</formula>
    </cfRule>
    <cfRule type="cellIs" dxfId="1628" priority="1453" stopIfTrue="1" operator="equal">
      <formula>"D"</formula>
    </cfRule>
  </conditionalFormatting>
  <conditionalFormatting sqref="L12:L73">
    <cfRule type="cellIs" dxfId="1627" priority="1454" stopIfTrue="1" operator="equal">
      <formula>"B1"</formula>
    </cfRule>
    <cfRule type="expression" dxfId="1626" priority="1455" stopIfTrue="1">
      <formula>#REF!</formula>
    </cfRule>
  </conditionalFormatting>
  <conditionalFormatting sqref="L12:L73">
    <cfRule type="cellIs" dxfId="1625" priority="1456" stopIfTrue="1" operator="equal">
      <formula>"B2"</formula>
    </cfRule>
    <cfRule type="expression" dxfId="1624" priority="1457" stopIfTrue="1">
      <formula>#REF!</formula>
    </cfRule>
  </conditionalFormatting>
  <conditionalFormatting sqref="L109:L118 L84:L92 L25 L35 L150:L159">
    <cfRule type="expression" dxfId="1623" priority="1537" stopIfTrue="1">
      <formula>"if=B1"</formula>
    </cfRule>
    <cfRule type="expression" dxfId="1622" priority="1538" stopIfTrue="1">
      <formula>$B15</formula>
    </cfRule>
    <cfRule type="expression" dxfId="1621" priority="1539" stopIfTrue="1">
      <formula>B15</formula>
    </cfRule>
  </conditionalFormatting>
  <conditionalFormatting sqref="L74:L82">
    <cfRule type="cellIs" dxfId="1620" priority="1565" stopIfTrue="1" operator="equal">
      <formula>"C2"</formula>
    </cfRule>
    <cfRule type="cellIs" dxfId="1619" priority="1566" stopIfTrue="1" operator="equal">
      <formula>"C1"</formula>
    </cfRule>
    <cfRule type="cellIs" dxfId="1618" priority="1567" stopIfTrue="1" operator="equal">
      <formula>"C2"</formula>
    </cfRule>
    <cfRule type="cellIs" dxfId="1617" priority="1568" stopIfTrue="1" operator="equal">
      <formula>"D"</formula>
    </cfRule>
    <cfRule type="cellIs" dxfId="1616" priority="1569" stopIfTrue="1" operator="equal">
      <formula>"E"</formula>
    </cfRule>
    <cfRule type="cellIs" dxfId="1615" priority="1570" stopIfTrue="1" operator="equal">
      <formula>"A DN"</formula>
    </cfRule>
    <cfRule type="cellIs" dxfId="1614" priority="1571" stopIfTrue="1" operator="equal">
      <formula>"A DN"</formula>
    </cfRule>
    <cfRule type="cellIs" dxfId="1613" priority="1572" stopIfTrue="1" operator="equal">
      <formula>"E"</formula>
    </cfRule>
    <cfRule type="cellIs" dxfId="1612" priority="1573" stopIfTrue="1" operator="equal">
      <formula>"D"</formula>
    </cfRule>
    <cfRule type="cellIs" dxfId="1611" priority="1574" stopIfTrue="1" operator="equal">
      <formula>"D1"</formula>
    </cfRule>
    <cfRule type="cellIs" dxfId="1610" priority="1575" stopIfTrue="1" operator="equal">
      <formula>"C2"</formula>
    </cfRule>
    <cfRule type="cellIs" dxfId="1609" priority="1576" stopIfTrue="1" operator="equal">
      <formula>"C1"</formula>
    </cfRule>
    <cfRule type="cellIs" dxfId="1608" priority="1577" stopIfTrue="1" operator="equal">
      <formula>"B2"</formula>
    </cfRule>
    <cfRule type="cellIs" dxfId="1607" priority="1578" stopIfTrue="1" operator="equal">
      <formula>"B1"</formula>
    </cfRule>
    <cfRule type="expression" dxfId="1606" priority="1579" stopIfTrue="1">
      <formula>B63</formula>
    </cfRule>
    <cfRule type="cellIs" dxfId="1605" priority="1580" stopIfTrue="1" operator="equal">
      <formula>"D"</formula>
    </cfRule>
  </conditionalFormatting>
  <conditionalFormatting sqref="L74:L82">
    <cfRule type="cellIs" dxfId="1604" priority="1583" stopIfTrue="1" operator="equal">
      <formula>"B1"</formula>
    </cfRule>
    <cfRule type="expression" dxfId="1603" priority="1584" stopIfTrue="1">
      <formula>B63</formula>
    </cfRule>
  </conditionalFormatting>
  <conditionalFormatting sqref="L74:L82">
    <cfRule type="cellIs" dxfId="1602" priority="1587" stopIfTrue="1" operator="equal">
      <formula>"B2"</formula>
    </cfRule>
    <cfRule type="expression" dxfId="1601" priority="1588" stopIfTrue="1">
      <formula>B63</formula>
    </cfRule>
  </conditionalFormatting>
  <conditionalFormatting sqref="L83 L34">
    <cfRule type="expression" dxfId="1600" priority="1676" stopIfTrue="1">
      <formula>"if=B1"</formula>
    </cfRule>
    <cfRule type="expression" dxfId="1599" priority="1677" stopIfTrue="1">
      <formula>#REF!</formula>
    </cfRule>
    <cfRule type="expression" dxfId="1598" priority="1678" stopIfTrue="1">
      <formula>#REF!</formula>
    </cfRule>
  </conditionalFormatting>
  <conditionalFormatting sqref="L83:L149">
    <cfRule type="cellIs" dxfId="1597" priority="1682" stopIfTrue="1" operator="equal">
      <formula>"C2"</formula>
    </cfRule>
    <cfRule type="cellIs" dxfId="1596" priority="1683" stopIfTrue="1" operator="equal">
      <formula>"C1"</formula>
    </cfRule>
    <cfRule type="cellIs" dxfId="1595" priority="1684" stopIfTrue="1" operator="equal">
      <formula>"C2"</formula>
    </cfRule>
    <cfRule type="cellIs" dxfId="1594" priority="1685" stopIfTrue="1" operator="equal">
      <formula>"D"</formula>
    </cfRule>
    <cfRule type="cellIs" dxfId="1593" priority="1686" stopIfTrue="1" operator="equal">
      <formula>"E"</formula>
    </cfRule>
    <cfRule type="cellIs" dxfId="1592" priority="1687" stopIfTrue="1" operator="equal">
      <formula>"A DN"</formula>
    </cfRule>
    <cfRule type="cellIs" dxfId="1591" priority="1688" stopIfTrue="1" operator="equal">
      <formula>"A DN"</formula>
    </cfRule>
    <cfRule type="cellIs" dxfId="1590" priority="1689" stopIfTrue="1" operator="equal">
      <formula>"E"</formula>
    </cfRule>
    <cfRule type="cellIs" dxfId="1589" priority="1690" stopIfTrue="1" operator="equal">
      <formula>"D"</formula>
    </cfRule>
    <cfRule type="cellIs" dxfId="1588" priority="1691" stopIfTrue="1" operator="equal">
      <formula>"D1"</formula>
    </cfRule>
    <cfRule type="cellIs" dxfId="1587" priority="1692" stopIfTrue="1" operator="equal">
      <formula>"C2"</formula>
    </cfRule>
    <cfRule type="cellIs" dxfId="1586" priority="1693" stopIfTrue="1" operator="equal">
      <formula>"C1"</formula>
    </cfRule>
    <cfRule type="cellIs" dxfId="1585" priority="1694" stopIfTrue="1" operator="equal">
      <formula>"B2"</formula>
    </cfRule>
    <cfRule type="cellIs" dxfId="1584" priority="1695" stopIfTrue="1" operator="equal">
      <formula>"B1"</formula>
    </cfRule>
    <cfRule type="expression" dxfId="1583" priority="1696" stopIfTrue="1">
      <formula>B73</formula>
    </cfRule>
    <cfRule type="cellIs" dxfId="1582" priority="1697" stopIfTrue="1" operator="equal">
      <formula>"D"</formula>
    </cfRule>
  </conditionalFormatting>
  <conditionalFormatting sqref="L83:L149">
    <cfRule type="cellIs" dxfId="1581" priority="1698" stopIfTrue="1" operator="equal">
      <formula>"B1"</formula>
    </cfRule>
    <cfRule type="expression" dxfId="1580" priority="1699" stopIfTrue="1">
      <formula>B73</formula>
    </cfRule>
  </conditionalFormatting>
  <conditionalFormatting sqref="L83:L149">
    <cfRule type="cellIs" dxfId="1579" priority="1700" stopIfTrue="1" operator="equal">
      <formula>"B2"</formula>
    </cfRule>
    <cfRule type="expression" dxfId="1578" priority="1701" stopIfTrue="1">
      <formula>B73</formula>
    </cfRule>
  </conditionalFormatting>
  <conditionalFormatting sqref="L26:L33">
    <cfRule type="expression" dxfId="1577" priority="1836" stopIfTrue="1">
      <formula>"if=B1"</formula>
    </cfRule>
    <cfRule type="expression" dxfId="1576" priority="1837" stopIfTrue="1">
      <formula>$B17</formula>
    </cfRule>
    <cfRule type="expression" dxfId="1575" priority="1838" stopIfTrue="1">
      <formula>B17</formula>
    </cfRule>
  </conditionalFormatting>
  <conditionalFormatting sqref="L150:L199">
    <cfRule type="cellIs" dxfId="1574" priority="1974" stopIfTrue="1" operator="equal">
      <formula>"C2"</formula>
    </cfRule>
    <cfRule type="cellIs" dxfId="1573" priority="1975" stopIfTrue="1" operator="equal">
      <formula>"C1"</formula>
    </cfRule>
    <cfRule type="cellIs" dxfId="1572" priority="1976" stopIfTrue="1" operator="equal">
      <formula>"C2"</formula>
    </cfRule>
    <cfRule type="cellIs" dxfId="1571" priority="1977" stopIfTrue="1" operator="equal">
      <formula>"D"</formula>
    </cfRule>
    <cfRule type="cellIs" dxfId="1570" priority="1978" stopIfTrue="1" operator="equal">
      <formula>"E"</formula>
    </cfRule>
    <cfRule type="cellIs" dxfId="1569" priority="1979" stopIfTrue="1" operator="equal">
      <formula>"A DN"</formula>
    </cfRule>
    <cfRule type="cellIs" dxfId="1568" priority="1980" stopIfTrue="1" operator="equal">
      <formula>"A DN"</formula>
    </cfRule>
    <cfRule type="cellIs" dxfId="1567" priority="1981" stopIfTrue="1" operator="equal">
      <formula>"E"</formula>
    </cfRule>
    <cfRule type="cellIs" dxfId="1566" priority="1982" stopIfTrue="1" operator="equal">
      <formula>"D"</formula>
    </cfRule>
    <cfRule type="cellIs" dxfId="1565" priority="1983" stopIfTrue="1" operator="equal">
      <formula>"D1"</formula>
    </cfRule>
    <cfRule type="cellIs" dxfId="1564" priority="1984" stopIfTrue="1" operator="equal">
      <formula>"C2"</formula>
    </cfRule>
    <cfRule type="cellIs" dxfId="1563" priority="1985" stopIfTrue="1" operator="equal">
      <formula>"C1"</formula>
    </cfRule>
    <cfRule type="cellIs" dxfId="1562" priority="1986" stopIfTrue="1" operator="equal">
      <formula>"B2"</formula>
    </cfRule>
    <cfRule type="cellIs" dxfId="1561" priority="1987" stopIfTrue="1" operator="equal">
      <formula>"B1"</formula>
    </cfRule>
    <cfRule type="expression" dxfId="1560" priority="1988" stopIfTrue="1">
      <formula>B141</formula>
    </cfRule>
    <cfRule type="cellIs" dxfId="1559" priority="1989" stopIfTrue="1" operator="equal">
      <formula>"D"</formula>
    </cfRule>
  </conditionalFormatting>
  <conditionalFormatting sqref="L150:L199">
    <cfRule type="cellIs" dxfId="1558" priority="1992" stopIfTrue="1" operator="equal">
      <formula>"B1"</formula>
    </cfRule>
    <cfRule type="expression" dxfId="1557" priority="1993" stopIfTrue="1">
      <formula>B141</formula>
    </cfRule>
  </conditionalFormatting>
  <conditionalFormatting sqref="L150:L199">
    <cfRule type="cellIs" dxfId="1556" priority="1996" stopIfTrue="1" operator="equal">
      <formula>"B2"</formula>
    </cfRule>
    <cfRule type="expression" dxfId="1555"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2" customFormat="1">
      <c r="A1" s="1693" t="s">
        <v>492</v>
      </c>
      <c r="B1" s="1693"/>
      <c r="C1" s="1693"/>
      <c r="D1" s="1693"/>
      <c r="E1" s="1693"/>
      <c r="F1" s="1693"/>
      <c r="G1" s="1693"/>
      <c r="H1" s="1693"/>
      <c r="I1" s="1693"/>
      <c r="J1" s="1693"/>
      <c r="K1" s="1003"/>
      <c r="L1" s="1003"/>
      <c r="M1" s="1003"/>
      <c r="O1" s="723"/>
      <c r="P1" s="723"/>
      <c r="Q1" s="723"/>
      <c r="R1" s="723"/>
      <c r="S1" s="723"/>
      <c r="T1" s="724"/>
      <c r="U1" s="1691" t="s">
        <v>849</v>
      </c>
      <c r="V1" s="1691"/>
      <c r="W1" s="1691"/>
      <c r="X1" s="1691"/>
      <c r="Y1" s="1691"/>
      <c r="Z1" s="1691"/>
      <c r="AA1" s="1691"/>
      <c r="AB1" s="1691"/>
      <c r="AC1" s="723"/>
      <c r="AD1" s="723"/>
      <c r="AE1" s="723"/>
      <c r="AF1" s="723"/>
    </row>
    <row r="2" spans="1:35" s="722" customFormat="1" ht="14.25">
      <c r="A2" s="1691" t="s">
        <v>1563</v>
      </c>
      <c r="B2" s="1691"/>
      <c r="C2" s="1691"/>
      <c r="D2" s="1691"/>
      <c r="E2" s="1691"/>
      <c r="F2" s="1691"/>
      <c r="G2" s="1691"/>
      <c r="H2" s="1691"/>
      <c r="I2" s="1691"/>
      <c r="J2" s="1691"/>
      <c r="K2" s="1002"/>
      <c r="L2" s="1002"/>
      <c r="M2" s="1002"/>
      <c r="O2" s="723"/>
      <c r="P2" s="723"/>
      <c r="Q2" s="723"/>
      <c r="R2" s="723"/>
      <c r="S2" s="723"/>
      <c r="T2" s="723"/>
      <c r="U2" s="723"/>
      <c r="V2" s="723"/>
      <c r="W2" s="723"/>
      <c r="X2" s="1691" t="s">
        <v>2179</v>
      </c>
      <c r="Y2" s="1691"/>
      <c r="Z2" s="1691"/>
      <c r="AA2" s="1691"/>
      <c r="AB2" s="1691"/>
      <c r="AC2" s="723"/>
      <c r="AF2" s="723"/>
    </row>
    <row r="3" spans="1:35" s="722" customFormat="1" ht="15" customHeight="1">
      <c r="A3" s="1691" t="s">
        <v>1564</v>
      </c>
      <c r="B3" s="1691"/>
      <c r="C3" s="1691"/>
      <c r="D3" s="1691"/>
      <c r="E3" s="1691"/>
      <c r="F3" s="1691"/>
      <c r="G3" s="1691"/>
      <c r="H3" s="1691"/>
      <c r="I3" s="1691"/>
      <c r="J3" s="1691"/>
      <c r="K3" s="1691"/>
      <c r="L3" s="1691"/>
      <c r="M3" s="1691"/>
      <c r="O3" s="723"/>
      <c r="P3" s="723"/>
      <c r="Q3" s="723"/>
      <c r="R3" s="723"/>
      <c r="S3" s="723"/>
      <c r="T3" s="723"/>
      <c r="U3" s="723"/>
      <c r="V3" s="723"/>
      <c r="W3" s="723"/>
      <c r="X3" s="723"/>
      <c r="Y3" s="723"/>
      <c r="Z3" s="1691" t="s">
        <v>2180</v>
      </c>
      <c r="AA3" s="1691"/>
      <c r="AB3" s="1691"/>
      <c r="AC3" s="723"/>
      <c r="AD3" s="723"/>
      <c r="AE3" s="723"/>
      <c r="AF3" s="723"/>
    </row>
    <row r="4" spans="1:35" s="722" customFormat="1" ht="16.5" customHeight="1">
      <c r="A4" s="1691"/>
      <c r="B4" s="1691"/>
      <c r="C4" s="1691"/>
      <c r="D4" s="1691"/>
      <c r="E4" s="1691"/>
      <c r="F4" s="1691"/>
      <c r="G4" s="1691"/>
      <c r="H4" s="1691"/>
      <c r="I4" s="1691"/>
      <c r="J4" s="1691"/>
      <c r="K4" s="1691"/>
      <c r="L4" s="1691"/>
      <c r="M4" s="1691"/>
      <c r="N4" s="726"/>
      <c r="O4" s="727"/>
      <c r="P4" s="1003"/>
      <c r="Q4" s="1003"/>
      <c r="R4" s="1003"/>
      <c r="S4" s="727"/>
      <c r="T4" s="728"/>
      <c r="U4" s="727"/>
      <c r="V4" s="729"/>
      <c r="W4" s="729"/>
      <c r="X4" s="727"/>
      <c r="Y4" s="727"/>
      <c r="Z4" s="1693" t="s">
        <v>2181</v>
      </c>
      <c r="AA4" s="1693"/>
      <c r="AB4" s="1693"/>
      <c r="AC4" s="732"/>
      <c r="AD4" s="732"/>
      <c r="AE4" s="732"/>
      <c r="AF4" s="732"/>
    </row>
    <row r="5" spans="1:35" s="722" customFormat="1" ht="16.5" customHeight="1">
      <c r="A5" s="730"/>
      <c r="B5" s="731"/>
      <c r="C5" s="731"/>
      <c r="D5" s="731"/>
      <c r="E5" s="731"/>
      <c r="F5" s="731"/>
      <c r="G5" s="731"/>
      <c r="H5" s="731"/>
      <c r="I5" s="731"/>
      <c r="J5" s="731"/>
      <c r="K5" s="730"/>
      <c r="L5" s="730"/>
      <c r="M5" s="730"/>
      <c r="N5" s="726"/>
      <c r="O5" s="727"/>
      <c r="P5" s="1003"/>
      <c r="Q5" s="1003"/>
      <c r="R5" s="1003"/>
      <c r="S5" s="727"/>
      <c r="T5" s="728"/>
      <c r="U5" s="727"/>
      <c r="V5" s="729"/>
      <c r="W5" s="729"/>
      <c r="X5" s="727"/>
      <c r="Y5" s="727"/>
      <c r="Z5" s="1693" t="s">
        <v>2182</v>
      </c>
      <c r="AA5" s="1693"/>
      <c r="AB5" s="1693"/>
      <c r="AC5" s="732"/>
      <c r="AD5" s="732"/>
      <c r="AE5" s="732"/>
      <c r="AF5" s="732"/>
    </row>
    <row r="6" spans="1:35"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733"/>
      <c r="AD6" s="733"/>
      <c r="AE6" s="733"/>
      <c r="AF6" s="733"/>
    </row>
    <row r="7" spans="1:35" s="722" customFormat="1" ht="18.75" customHeight="1">
      <c r="A7" s="1690" t="s">
        <v>2216</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733"/>
      <c r="AD7" s="733"/>
      <c r="AE7" s="733"/>
      <c r="AF7" s="733"/>
    </row>
    <row r="8" spans="1:35" hidden="1">
      <c r="A8" s="1694" t="s">
        <v>492</v>
      </c>
      <c r="B8" s="1694"/>
      <c r="C8" s="1694"/>
      <c r="D8" s="1694"/>
      <c r="E8" s="1694"/>
      <c r="F8" s="1694"/>
      <c r="G8" s="1694"/>
      <c r="H8" s="1694"/>
      <c r="I8" s="1694"/>
      <c r="J8" s="1694"/>
      <c r="K8" s="1694"/>
      <c r="L8" s="1694"/>
      <c r="M8" s="1694"/>
      <c r="O8" s="19"/>
      <c r="P8" s="19"/>
      <c r="Q8" s="19"/>
      <c r="R8" s="467"/>
      <c r="S8" s="1678" t="s">
        <v>849</v>
      </c>
      <c r="T8" s="1678"/>
      <c r="U8" s="1678"/>
      <c r="V8" s="1678"/>
      <c r="W8" s="1678"/>
      <c r="X8" s="1678"/>
      <c r="Y8" s="1678"/>
      <c r="Z8" s="1678"/>
      <c r="AA8" s="1678"/>
      <c r="AB8" s="1678"/>
      <c r="AC8" s="1678"/>
      <c r="AD8" s="1678"/>
      <c r="AE8" s="1678"/>
      <c r="AF8" s="227"/>
      <c r="AG8" s="513"/>
      <c r="AI8" s="157"/>
    </row>
    <row r="9" spans="1:35" ht="15" hidden="1" customHeight="1">
      <c r="A9" s="1678" t="s">
        <v>1563</v>
      </c>
      <c r="B9" s="1678"/>
      <c r="C9" s="1678"/>
      <c r="D9" s="1678"/>
      <c r="E9" s="1678"/>
      <c r="F9" s="1678"/>
      <c r="G9" s="1678"/>
      <c r="H9" s="1678"/>
      <c r="I9" s="1678"/>
      <c r="J9" s="1678"/>
      <c r="K9" s="1678"/>
      <c r="L9" s="1678"/>
      <c r="M9" s="1678"/>
      <c r="O9" s="19"/>
      <c r="P9" s="19"/>
      <c r="Q9" s="19"/>
      <c r="R9" s="467"/>
      <c r="S9" s="1678" t="s">
        <v>851</v>
      </c>
      <c r="T9" s="1678"/>
      <c r="U9" s="1678"/>
      <c r="V9" s="1678"/>
      <c r="W9" s="1678"/>
      <c r="X9" s="1678"/>
      <c r="Y9" s="1678"/>
      <c r="Z9" s="1678"/>
      <c r="AA9" s="1678"/>
      <c r="AB9" s="1678"/>
      <c r="AC9" s="1678"/>
      <c r="AD9" s="1678"/>
      <c r="AE9" s="1678"/>
      <c r="AF9" s="227"/>
      <c r="AG9" s="513"/>
      <c r="AI9" s="157"/>
    </row>
    <row r="10" spans="1:35" ht="16.5" hidden="1" customHeight="1">
      <c r="A10" s="1678" t="s">
        <v>1564</v>
      </c>
      <c r="B10" s="1678"/>
      <c r="C10" s="1678"/>
      <c r="D10" s="1678"/>
      <c r="E10" s="1678"/>
      <c r="F10" s="1678"/>
      <c r="G10" s="1678"/>
      <c r="H10" s="1678"/>
      <c r="I10" s="1678"/>
      <c r="J10" s="1678"/>
      <c r="K10" s="1678"/>
      <c r="L10" s="1678"/>
      <c r="M10" s="1678"/>
      <c r="N10" s="104"/>
      <c r="O10" s="1004"/>
      <c r="P10" s="1004"/>
      <c r="Q10" s="17"/>
      <c r="R10" s="468"/>
      <c r="S10" s="17"/>
      <c r="T10" s="397"/>
      <c r="U10" s="17"/>
      <c r="V10" s="607"/>
      <c r="W10" s="607"/>
      <c r="X10" s="17"/>
      <c r="Y10" s="17"/>
      <c r="Z10" s="17"/>
      <c r="AA10" s="17"/>
      <c r="AB10" s="17"/>
      <c r="AC10" s="17"/>
      <c r="AD10" s="16"/>
      <c r="AE10" s="101"/>
      <c r="AF10" s="227"/>
      <c r="AG10" s="513"/>
      <c r="AI10" s="157"/>
    </row>
    <row r="11" spans="1:35" ht="9" hidden="1" customHeight="1">
      <c r="A11" s="1006"/>
      <c r="B11" s="1006"/>
      <c r="C11" s="1006"/>
      <c r="D11" s="1006"/>
      <c r="E11" s="1006"/>
      <c r="F11" s="1006"/>
      <c r="G11" s="1006"/>
      <c r="H11" s="1006"/>
      <c r="I11" s="1006"/>
      <c r="J11" s="1006"/>
      <c r="K11" s="1006"/>
      <c r="L11" s="1006"/>
      <c r="M11" s="1006"/>
      <c r="N11" s="104"/>
      <c r="O11" s="1004"/>
      <c r="P11" s="1004"/>
      <c r="Q11" s="17"/>
      <c r="R11" s="468"/>
      <c r="S11" s="17"/>
      <c r="T11" s="397"/>
      <c r="U11" s="17"/>
      <c r="V11" s="607"/>
      <c r="W11" s="607"/>
      <c r="X11" s="17"/>
      <c r="Y11" s="17"/>
      <c r="Z11" s="17"/>
      <c r="AA11" s="17"/>
      <c r="AB11" s="17"/>
      <c r="AC11" s="17"/>
      <c r="AD11" s="16"/>
      <c r="AE11" s="101"/>
      <c r="AF11" s="227"/>
      <c r="AG11" s="513"/>
      <c r="AI11" s="157"/>
    </row>
    <row r="12" spans="1:35" ht="18.75" hidden="1" customHeight="1">
      <c r="A12" s="1682" t="s">
        <v>2159</v>
      </c>
      <c r="B12" s="1682"/>
      <c r="C12" s="1682"/>
      <c r="D12" s="1682"/>
      <c r="E12" s="1682"/>
      <c r="F12" s="1682"/>
      <c r="G12" s="1682"/>
      <c r="H12" s="1682"/>
      <c r="I12" s="1682"/>
      <c r="J12" s="1682"/>
      <c r="K12" s="1682"/>
      <c r="L12" s="1682"/>
      <c r="M12" s="1682"/>
      <c r="N12" s="1682"/>
      <c r="O12" s="1682"/>
      <c r="P12" s="1682"/>
      <c r="Q12" s="1682"/>
      <c r="R12" s="1682"/>
      <c r="S12" s="1682"/>
      <c r="T12" s="1682"/>
      <c r="U12" s="1682"/>
      <c r="V12" s="1682"/>
      <c r="W12" s="1682"/>
      <c r="X12" s="1682"/>
      <c r="Y12" s="1682"/>
      <c r="Z12" s="1682"/>
      <c r="AA12" s="1682"/>
      <c r="AB12" s="1682"/>
      <c r="AC12" s="1682"/>
      <c r="AD12" s="1682"/>
      <c r="AE12" s="1682"/>
      <c r="AF12" s="227"/>
      <c r="AG12" s="513"/>
      <c r="AI12" s="157"/>
    </row>
    <row r="13" spans="1:35" ht="18.75" hidden="1" customHeight="1">
      <c r="A13" s="1682" t="s">
        <v>1600</v>
      </c>
      <c r="B13" s="1682"/>
      <c r="C13" s="1682"/>
      <c r="D13" s="1682"/>
      <c r="E13" s="1682"/>
      <c r="F13" s="1682"/>
      <c r="G13" s="1682"/>
      <c r="H13" s="1682"/>
      <c r="I13" s="1682"/>
      <c r="J13" s="1682"/>
      <c r="K13" s="1682"/>
      <c r="L13" s="1682"/>
      <c r="M13" s="1682"/>
      <c r="N13" s="1682"/>
      <c r="O13" s="1682"/>
      <c r="P13" s="1682"/>
      <c r="Q13" s="1682"/>
      <c r="R13" s="1682"/>
      <c r="S13" s="1682"/>
      <c r="T13" s="1682"/>
      <c r="U13" s="1682"/>
      <c r="V13" s="1682"/>
      <c r="W13" s="1682"/>
      <c r="X13" s="1682"/>
      <c r="Y13" s="1682"/>
      <c r="Z13" s="1682"/>
      <c r="AA13" s="1682"/>
      <c r="AB13" s="1682"/>
      <c r="AC13" s="1682"/>
      <c r="AD13" s="1682"/>
      <c r="AE13" s="1682"/>
      <c r="AF13" s="227"/>
      <c r="AG13" s="513"/>
      <c r="AI13" s="157"/>
    </row>
    <row r="14" spans="1:35" ht="54" hidden="1" customHeight="1">
      <c r="A14" s="1683" t="s">
        <v>2007</v>
      </c>
      <c r="B14" s="1683"/>
      <c r="C14" s="1683"/>
      <c r="D14" s="1683"/>
      <c r="E14" s="1683"/>
      <c r="F14" s="1683"/>
      <c r="G14" s="1683"/>
      <c r="H14" s="1683"/>
      <c r="I14" s="1683"/>
      <c r="J14" s="1683"/>
      <c r="K14" s="1683"/>
      <c r="L14" s="1683"/>
      <c r="M14" s="1683"/>
      <c r="N14" s="1683"/>
      <c r="O14" s="1683"/>
      <c r="P14" s="1683"/>
      <c r="Q14" s="1683"/>
      <c r="R14" s="1683"/>
      <c r="S14" s="1683"/>
      <c r="T14" s="1683"/>
      <c r="U14" s="1683"/>
      <c r="V14" s="1683"/>
      <c r="W14" s="1683"/>
      <c r="X14" s="1683"/>
      <c r="Y14" s="1683"/>
      <c r="Z14" s="1683"/>
      <c r="AA14" s="1683"/>
      <c r="AB14" s="1683"/>
      <c r="AC14" s="1683"/>
      <c r="AD14" s="1683"/>
      <c r="AE14" s="1683"/>
      <c r="AF14" s="227"/>
      <c r="AG14" s="513"/>
      <c r="AI14" s="157"/>
    </row>
    <row r="15" spans="1:35" s="521" customFormat="1" ht="16.5" hidden="1" customHeight="1">
      <c r="A15" s="520" t="s">
        <v>2013</v>
      </c>
      <c r="C15" s="522">
        <v>1490000</v>
      </c>
      <c r="D15" s="523"/>
      <c r="E15" s="523"/>
      <c r="F15" s="1008"/>
      <c r="G15" s="525">
        <v>1800000</v>
      </c>
      <c r="H15" s="525"/>
      <c r="I15" s="526"/>
      <c r="J15" s="526"/>
      <c r="K15" s="527"/>
      <c r="L15" s="528"/>
      <c r="M15" s="526"/>
      <c r="N15" s="529"/>
      <c r="O15" s="1684"/>
      <c r="P15" s="1684"/>
      <c r="Q15" s="1684"/>
      <c r="R15" s="1684"/>
      <c r="S15" s="1684"/>
      <c r="T15" s="530"/>
      <c r="U15" s="531"/>
      <c r="V15" s="608"/>
      <c r="W15" s="608"/>
      <c r="X15" s="999" t="s">
        <v>1181</v>
      </c>
      <c r="Y15" s="999"/>
      <c r="Z15" s="999"/>
      <c r="AA15" s="999"/>
      <c r="AB15" s="999"/>
      <c r="AC15" s="99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8"/>
      <c r="G17" s="525">
        <v>1800000</v>
      </c>
      <c r="H17" s="525"/>
      <c r="I17" s="526"/>
      <c r="J17" s="526"/>
      <c r="K17" s="527"/>
      <c r="L17" s="528"/>
      <c r="M17" s="526"/>
      <c r="N17" s="529"/>
      <c r="O17" s="1684"/>
      <c r="P17" s="1684"/>
      <c r="Q17" s="1684"/>
      <c r="R17" s="1684"/>
      <c r="S17" s="1684"/>
      <c r="T17" s="530"/>
      <c r="U17" s="531"/>
      <c r="V17" s="608"/>
      <c r="W17" s="999" t="s">
        <v>1181</v>
      </c>
      <c r="X17" s="999"/>
      <c r="Y17" s="999"/>
      <c r="Z17" s="999"/>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9" t="s">
        <v>853</v>
      </c>
      <c r="B19" s="1702" t="s">
        <v>854</v>
      </c>
      <c r="C19" s="1702"/>
      <c r="D19" s="93" t="s">
        <v>1598</v>
      </c>
      <c r="E19" s="437" t="s">
        <v>50</v>
      </c>
      <c r="F19" s="45" t="s">
        <v>1137</v>
      </c>
      <c r="G19" s="228" t="s">
        <v>1138</v>
      </c>
      <c r="H19" s="45" t="s">
        <v>1139</v>
      </c>
      <c r="I19" s="45" t="s">
        <v>1140</v>
      </c>
      <c r="J19" s="719" t="s">
        <v>2176</v>
      </c>
      <c r="K19" s="83" t="s">
        <v>855</v>
      </c>
      <c r="L19" s="364" t="s">
        <v>1141</v>
      </c>
      <c r="M19" s="1000" t="s">
        <v>860</v>
      </c>
      <c r="N19" s="1000" t="s">
        <v>1186</v>
      </c>
      <c r="O19" s="1000" t="s">
        <v>861</v>
      </c>
      <c r="P19" s="1000" t="s">
        <v>857</v>
      </c>
      <c r="Q19" s="1000" t="s">
        <v>1187</v>
      </c>
      <c r="R19" s="470" t="s">
        <v>1247</v>
      </c>
      <c r="S19" s="98" t="s">
        <v>1188</v>
      </c>
      <c r="T19" s="399" t="s">
        <v>1184</v>
      </c>
      <c r="U19" s="1000" t="s">
        <v>1189</v>
      </c>
      <c r="V19" s="610" t="s">
        <v>1190</v>
      </c>
      <c r="W19" s="1000" t="s">
        <v>1100</v>
      </c>
      <c r="X19" s="718" t="s">
        <v>2172</v>
      </c>
      <c r="Y19" s="718" t="s">
        <v>2173</v>
      </c>
      <c r="Z19" s="718" t="s">
        <v>2174</v>
      </c>
      <c r="AA19" s="1695" t="s">
        <v>2175</v>
      </c>
      <c r="AB19" s="1696"/>
      <c r="AC19" s="454"/>
      <c r="AF19" s="159"/>
    </row>
    <row r="20" spans="1:42" s="113" customFormat="1" ht="15" customHeight="1">
      <c r="A20" s="997" t="s">
        <v>858</v>
      </c>
      <c r="B20" s="1679" t="s">
        <v>525</v>
      </c>
      <c r="C20" s="1679"/>
      <c r="D20" s="997"/>
      <c r="E20" s="438"/>
      <c r="F20" s="997" t="s">
        <v>1112</v>
      </c>
      <c r="G20" s="997" t="s">
        <v>1113</v>
      </c>
      <c r="H20" s="997" t="s">
        <v>1114</v>
      </c>
      <c r="I20" s="997" t="s">
        <v>1115</v>
      </c>
      <c r="J20" s="1001" t="s">
        <v>786</v>
      </c>
      <c r="K20" s="77" t="s">
        <v>1112</v>
      </c>
      <c r="L20" s="365" t="s">
        <v>1117</v>
      </c>
      <c r="M20" s="997" t="s">
        <v>1113</v>
      </c>
      <c r="N20" s="997" t="s">
        <v>1114</v>
      </c>
      <c r="O20" s="997" t="s">
        <v>1115</v>
      </c>
      <c r="P20" s="997" t="s">
        <v>1116</v>
      </c>
      <c r="Q20" s="997" t="s">
        <v>1117</v>
      </c>
      <c r="R20" s="471" t="s">
        <v>1125</v>
      </c>
      <c r="S20" s="997" t="s">
        <v>1118</v>
      </c>
      <c r="T20" s="400" t="s">
        <v>1127</v>
      </c>
      <c r="U20" s="997">
        <v>10</v>
      </c>
      <c r="V20" s="611" t="s">
        <v>2022</v>
      </c>
      <c r="W20" s="997">
        <v>11</v>
      </c>
      <c r="X20" s="1001">
        <v>1</v>
      </c>
      <c r="Y20" s="1001">
        <v>2</v>
      </c>
      <c r="Z20" s="1001" t="s">
        <v>2177</v>
      </c>
      <c r="AA20" s="1688" t="s">
        <v>2178</v>
      </c>
      <c r="AB20" s="1689"/>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8">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6">
        <f>W21/Y21</f>
        <v>10.656000000000001</v>
      </c>
      <c r="Y21" s="1015">
        <v>1800000</v>
      </c>
      <c r="Z21" s="1012">
        <f>X21*Y21</f>
        <v>19180800</v>
      </c>
      <c r="AA21" s="593">
        <f t="shared" ref="AA21:AA83" si="7">A21</f>
        <v>1</v>
      </c>
      <c r="AB21" s="511">
        <f>IFERROR(INDEX('[12]CN BC'!$M$10:$M$276,MATCH(B21,'[12]CN BC'!$H$10:$H$276,0)),"")</f>
        <v>0</v>
      </c>
      <c r="AC21" s="1026"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6">
        <f t="shared" ref="X22:X84" si="8">W22/Y22</f>
        <v>9.6457600000000028</v>
      </c>
      <c r="Y22" s="1015">
        <v>1800000</v>
      </c>
      <c r="Z22" s="1012">
        <f t="shared" ref="Z22:Z84" si="9">X22*Y22</f>
        <v>17362368.000000004</v>
      </c>
      <c r="AA22" s="593">
        <f t="shared" si="7"/>
        <v>2</v>
      </c>
      <c r="AB22" s="511">
        <f>IFERROR(INDEX('[12]CN BC'!$M$10:$M$276,MATCH(B22,'[12]CN BC'!$H$10:$H$276,0)),"")</f>
        <v>0</v>
      </c>
      <c r="AC22" s="1026"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6">
        <f t="shared" si="8"/>
        <v>9.7254400000000008</v>
      </c>
      <c r="Y23" s="1015">
        <v>1800000</v>
      </c>
      <c r="Z23" s="1012">
        <f t="shared" si="9"/>
        <v>17505792</v>
      </c>
      <c r="AA23" s="593">
        <f t="shared" si="7"/>
        <v>3</v>
      </c>
      <c r="AB23" s="511">
        <f>IFERROR(INDEX('[12]CN BC'!$M$10:$M$276,MATCH(B23,'[12]CN BC'!$H$10:$H$276,0)),"")</f>
        <v>0</v>
      </c>
      <c r="AC23" s="1027"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6">
        <f t="shared" si="8"/>
        <v>8.5600000000000023</v>
      </c>
      <c r="Y24" s="1015">
        <v>1800000</v>
      </c>
      <c r="Z24" s="1012">
        <f t="shared" si="9"/>
        <v>15408000.000000004</v>
      </c>
      <c r="AA24" s="593">
        <f t="shared" si="7"/>
        <v>4</v>
      </c>
      <c r="AB24" s="511">
        <f>IFERROR(INDEX('[12]CN BC'!$M$10:$M$276,MATCH(B24,'[12]CN BC'!$H$10:$H$276,0)),"")</f>
        <v>0</v>
      </c>
      <c r="AC24" s="1026"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6">
        <f t="shared" si="8"/>
        <v>9.0863999999999994</v>
      </c>
      <c r="Y25" s="1015">
        <v>1800000</v>
      </c>
      <c r="Z25" s="1012">
        <f t="shared" si="9"/>
        <v>16355519.999999998</v>
      </c>
      <c r="AA25" s="593">
        <f t="shared" si="7"/>
        <v>5</v>
      </c>
      <c r="AB25" s="511">
        <f>IFERROR(INDEX('[12]CN BC'!$M$10:$M$276,MATCH(B25,'[12]CN BC'!$H$10:$H$276,0)),"")</f>
        <v>0</v>
      </c>
      <c r="AC25" s="1026"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6">
        <f t="shared" si="8"/>
        <v>5.1520000000000001</v>
      </c>
      <c r="Y26" s="1015">
        <v>1800000</v>
      </c>
      <c r="Z26" s="1012">
        <f t="shared" si="9"/>
        <v>9273600</v>
      </c>
      <c r="AA26" s="593">
        <f t="shared" si="7"/>
        <v>6</v>
      </c>
      <c r="AB26" s="511">
        <f>IFERROR(INDEX('[12]CN BC'!$M$10:$M$276,MATCH(B26,'[12]CN BC'!$H$10:$H$276,0)),"")</f>
        <v>0</v>
      </c>
      <c r="AC26" s="1026"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6">
        <f t="shared" si="8"/>
        <v>5.36</v>
      </c>
      <c r="Y27" s="1015">
        <v>1800000</v>
      </c>
      <c r="Z27" s="1012">
        <f t="shared" si="9"/>
        <v>9648000</v>
      </c>
      <c r="AA27" s="593">
        <f t="shared" si="7"/>
        <v>7</v>
      </c>
      <c r="AB27" s="511">
        <f>IFERROR(INDEX('[12]CN BC'!$M$10:$M$276,MATCH(B27,'[12]CN BC'!$H$10:$H$276,0)),"")</f>
        <v>0</v>
      </c>
      <c r="AC27" s="1026"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6">
        <f t="shared" si="8"/>
        <v>5.8559999999999999</v>
      </c>
      <c r="Y28" s="1015">
        <v>1800000</v>
      </c>
      <c r="Z28" s="1012">
        <f t="shared" si="9"/>
        <v>10540800</v>
      </c>
      <c r="AA28" s="593">
        <f t="shared" si="7"/>
        <v>8</v>
      </c>
      <c r="AB28" s="511">
        <f>IFERROR(INDEX('[12]CN BC'!$M$10:$M$276,MATCH(B28,'[12]CN BC'!$H$10:$H$276,0)),"")</f>
        <v>0</v>
      </c>
      <c r="AC28" s="1026"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6">
        <f t="shared" si="8"/>
        <v>5.5860000000000003</v>
      </c>
      <c r="Y29" s="1015">
        <v>1800000</v>
      </c>
      <c r="Z29" s="1012">
        <f t="shared" si="9"/>
        <v>10054800</v>
      </c>
      <c r="AA29" s="593">
        <f t="shared" si="7"/>
        <v>9</v>
      </c>
      <c r="AB29" s="511">
        <f>IFERROR(INDEX('[12]CN BC'!$M$10:$M$276,MATCH(B29,'[12]CN BC'!$H$10:$H$276,0)),"")</f>
        <v>0</v>
      </c>
      <c r="AC29" s="1026"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6">
        <f t="shared" si="8"/>
        <v>3.8242105263157899</v>
      </c>
      <c r="Y30" s="1015">
        <v>1800000</v>
      </c>
      <c r="Z30" s="1012">
        <f t="shared" si="9"/>
        <v>6883578.9473684216</v>
      </c>
      <c r="AA30" s="593">
        <f t="shared" si="7"/>
        <v>10</v>
      </c>
      <c r="AB30" s="511" t="str">
        <f>IFERROR(INDEX('[12]CN BC'!$M$10:$M$276,MATCH(B30,'[12]CN BC'!$H$10:$H$276,0)),"")</f>
        <v>Trừ 2 ngày nghỉ phép 11+12/4</v>
      </c>
      <c r="AC30" s="1026"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6">
        <f t="shared" si="8"/>
        <v>5.1239999999999997</v>
      </c>
      <c r="Y31" s="1015">
        <v>1800000</v>
      </c>
      <c r="Z31" s="1012">
        <f t="shared" si="9"/>
        <v>9223200</v>
      </c>
      <c r="AA31" s="593">
        <f t="shared" si="7"/>
        <v>11</v>
      </c>
      <c r="AB31" s="511">
        <f>IFERROR(INDEX('[12]CN BC'!$M$10:$M$276,MATCH(B31,'[12]CN BC'!$H$10:$H$276,0)),"")</f>
        <v>0</v>
      </c>
      <c r="AC31" s="1026"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6">
        <f t="shared" si="8"/>
        <v>5.8559999999999999</v>
      </c>
      <c r="Y32" s="1015">
        <v>1800000</v>
      </c>
      <c r="Z32" s="1012">
        <f t="shared" si="9"/>
        <v>10540800</v>
      </c>
      <c r="AA32" s="593">
        <f t="shared" si="7"/>
        <v>12</v>
      </c>
      <c r="AB32" s="511">
        <f>IFERROR(INDEX('[12]CN BC'!$M$10:$M$276,MATCH(B32,'[12]CN BC'!$H$10:$H$276,0)),"")</f>
        <v>0</v>
      </c>
      <c r="AC32" s="1026"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6">
        <f t="shared" si="8"/>
        <v>4.3920000000000003</v>
      </c>
      <c r="Y33" s="1015">
        <v>1800000</v>
      </c>
      <c r="Z33" s="1012">
        <f t="shared" si="9"/>
        <v>7905600.0000000009</v>
      </c>
      <c r="AA33" s="593">
        <f t="shared" si="7"/>
        <v>13</v>
      </c>
      <c r="AB33" s="511">
        <f>IFERROR(INDEX('[12]CN BC'!$M$10:$M$276,MATCH(B33,'[12]CN BC'!$H$10:$H$276,0)),"")</f>
        <v>0</v>
      </c>
      <c r="AC33" s="1026"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6">
        <f t="shared" si="8"/>
        <v>4.6619999999999999</v>
      </c>
      <c r="Y34" s="1015">
        <v>1800000</v>
      </c>
      <c r="Z34" s="1012">
        <f t="shared" si="9"/>
        <v>8391600</v>
      </c>
      <c r="AA34" s="593">
        <f t="shared" si="7"/>
        <v>14</v>
      </c>
      <c r="AB34" s="511">
        <f>IFERROR(INDEX('[12]CN BC'!$M$10:$M$276,MATCH(B34,'[12]CN BC'!$H$10:$H$276,0)),"")</f>
        <v>0</v>
      </c>
      <c r="AC34" s="1027"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6">
        <f t="shared" si="8"/>
        <v>3.6539999999999999</v>
      </c>
      <c r="Y35" s="1015">
        <v>1800000</v>
      </c>
      <c r="Z35" s="1012">
        <f t="shared" si="9"/>
        <v>6577200</v>
      </c>
      <c r="AA35" s="593">
        <f t="shared" si="7"/>
        <v>15</v>
      </c>
      <c r="AB35" s="511">
        <f>IFERROR(INDEX('[12]CN BC'!$M$10:$M$276,MATCH(B35,'[12]CN BC'!$H$10:$H$276,0)),"")</f>
        <v>0</v>
      </c>
      <c r="AC35" s="1027"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6">
        <f t="shared" si="8"/>
        <v>9.0863999999999994</v>
      </c>
      <c r="Y36" s="1015">
        <v>1800000</v>
      </c>
      <c r="Z36" s="1012">
        <f t="shared" si="9"/>
        <v>16355519.999999998</v>
      </c>
      <c r="AA36" s="593">
        <f t="shared" si="7"/>
        <v>16</v>
      </c>
      <c r="AB36" s="511">
        <f>IFERROR(INDEX('[12]CN BC'!$M$10:$M$276,MATCH(B36,'[12]CN BC'!$H$10:$H$276,0)),"")</f>
        <v>0</v>
      </c>
      <c r="AC36" s="1026"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6">
        <f t="shared" si="8"/>
        <v>9.0857600000000005</v>
      </c>
      <c r="Y37" s="1015">
        <v>1800000</v>
      </c>
      <c r="Z37" s="1012">
        <f t="shared" si="9"/>
        <v>16354368</v>
      </c>
      <c r="AA37" s="593">
        <f t="shared" si="7"/>
        <v>17</v>
      </c>
      <c r="AB37" s="511">
        <f>IFERROR(INDEX('[12]CN BC'!$M$10:$M$276,MATCH(B37,'[12]CN BC'!$H$10:$H$276,0)),"")</f>
        <v>0</v>
      </c>
      <c r="AC37" s="1026"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6">
        <f t="shared" si="8"/>
        <v>5.46</v>
      </c>
      <c r="Y38" s="1015">
        <v>1800000</v>
      </c>
      <c r="Z38" s="1012">
        <f t="shared" si="9"/>
        <v>9828000</v>
      </c>
      <c r="AA38" s="593">
        <f t="shared" si="7"/>
        <v>18</v>
      </c>
      <c r="AB38" s="511">
        <f>IFERROR(INDEX('[12]CN BC'!$M$10:$M$276,MATCH(B38,'[12]CN BC'!$H$10:$H$276,0)),"")</f>
        <v>0</v>
      </c>
      <c r="AC38" s="1026"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6">
        <f t="shared" si="8"/>
        <v>4.1520000000000001</v>
      </c>
      <c r="Y39" s="1015">
        <v>1800000</v>
      </c>
      <c r="Z39" s="1012">
        <f t="shared" si="9"/>
        <v>7473600</v>
      </c>
      <c r="AA39" s="593">
        <f t="shared" si="7"/>
        <v>19</v>
      </c>
      <c r="AB39" s="511">
        <f>IFERROR(INDEX('[12]CN BC'!$M$10:$M$276,MATCH(B39,'[12]CN BC'!$H$10:$H$276,0)),"")</f>
        <v>0</v>
      </c>
      <c r="AC39" s="1026"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6">
        <f t="shared" si="8"/>
        <v>4.8440000000000003</v>
      </c>
      <c r="Y40" s="1015">
        <v>1800000</v>
      </c>
      <c r="Z40" s="1012">
        <f t="shared" si="9"/>
        <v>8719200</v>
      </c>
      <c r="AA40" s="593">
        <f t="shared" si="7"/>
        <v>20</v>
      </c>
      <c r="AB40" s="511">
        <f>IFERROR(INDEX('[12]CN BC'!$M$10:$M$276,MATCH(B40,'[12]CN BC'!$H$10:$H$276,0)),"")</f>
        <v>0</v>
      </c>
      <c r="AC40" s="1026"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6">
        <f t="shared" si="8"/>
        <v>4.008</v>
      </c>
      <c r="Y41" s="1015">
        <v>1800000</v>
      </c>
      <c r="Z41" s="1012">
        <f t="shared" si="9"/>
        <v>7214400</v>
      </c>
      <c r="AA41" s="593">
        <f t="shared" si="7"/>
        <v>21</v>
      </c>
      <c r="AB41" s="511">
        <f>IFERROR(INDEX('[12]CN BC'!$M$10:$M$276,MATCH(B41,'[12]CN BC'!$H$10:$H$276,0)),"")</f>
        <v>0</v>
      </c>
      <c r="AC41" s="1026"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6">
        <f t="shared" si="8"/>
        <v>4.3920000000000003</v>
      </c>
      <c r="Y42" s="1015">
        <v>1800000</v>
      </c>
      <c r="Z42" s="1012">
        <f t="shared" si="9"/>
        <v>7905600.0000000009</v>
      </c>
      <c r="AA42" s="593">
        <f t="shared" si="7"/>
        <v>22</v>
      </c>
      <c r="AB42" s="511">
        <f>IFERROR(INDEX('[12]CN BC'!$M$10:$M$276,MATCH(B42,'[12]CN BC'!$H$10:$H$276,0)),"")</f>
        <v>0</v>
      </c>
      <c r="AC42" s="1026"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6">
        <f t="shared" si="8"/>
        <v>4.8479999999999999</v>
      </c>
      <c r="Y43" s="1015">
        <v>1800000</v>
      </c>
      <c r="Z43" s="1012">
        <f t="shared" si="9"/>
        <v>8726400</v>
      </c>
      <c r="AA43" s="593">
        <f t="shared" si="7"/>
        <v>23</v>
      </c>
      <c r="AB43" s="511">
        <f>IFERROR(INDEX('[12]CN BC'!$M$10:$M$276,MATCH(B43,'[12]CN BC'!$H$10:$H$276,0)),"")</f>
        <v>0</v>
      </c>
      <c r="AC43" s="1028"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6">
        <f t="shared" si="8"/>
        <v>4.6760000000000002</v>
      </c>
      <c r="Y44" s="1015">
        <v>1800000</v>
      </c>
      <c r="Z44" s="1012">
        <f t="shared" si="9"/>
        <v>8416800</v>
      </c>
      <c r="AA44" s="593">
        <f t="shared" si="7"/>
        <v>24</v>
      </c>
      <c r="AB44" s="511">
        <f>IFERROR(INDEX('[12]CN BC'!$M$10:$M$276,MATCH(B44,'[12]CN BC'!$H$10:$H$276,0)),"")</f>
        <v>0</v>
      </c>
      <c r="AC44" s="1028"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6">
        <f t="shared" si="8"/>
        <v>5.36</v>
      </c>
      <c r="Y45" s="1015">
        <v>1800000</v>
      </c>
      <c r="Z45" s="1012">
        <f t="shared" si="9"/>
        <v>9648000</v>
      </c>
      <c r="AA45" s="593">
        <f t="shared" si="7"/>
        <v>25</v>
      </c>
      <c r="AB45" s="511">
        <f>IFERROR(INDEX('[12]CN BC'!$M$10:$M$276,MATCH(B45,'[12]CN BC'!$H$10:$H$276,0)),"")</f>
        <v>0</v>
      </c>
      <c r="AC45" s="1028"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6">
        <f t="shared" si="8"/>
        <v>3.738</v>
      </c>
      <c r="Y46" s="1015">
        <v>1800000</v>
      </c>
      <c r="Z46" s="1012">
        <f t="shared" si="9"/>
        <v>6728400</v>
      </c>
      <c r="AA46" s="593">
        <f t="shared" si="7"/>
        <v>26</v>
      </c>
      <c r="AB46" s="511">
        <f>IFERROR(INDEX('[12]CN BC'!$M$10:$M$276,MATCH(B46,'[12]CN BC'!$H$10:$H$276,0)),"")</f>
        <v>0</v>
      </c>
      <c r="AC46" s="1028"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6">
        <f t="shared" si="8"/>
        <v>6.5747999999999998</v>
      </c>
      <c r="Y47" s="1015">
        <v>1800000</v>
      </c>
      <c r="Z47" s="1012">
        <f t="shared" si="9"/>
        <v>11834640</v>
      </c>
      <c r="AA47" s="593">
        <f t="shared" si="7"/>
        <v>27</v>
      </c>
      <c r="AB47" s="511">
        <f>IFERROR(INDEX('[12]CN BC'!$M$10:$M$276,MATCH(B47,'[12]CN BC'!$H$10:$H$276,0)),"")</f>
        <v>0</v>
      </c>
      <c r="AC47" s="1026"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6">
        <f t="shared" si="8"/>
        <v>5.1239999999999997</v>
      </c>
      <c r="Y48" s="1015">
        <v>1800000</v>
      </c>
      <c r="Z48" s="1012">
        <f t="shared" si="9"/>
        <v>9223200</v>
      </c>
      <c r="AA48" s="593">
        <f t="shared" si="7"/>
        <v>28</v>
      </c>
      <c r="AB48" s="576">
        <f>IFERROR(INDEX('[12]CN BC'!$M$10:$M$276,MATCH(B48,'[12]CN BC'!$H$10:$H$276,0)),"")</f>
        <v>0</v>
      </c>
      <c r="AC48" s="1026"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6">
        <f t="shared" si="8"/>
        <v>7.7055999999999987</v>
      </c>
      <c r="Y49" s="1015">
        <v>1800000</v>
      </c>
      <c r="Z49" s="1012">
        <f t="shared" si="9"/>
        <v>13870079.999999998</v>
      </c>
      <c r="AA49" s="593">
        <f t="shared" si="7"/>
        <v>29</v>
      </c>
      <c r="AB49" s="511">
        <f>IFERROR(INDEX('[12]CN BC'!$M$10:$M$276,MATCH(B49,'[12]CN BC'!$H$10:$H$276,0)),"")</f>
        <v>0</v>
      </c>
      <c r="AC49" s="1026"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6">
        <f t="shared" si="8"/>
        <v>8.1600000000000019</v>
      </c>
      <c r="Y50" s="1015">
        <v>1800000</v>
      </c>
      <c r="Z50" s="1012">
        <f t="shared" si="9"/>
        <v>14688000.000000004</v>
      </c>
      <c r="AA50" s="593">
        <f t="shared" si="7"/>
        <v>30</v>
      </c>
      <c r="AB50" s="511">
        <f>IFERROR(INDEX('[12]CN BC'!$M$10:$M$276,MATCH(B50,'[12]CN BC'!$H$10:$H$276,0)),"")</f>
        <v>0</v>
      </c>
      <c r="AC50" s="1028"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6">
        <f t="shared" si="8"/>
        <v>5.1239999999999997</v>
      </c>
      <c r="Y51" s="1015">
        <v>1800000</v>
      </c>
      <c r="Z51" s="1012">
        <f t="shared" si="9"/>
        <v>9223200</v>
      </c>
      <c r="AA51" s="593">
        <f t="shared" si="7"/>
        <v>31</v>
      </c>
      <c r="AB51" s="511">
        <f>IFERROR(INDEX('[12]CN BC'!$M$10:$M$276,MATCH(B51,'[12]CN BC'!$H$10:$H$276,0)),"")</f>
        <v>0</v>
      </c>
      <c r="AC51" s="1028"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6">
        <f t="shared" si="8"/>
        <v>11.636160000000002</v>
      </c>
      <c r="Y52" s="1015">
        <v>1800000</v>
      </c>
      <c r="Z52" s="1012">
        <f t="shared" si="9"/>
        <v>20945088.000000004</v>
      </c>
      <c r="AA52" s="593">
        <f t="shared" si="7"/>
        <v>32</v>
      </c>
      <c r="AB52" s="511">
        <f>IFERROR(INDEX('[12]CN BC'!$M$10:$M$276,MATCH(B52,'[12]CN BC'!$H$10:$H$276,0)),"")</f>
        <v>0</v>
      </c>
      <c r="AC52" s="1029"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6">
        <f t="shared" si="8"/>
        <v>6.3840000000000003</v>
      </c>
      <c r="Y53" s="1015">
        <v>1800000</v>
      </c>
      <c r="Z53" s="1012">
        <f t="shared" si="9"/>
        <v>11491200</v>
      </c>
      <c r="AA53" s="593">
        <f t="shared" si="7"/>
        <v>33</v>
      </c>
      <c r="AB53" s="511">
        <f>IFERROR(INDEX('[12]CN BC'!$M$10:$M$276,MATCH(B53,'[12]CN BC'!$H$10:$H$276,0)),"")</f>
        <v>0</v>
      </c>
      <c r="AC53" s="1029"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6">
        <f t="shared" si="8"/>
        <v>5.8559999999999999</v>
      </c>
      <c r="Y54" s="1015">
        <v>1800000</v>
      </c>
      <c r="Z54" s="1012">
        <f t="shared" si="9"/>
        <v>10540800</v>
      </c>
      <c r="AA54" s="593">
        <f t="shared" si="7"/>
        <v>34</v>
      </c>
      <c r="AB54" s="511">
        <f>IFERROR(INDEX('[12]CN BC'!$M$10:$M$276,MATCH(B54,'[12]CN BC'!$H$10:$H$276,0)),"")</f>
        <v>0</v>
      </c>
      <c r="AC54" s="1029"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6">
        <f t="shared" si="8"/>
        <v>4.2720000000000002</v>
      </c>
      <c r="Y55" s="1015">
        <v>1800000</v>
      </c>
      <c r="Z55" s="1012">
        <f t="shared" si="9"/>
        <v>7689600</v>
      </c>
      <c r="AA55" s="593">
        <f t="shared" si="7"/>
        <v>35</v>
      </c>
      <c r="AB55" s="511">
        <f>IFERROR(INDEX('[12]CN BC'!$M$10:$M$276,MATCH(B55,'[12]CN BC'!$H$10:$H$276,0)),"")</f>
        <v>0</v>
      </c>
      <c r="AC55" s="1029"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6">
        <f t="shared" si="8"/>
        <v>5.1239999999999997</v>
      </c>
      <c r="Y56" s="1015">
        <v>1800000</v>
      </c>
      <c r="Z56" s="1012">
        <f t="shared" si="9"/>
        <v>9223200</v>
      </c>
      <c r="AA56" s="593">
        <f t="shared" si="7"/>
        <v>36</v>
      </c>
      <c r="AB56" s="511" t="str">
        <f>IFERROR(INDEX('[12]CN BC'!$M$10:$M$276,MATCH(B56,'[12]CN BC'!$H$10:$H$276,0)),"")</f>
        <v>Trừ 1 ngày nghỉ phép 26/4</v>
      </c>
      <c r="AC56" s="1029"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6">
        <f t="shared" si="8"/>
        <v>7.6319999999999997</v>
      </c>
      <c r="Y57" s="1015">
        <v>1800000</v>
      </c>
      <c r="Z57" s="1012">
        <f t="shared" si="9"/>
        <v>13737600</v>
      </c>
      <c r="AA57" s="593">
        <f t="shared" si="7"/>
        <v>37</v>
      </c>
      <c r="AB57" s="511">
        <f>IFERROR(INDEX('[12]CN BC'!$M$10:$M$276,MATCH(B57,'[12]CN BC'!$H$10:$H$276,0)),"")</f>
        <v>0</v>
      </c>
      <c r="AC57" s="1029"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6">
        <f t="shared" si="8"/>
        <v>4.7880000000000003</v>
      </c>
      <c r="Y58" s="1015">
        <v>1800000</v>
      </c>
      <c r="Z58" s="1012">
        <f t="shared" si="9"/>
        <v>8618400</v>
      </c>
      <c r="AA58" s="593">
        <f t="shared" si="7"/>
        <v>38</v>
      </c>
      <c r="AB58" s="511" t="str">
        <f>IFERROR(INDEX('[12]CN BC'!$M$10:$M$276,MATCH(B58,'[12]CN BC'!$H$10:$H$276,0)),"")</f>
        <v>Trừ 1 ngày nghỉ phép 15/4</v>
      </c>
      <c r="AC58" s="1029"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6">
        <f t="shared" si="8"/>
        <v>6.51</v>
      </c>
      <c r="Y59" s="1015">
        <v>1800000</v>
      </c>
      <c r="Z59" s="1012">
        <f t="shared" si="9"/>
        <v>11718000</v>
      </c>
      <c r="AA59" s="593">
        <f t="shared" si="7"/>
        <v>39</v>
      </c>
      <c r="AB59" s="511">
        <f>IFERROR(INDEX('[12]CN BC'!$M$10:$M$276,MATCH(B59,'[12]CN BC'!$H$10:$H$276,0)),"")</f>
        <v>0</v>
      </c>
      <c r="AC59" s="1029"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6">
        <f t="shared" si="8"/>
        <v>8.0900400000000019</v>
      </c>
      <c r="Y60" s="1015">
        <v>1800000</v>
      </c>
      <c r="Z60" s="1012">
        <f t="shared" si="9"/>
        <v>14562072.000000004</v>
      </c>
      <c r="AA60" s="593">
        <f t="shared" si="7"/>
        <v>40</v>
      </c>
      <c r="AB60" s="511">
        <f>IFERROR(INDEX('[12]CN BC'!$M$10:$M$276,MATCH(B60,'[12]CN BC'!$H$10:$H$276,0)),"")</f>
        <v>0</v>
      </c>
      <c r="AC60" s="1029"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6">
        <f t="shared" si="8"/>
        <v>6.3840000000000003</v>
      </c>
      <c r="Y61" s="1015">
        <v>1800000</v>
      </c>
      <c r="Z61" s="1012">
        <f t="shared" si="9"/>
        <v>11491200</v>
      </c>
      <c r="AA61" s="593">
        <f t="shared" si="7"/>
        <v>41</v>
      </c>
      <c r="AB61" s="511">
        <f>IFERROR(INDEX('[12]CN BC'!$M$10:$M$276,MATCH(B61,'[12]CN BC'!$H$10:$H$276,0)),"")</f>
        <v>0</v>
      </c>
      <c r="AC61" s="1029"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6">
        <f t="shared" si="8"/>
        <v>4.3920000000000003</v>
      </c>
      <c r="Y62" s="1015">
        <v>1800000</v>
      </c>
      <c r="Z62" s="1012">
        <f t="shared" si="9"/>
        <v>7905600.0000000009</v>
      </c>
      <c r="AA62" s="593">
        <f t="shared" si="7"/>
        <v>42</v>
      </c>
      <c r="AB62" s="511">
        <f>IFERROR(INDEX('[12]CN BC'!$M$10:$M$276,MATCH(B62,'[12]CN BC'!$H$10:$H$276,0)),"")</f>
        <v>0</v>
      </c>
      <c r="AC62" s="1029"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6">
        <f t="shared" si="8"/>
        <v>6.048</v>
      </c>
      <c r="Y63" s="1015">
        <v>1800000</v>
      </c>
      <c r="Z63" s="1012">
        <f t="shared" si="9"/>
        <v>10886400</v>
      </c>
      <c r="AA63" s="593">
        <f t="shared" si="7"/>
        <v>43</v>
      </c>
      <c r="AB63" s="511">
        <f>IFERROR(INDEX('[12]CN BC'!$M$10:$M$276,MATCH(B63,'[12]CN BC'!$H$10:$H$276,0)),"")</f>
        <v>0</v>
      </c>
      <c r="AC63" s="1029"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6">
        <f t="shared" si="8"/>
        <v>6.048</v>
      </c>
      <c r="Y64" s="1015">
        <v>1800000</v>
      </c>
      <c r="Z64" s="1012">
        <f t="shared" si="9"/>
        <v>10886400</v>
      </c>
      <c r="AA64" s="593">
        <f t="shared" si="7"/>
        <v>44</v>
      </c>
      <c r="AB64" s="511">
        <f>IFERROR(INDEX('[12]CN BC'!$M$10:$M$276,MATCH(B64,'[12]CN BC'!$H$10:$H$276,0)),"")</f>
        <v>0</v>
      </c>
      <c r="AC64" s="1029"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6">
        <f t="shared" si="8"/>
        <v>4.3920000000000003</v>
      </c>
      <c r="Y65" s="1015">
        <v>1800000</v>
      </c>
      <c r="Z65" s="1012">
        <f t="shared" si="9"/>
        <v>7905600.0000000009</v>
      </c>
      <c r="AA65" s="593">
        <f t="shared" si="7"/>
        <v>45</v>
      </c>
      <c r="AB65" s="511">
        <f>IFERROR(INDEX('[12]CN BC'!$M$10:$M$276,MATCH(B65,'[12]CN BC'!$H$10:$H$276,0)),"")</f>
        <v>0</v>
      </c>
      <c r="AC65" s="1029"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6">
        <f t="shared" si="8"/>
        <v>4.3920000000000003</v>
      </c>
      <c r="Y66" s="1015">
        <v>1800000</v>
      </c>
      <c r="Z66" s="1012">
        <f t="shared" si="9"/>
        <v>7905600.0000000009</v>
      </c>
      <c r="AA66" s="593">
        <f t="shared" si="7"/>
        <v>46</v>
      </c>
      <c r="AB66" s="511">
        <f>IFERROR(INDEX('[12]CN BC'!$M$10:$M$276,MATCH(B66,'[12]CN BC'!$H$10:$H$276,0)),"")</f>
        <v>0</v>
      </c>
      <c r="AC66" s="1026"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6">
        <f t="shared" si="8"/>
        <v>8.3040000000000003</v>
      </c>
      <c r="Y67" s="1015">
        <v>1800000</v>
      </c>
      <c r="Z67" s="1012">
        <f t="shared" si="9"/>
        <v>14947200</v>
      </c>
      <c r="AA67" s="593">
        <f t="shared" si="7"/>
        <v>47</v>
      </c>
      <c r="AB67" s="511">
        <f>IFERROR(INDEX('[12]CN BC'!$M$10:$M$276,MATCH(B67,'[12]CN BC'!$H$10:$H$276,0)),"")</f>
        <v>0</v>
      </c>
      <c r="AC67" s="1026"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6">
        <f t="shared" si="8"/>
        <v>7.4720000000000004</v>
      </c>
      <c r="Y68" s="1015">
        <v>1800000</v>
      </c>
      <c r="Z68" s="1012">
        <f t="shared" si="9"/>
        <v>13449600</v>
      </c>
      <c r="AA68" s="593">
        <f>A68</f>
        <v>48</v>
      </c>
      <c r="AB68" s="511">
        <f>IFERROR(INDEX('[12]CN BC'!$M$10:$M$276,MATCH(B68,'[12]CN BC'!$H$10:$H$276,0)),"")</f>
        <v>0</v>
      </c>
      <c r="AC68" s="1026"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6">
        <f t="shared" si="8"/>
        <v>7.4400000000000013</v>
      </c>
      <c r="Y69" s="1015">
        <v>1800000</v>
      </c>
      <c r="Z69" s="1012">
        <f t="shared" si="9"/>
        <v>13392000.000000002</v>
      </c>
      <c r="AA69" s="593">
        <f t="shared" si="7"/>
        <v>49</v>
      </c>
      <c r="AB69" s="511">
        <f>IFERROR(INDEX('[12]CN BC'!$M$10:$M$276,MATCH(B69,'[12]CN BC'!$H$10:$H$276,0)),"")</f>
        <v>0</v>
      </c>
      <c r="AC69" s="1026"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6">
        <f t="shared" si="8"/>
        <v>4.7880000000000003</v>
      </c>
      <c r="Y70" s="1015">
        <v>1800000</v>
      </c>
      <c r="Z70" s="1012">
        <f t="shared" si="9"/>
        <v>8618400</v>
      </c>
      <c r="AA70" s="593">
        <f t="shared" si="7"/>
        <v>50</v>
      </c>
      <c r="AB70" s="511">
        <f>IFERROR(INDEX('[12]CN BC'!$M$10:$M$276,MATCH(B70,'[12]CN BC'!$H$10:$H$276,0)),"")</f>
        <v>0</v>
      </c>
      <c r="AC70" s="1026"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6">
        <f t="shared" si="8"/>
        <v>4.6619999999999999</v>
      </c>
      <c r="Y71" s="1015">
        <v>1800000</v>
      </c>
      <c r="Z71" s="1012">
        <f t="shared" si="9"/>
        <v>8391600</v>
      </c>
      <c r="AA71" s="593">
        <f t="shared" si="7"/>
        <v>51</v>
      </c>
      <c r="AB71" s="511">
        <f>IFERROR(INDEX('[12]CN BC'!$M$10:$M$276,MATCH(B71,'[12]CN BC'!$H$10:$H$276,0)),"")</f>
        <v>0</v>
      </c>
      <c r="AC71" s="1026"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6">
        <f t="shared" si="8"/>
        <v>6.3360000000000003</v>
      </c>
      <c r="Y72" s="1015">
        <v>1800000</v>
      </c>
      <c r="Z72" s="1012">
        <f t="shared" si="9"/>
        <v>11404800</v>
      </c>
      <c r="AA72" s="593">
        <f t="shared" si="7"/>
        <v>52</v>
      </c>
      <c r="AB72" s="511">
        <f>IFERROR(INDEX('[12]CN BC'!$M$10:$M$276,MATCH(B72,'[12]CN BC'!$H$10:$H$276,0)),"")</f>
        <v>0</v>
      </c>
      <c r="AC72" s="1026"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6">
        <f t="shared" si="8"/>
        <v>4.3920000000000003</v>
      </c>
      <c r="Y73" s="1015">
        <v>1800000</v>
      </c>
      <c r="Z73" s="1012">
        <f t="shared" si="9"/>
        <v>7905600.0000000009</v>
      </c>
      <c r="AA73" s="593">
        <f t="shared" si="7"/>
        <v>53</v>
      </c>
      <c r="AB73" s="511">
        <f>IFERROR(INDEX('[12]CN BC'!$M$10:$M$276,MATCH(B73,'[12]CN BC'!$H$10:$H$276,0)),"")</f>
        <v>0</v>
      </c>
      <c r="AC73" s="1026"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6">
        <f t="shared" si="8"/>
        <v>5.3280000000000003</v>
      </c>
      <c r="Y74" s="1015">
        <v>1800000</v>
      </c>
      <c r="Z74" s="1012">
        <f t="shared" si="9"/>
        <v>9590400</v>
      </c>
      <c r="AA74" s="593">
        <f t="shared" si="7"/>
        <v>54</v>
      </c>
      <c r="AB74" s="511">
        <f>IFERROR(INDEX('[12]CN BC'!$M$10:$M$276,MATCH(B74,'[12]CN BC'!$H$10:$H$276,0)),"")</f>
        <v>0</v>
      </c>
      <c r="AC74" s="1026"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6">
        <f t="shared" si="8"/>
        <v>4.6619999999999999</v>
      </c>
      <c r="Y75" s="1015">
        <v>1800000</v>
      </c>
      <c r="Z75" s="1012">
        <f t="shared" si="9"/>
        <v>8391600</v>
      </c>
      <c r="AA75" s="593">
        <f t="shared" si="7"/>
        <v>55</v>
      </c>
      <c r="AB75" s="511">
        <f>IFERROR(INDEX('[12]CN BC'!$M$10:$M$276,MATCH(B75,'[12]CN BC'!$H$10:$H$276,0)),"")</f>
        <v>0</v>
      </c>
      <c r="AC75" s="1030"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6">
        <f t="shared" si="8"/>
        <v>7.1400000000000015</v>
      </c>
      <c r="Y76" s="1015">
        <v>1800000</v>
      </c>
      <c r="Z76" s="1012">
        <f t="shared" si="9"/>
        <v>12852000.000000002</v>
      </c>
      <c r="AA76" s="593">
        <f t="shared" si="7"/>
        <v>56</v>
      </c>
      <c r="AB76" s="511">
        <f>IFERROR(INDEX('[12]CN BC'!$M$10:$M$276,MATCH(B76,'[12]CN BC'!$H$10:$H$276,0)),"")</f>
        <v>0</v>
      </c>
      <c r="AC76" s="1029"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6">
        <f t="shared" si="8"/>
        <v>5.6040000000000001</v>
      </c>
      <c r="Y77" s="1015">
        <v>1800000</v>
      </c>
      <c r="Z77" s="1012">
        <f t="shared" si="9"/>
        <v>10087200</v>
      </c>
      <c r="AA77" s="593">
        <f>A77</f>
        <v>57</v>
      </c>
      <c r="AB77" s="511">
        <f>IFERROR(INDEX('[12]CN BC'!$M$10:$M$276,MATCH(B77,'[12]CN BC'!$H$10:$H$276,0)),"")</f>
        <v>0</v>
      </c>
      <c r="AC77" s="1029"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6">
        <f t="shared" si="8"/>
        <v>7.1712000000000007</v>
      </c>
      <c r="Y78" s="1015">
        <v>1800000</v>
      </c>
      <c r="Z78" s="1012">
        <f t="shared" si="9"/>
        <v>12908160.000000002</v>
      </c>
      <c r="AA78" s="593">
        <f t="shared" si="7"/>
        <v>58</v>
      </c>
      <c r="AB78" s="511">
        <f>IFERROR(INDEX('[12]CN BC'!$M$10:$M$276,MATCH(B78,'[12]CN BC'!$H$10:$H$276,0)),"")</f>
        <v>0</v>
      </c>
      <c r="AC78" s="1029"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6">
        <f t="shared" si="8"/>
        <v>4.3920000000000003</v>
      </c>
      <c r="Y79" s="1015">
        <v>1800000</v>
      </c>
      <c r="Z79" s="1012">
        <f t="shared" si="9"/>
        <v>7905600.0000000009</v>
      </c>
      <c r="AA79" s="593">
        <f t="shared" si="7"/>
        <v>59</v>
      </c>
      <c r="AB79" s="511">
        <f>IFERROR(INDEX('[12]CN BC'!$M$10:$M$276,MATCH(B79,'[12]CN BC'!$H$10:$H$276,0)),"")</f>
        <v>0</v>
      </c>
      <c r="AC79" s="1029"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6">
        <f t="shared" si="8"/>
        <v>4.3920000000000003</v>
      </c>
      <c r="Y80" s="1015">
        <v>1800000</v>
      </c>
      <c r="Z80" s="1012">
        <f t="shared" si="9"/>
        <v>7905600.0000000009</v>
      </c>
      <c r="AA80" s="593">
        <f t="shared" si="7"/>
        <v>60</v>
      </c>
      <c r="AB80" s="511">
        <f>IFERROR(INDEX('[12]CN BC'!$M$10:$M$276,MATCH(B80,'[12]CN BC'!$H$10:$H$276,0)),"")</f>
        <v>0</v>
      </c>
      <c r="AC80" s="1029" t="s">
        <v>2227</v>
      </c>
      <c r="AD80" s="113"/>
      <c r="AE80" s="1007"/>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6">
        <f t="shared" si="8"/>
        <v>5.1239999999999997</v>
      </c>
      <c r="Y81" s="1015">
        <v>1800000</v>
      </c>
      <c r="Z81" s="1012">
        <f t="shared" si="9"/>
        <v>9223200</v>
      </c>
      <c r="AA81" s="593">
        <f t="shared" si="7"/>
        <v>61</v>
      </c>
      <c r="AB81" s="511">
        <f>IFERROR(INDEX('[12]CN BC'!$M$10:$M$276,MATCH(B81,'[12]CN BC'!$H$10:$H$276,0)),"")</f>
        <v>0</v>
      </c>
      <c r="AC81" s="1029"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6">
        <f t="shared" si="8"/>
        <v>5.36</v>
      </c>
      <c r="Y82" s="1015">
        <v>1800000</v>
      </c>
      <c r="Z82" s="1012">
        <f t="shared" si="9"/>
        <v>9648000</v>
      </c>
      <c r="AA82" s="593">
        <f t="shared" si="7"/>
        <v>62</v>
      </c>
      <c r="AB82" s="511">
        <f>IFERROR(INDEX('[12]CN BC'!$M$10:$M$276,MATCH(B82,'[12]CN BC'!$H$10:$H$276,0)),"")</f>
        <v>0</v>
      </c>
      <c r="AC82" s="1028"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6">
        <f t="shared" si="8"/>
        <v>6.5760000000000014</v>
      </c>
      <c r="Y83" s="1015">
        <v>1800000</v>
      </c>
      <c r="Z83" s="1012">
        <f t="shared" si="9"/>
        <v>11836800.000000002</v>
      </c>
      <c r="AA83" s="593">
        <f t="shared" si="7"/>
        <v>63</v>
      </c>
      <c r="AB83" s="511">
        <f>IFERROR(INDEX('[12]CN BC'!$M$10:$M$276,MATCH(B83,'[12]CN BC'!$H$10:$H$276,0)),"")</f>
        <v>0</v>
      </c>
      <c r="AC83" s="1028"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6">
        <f t="shared" si="8"/>
        <v>5.8559999999999999</v>
      </c>
      <c r="Y84" s="1015">
        <v>1800000</v>
      </c>
      <c r="Z84" s="1012">
        <f t="shared" si="9"/>
        <v>10540800</v>
      </c>
      <c r="AA84" s="593">
        <f t="shared" ref="AA84:AA148" si="21">A84</f>
        <v>64</v>
      </c>
      <c r="AB84" s="511">
        <f>IFERROR(INDEX('[12]CN BC'!$M$10:$M$276,MATCH(B84,'[12]CN BC'!$H$10:$H$276,0)),"")</f>
        <v>0</v>
      </c>
      <c r="AC84" s="1028"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6">
        <f t="shared" ref="X85:X149" si="22">W85/Y85</f>
        <v>5.2160000000000002</v>
      </c>
      <c r="Y85" s="1015">
        <v>1800000</v>
      </c>
      <c r="Z85" s="1012">
        <f t="shared" ref="Z85:Z149" si="23">X85*Y85</f>
        <v>9388800</v>
      </c>
      <c r="AA85" s="593">
        <f t="shared" si="21"/>
        <v>65</v>
      </c>
      <c r="AB85" s="511">
        <f>IFERROR(INDEX('[12]CN BC'!$M$10:$M$276,MATCH(B85,'[12]CN BC'!$H$10:$H$276,0)),"")</f>
        <v>0</v>
      </c>
      <c r="AC85" s="1028"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6">
        <f t="shared" si="22"/>
        <v>6.5760000000000014</v>
      </c>
      <c r="Y86" s="1015">
        <v>1800000</v>
      </c>
      <c r="Z86" s="1012">
        <f t="shared" si="23"/>
        <v>11836800.000000002</v>
      </c>
      <c r="AA86" s="593">
        <f t="shared" si="21"/>
        <v>66</v>
      </c>
      <c r="AB86" s="511">
        <f>IFERROR(INDEX('[12]CN BC'!$M$10:$M$276,MATCH(B86,'[12]CN BC'!$H$10:$H$276,0)),"")</f>
        <v>0</v>
      </c>
      <c r="AC86" s="1028"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6">
        <f t="shared" si="22"/>
        <v>4.6619999999999999</v>
      </c>
      <c r="Y87" s="1015">
        <v>1800000</v>
      </c>
      <c r="Z87" s="1012">
        <f t="shared" si="23"/>
        <v>8391600</v>
      </c>
      <c r="AA87" s="593">
        <f t="shared" si="21"/>
        <v>67</v>
      </c>
      <c r="AB87" s="511">
        <f>IFERROR(INDEX('[12]CN BC'!$M$10:$M$276,MATCH(B87,'[12]CN BC'!$H$10:$H$276,0)),"")</f>
        <v>0</v>
      </c>
      <c r="AC87" s="1028"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6">
        <f t="shared" si="22"/>
        <v>3.996</v>
      </c>
      <c r="Y88" s="1015">
        <v>1800000</v>
      </c>
      <c r="Z88" s="1012">
        <f t="shared" si="23"/>
        <v>7192800</v>
      </c>
      <c r="AA88" s="593">
        <f t="shared" si="21"/>
        <v>68</v>
      </c>
      <c r="AB88" s="511">
        <f>IFERROR(INDEX('[12]CN BC'!$M$10:$M$276,MATCH(B88,'[12]CN BC'!$H$10:$H$276,0)),"")</f>
        <v>0</v>
      </c>
      <c r="AC88" s="1028" t="s">
        <v>2229</v>
      </c>
      <c r="AD88" s="113"/>
      <c r="AE88" s="114"/>
      <c r="AF88" s="161"/>
      <c r="AG88" s="114"/>
      <c r="AH88" s="114"/>
      <c r="AI88" s="114"/>
      <c r="AJ88" s="114"/>
      <c r="AK88" s="114"/>
      <c r="AL88" s="114"/>
    </row>
    <row r="89" spans="1:42" s="387" customFormat="1" ht="36">
      <c r="A89" s="712">
        <f>_xlfn.AGGREGATE(4,7,A$20:A88)+1</f>
        <v>69</v>
      </c>
      <c r="B89" s="588" t="s">
        <v>1864</v>
      </c>
      <c r="C89" s="1010"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7">
        <f t="shared" si="25"/>
        <v>6588540</v>
      </c>
      <c r="X89" s="1017">
        <f t="shared" si="22"/>
        <v>3.6602999999999999</v>
      </c>
      <c r="Y89" s="1018">
        <v>1800000</v>
      </c>
      <c r="Z89" s="1013">
        <f t="shared" si="23"/>
        <v>6588540</v>
      </c>
      <c r="AA89" s="598">
        <f t="shared" si="21"/>
        <v>69</v>
      </c>
      <c r="AB89" s="587" t="s">
        <v>2212</v>
      </c>
      <c r="AC89" s="1028"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6">
        <f t="shared" si="22"/>
        <v>7.6020000000000012</v>
      </c>
      <c r="Y90" s="1015">
        <v>1800000</v>
      </c>
      <c r="Z90" s="1012">
        <f t="shared" si="23"/>
        <v>13683600.000000002</v>
      </c>
      <c r="AA90" s="593">
        <f t="shared" si="21"/>
        <v>70</v>
      </c>
      <c r="AB90" s="511">
        <f>IFERROR(INDEX('[12]CN BC'!$M$10:$M$276,MATCH(B90,'[12]CN BC'!$H$10:$H$276,0)),"")</f>
        <v>0</v>
      </c>
      <c r="AC90" s="1028"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6">
        <f>W91/Y91</f>
        <v>5.1239999999999997</v>
      </c>
      <c r="Y91" s="1015">
        <v>1800000</v>
      </c>
      <c r="Z91" s="1012">
        <f>X91*Y91</f>
        <v>9223200</v>
      </c>
      <c r="AA91" s="593">
        <f>A91</f>
        <v>71</v>
      </c>
      <c r="AB91" s="511">
        <f>IFERROR(INDEX('[12]CN BC'!$M$10:$M$276,MATCH(B91,'[12]CN BC'!$H$10:$H$276,0)),"")</f>
        <v>0</v>
      </c>
      <c r="AC91" s="1028"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6">
        <f t="shared" si="22"/>
        <v>4.992</v>
      </c>
      <c r="Y92" s="1015">
        <v>1800000</v>
      </c>
      <c r="Z92" s="1012">
        <f t="shared" si="23"/>
        <v>8985600</v>
      </c>
      <c r="AA92" s="594">
        <f>A92</f>
        <v>72</v>
      </c>
      <c r="AB92" s="511">
        <f>IFERROR(INDEX('[12]CN BC'!$M$10:$M$276,MATCH(B92,'[12]CN BC'!$H$10:$H$276,0)),"")</f>
        <v>0</v>
      </c>
      <c r="AC92" s="1028"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6">
        <f t="shared" si="22"/>
        <v>3.34</v>
      </c>
      <c r="Y93" s="1015">
        <v>1800000</v>
      </c>
      <c r="Z93" s="1012">
        <f t="shared" si="23"/>
        <v>6012000</v>
      </c>
      <c r="AA93" s="595">
        <f>A93</f>
        <v>73</v>
      </c>
      <c r="AB93" s="511">
        <f>IFERROR(INDEX('[12]CN BC'!$M$10:$M$276,MATCH(B93,'[12]CN BC'!$H$10:$H$276,0)),"")</f>
        <v>0</v>
      </c>
      <c r="AC93" s="1028"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6">
        <f t="shared" si="22"/>
        <v>4.9320000000000004</v>
      </c>
      <c r="Y94" s="1015">
        <v>1800000</v>
      </c>
      <c r="Z94" s="1012">
        <f t="shared" si="23"/>
        <v>8877600</v>
      </c>
      <c r="AA94" s="593">
        <f t="shared" si="21"/>
        <v>74</v>
      </c>
      <c r="AB94" s="511">
        <f>IFERROR(INDEX('[12]CN BC'!$M$10:$M$276,MATCH(B94,'[12]CN BC'!$H$10:$H$276,0)),"")</f>
        <v>0</v>
      </c>
      <c r="AC94" s="1027"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6">
        <f t="shared" si="22"/>
        <v>2.67</v>
      </c>
      <c r="Y95" s="1015">
        <v>1800000</v>
      </c>
      <c r="Z95" s="1012">
        <f t="shared" si="23"/>
        <v>4806000</v>
      </c>
      <c r="AA95" s="593">
        <f t="shared" si="21"/>
        <v>75</v>
      </c>
      <c r="AB95" s="511">
        <f>IFERROR(INDEX('[12]CN BC'!$M$10:$M$276,MATCH(B95,'[12]CN BC'!$H$10:$H$276,0)),"")</f>
        <v>0</v>
      </c>
      <c r="AC95" s="1027"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6">
        <f t="shared" si="22"/>
        <v>2.8079999999999998</v>
      </c>
      <c r="Y96" s="1015">
        <v>1800000</v>
      </c>
      <c r="Z96" s="1012">
        <f t="shared" si="23"/>
        <v>5054400</v>
      </c>
      <c r="AA96" s="593">
        <f t="shared" si="21"/>
        <v>76</v>
      </c>
      <c r="AB96" s="511">
        <f>IFERROR(INDEX('[12]CN BC'!$M$10:$M$276,MATCH(B96,'[12]CN BC'!$H$10:$H$276,0)),"")</f>
        <v>0</v>
      </c>
      <c r="AC96" s="1027"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6">
        <f t="shared" si="22"/>
        <v>7.104000000000001</v>
      </c>
      <c r="Y97" s="1015">
        <v>1800000</v>
      </c>
      <c r="Z97" s="1012">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6">
        <f t="shared" si="22"/>
        <v>3.6</v>
      </c>
      <c r="Y98" s="1015">
        <v>1800000</v>
      </c>
      <c r="Z98" s="1012">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6">
        <f t="shared" si="22"/>
        <v>3.6</v>
      </c>
      <c r="Y99" s="1015">
        <v>1800000</v>
      </c>
      <c r="Z99" s="1012">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6">
        <f t="shared" si="22"/>
        <v>6.4160000000000004</v>
      </c>
      <c r="Y100" s="1015">
        <v>1800000</v>
      </c>
      <c r="Z100" s="1012">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6">
        <f t="shared" si="22"/>
        <v>2.8079999999999998</v>
      </c>
      <c r="Y101" s="1015">
        <v>1800000</v>
      </c>
      <c r="Z101" s="1012">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6">
        <f t="shared" si="22"/>
        <v>3.996</v>
      </c>
      <c r="Y102" s="1015">
        <v>1800000</v>
      </c>
      <c r="Z102" s="1012">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6">
        <f t="shared" si="22"/>
        <v>3.6</v>
      </c>
      <c r="Y103" s="1015">
        <v>1800000</v>
      </c>
      <c r="Z103" s="1012">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6">
        <f t="shared" si="22"/>
        <v>5.8559999999999999</v>
      </c>
      <c r="Y104" s="1015">
        <v>1800000</v>
      </c>
      <c r="Z104" s="1012">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6">
        <f t="shared" si="22"/>
        <v>3.6</v>
      </c>
      <c r="Y105" s="1015">
        <v>1800000</v>
      </c>
      <c r="Z105" s="1012">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6">
        <f t="shared" si="22"/>
        <v>5.4740000000000002</v>
      </c>
      <c r="Y106" s="1015">
        <v>1800000</v>
      </c>
      <c r="Z106" s="1012">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6">
        <f t="shared" si="22"/>
        <v>4.1999999999999993</v>
      </c>
      <c r="Y107" s="1015">
        <v>1800000</v>
      </c>
      <c r="Z107" s="1012">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6">
        <f t="shared" si="22"/>
        <v>4.992</v>
      </c>
      <c r="Y108" s="1015">
        <v>1800000</v>
      </c>
      <c r="Z108" s="1012">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9">
        <f t="shared" si="22"/>
        <v>0</v>
      </c>
      <c r="Y109" s="1020">
        <v>1800000</v>
      </c>
      <c r="Z109" s="1014">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6">
        <f t="shared" si="22"/>
        <v>3.2759999999999998</v>
      </c>
      <c r="Y110" s="1015">
        <v>1800000</v>
      </c>
      <c r="Z110" s="1012">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6">
        <f t="shared" si="22"/>
        <v>4.6619999999999999</v>
      </c>
      <c r="Y111" s="1015">
        <v>1800000</v>
      </c>
      <c r="Z111" s="1012">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6">
        <f t="shared" si="22"/>
        <v>5.8559999999999999</v>
      </c>
      <c r="Y112" s="1015">
        <v>1800000</v>
      </c>
      <c r="Z112" s="1012">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6">
        <f t="shared" si="22"/>
        <v>4.1999999999999993</v>
      </c>
      <c r="Y113" s="1015">
        <v>1800000</v>
      </c>
      <c r="Z113" s="1012">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6">
        <f t="shared" si="22"/>
        <v>4.3920000000000003</v>
      </c>
      <c r="Y114" s="1015">
        <v>1800000</v>
      </c>
      <c r="Z114" s="1012">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6">
        <f t="shared" si="22"/>
        <v>3.66</v>
      </c>
      <c r="Y115" s="1015">
        <v>1800000</v>
      </c>
      <c r="Z115" s="1012">
        <f t="shared" si="23"/>
        <v>6588000</v>
      </c>
      <c r="AA115" s="593">
        <f t="shared" si="21"/>
        <v>95</v>
      </c>
      <c r="AB115" s="511">
        <f>IFERROR(INDEX('[12]CN BC'!$M$10:$M$276,MATCH(B115,'[12]CN BC'!$H$10:$H$276,0)),"")</f>
        <v>0</v>
      </c>
      <c r="AC115" s="1026"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6">
        <f t="shared" si="22"/>
        <v>4.3920000000000003</v>
      </c>
      <c r="Y116" s="1015">
        <v>1800000</v>
      </c>
      <c r="Z116" s="1012">
        <f t="shared" si="23"/>
        <v>7905600.0000000009</v>
      </c>
      <c r="AA116" s="593">
        <f t="shared" si="21"/>
        <v>96</v>
      </c>
      <c r="AB116" s="511">
        <f>IFERROR(INDEX('[12]CN BC'!$M$10:$M$276,MATCH(B116,'[12]CN BC'!$H$10:$H$276,0)),"")</f>
        <v>0</v>
      </c>
      <c r="AC116" s="1026"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6">
        <f t="shared" si="22"/>
        <v>5.2919999999999998</v>
      </c>
      <c r="Y117" s="1015">
        <v>1800000</v>
      </c>
      <c r="Z117" s="1012">
        <f t="shared" si="23"/>
        <v>9525600</v>
      </c>
      <c r="AA117" s="593">
        <f t="shared" si="21"/>
        <v>97</v>
      </c>
      <c r="AB117" s="511">
        <f>IFERROR(INDEX('[12]CN BC'!$M$10:$M$276,MATCH(B117,'[12]CN BC'!$H$10:$H$276,0)),"")</f>
        <v>0</v>
      </c>
      <c r="AC117" s="1026"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6">
        <f t="shared" si="22"/>
        <v>3.996</v>
      </c>
      <c r="Y118" s="1015">
        <v>1800000</v>
      </c>
      <c r="Z118" s="1012">
        <f t="shared" si="23"/>
        <v>7192800</v>
      </c>
      <c r="AA118" s="593">
        <f t="shared" si="21"/>
        <v>98</v>
      </c>
      <c r="AB118" s="511">
        <f>IFERROR(INDEX('[12]CN BC'!$M$10:$M$276,MATCH(B118,'[12]CN BC'!$H$10:$H$276,0)),"")</f>
        <v>0</v>
      </c>
      <c r="AC118" s="1026"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6">
        <f t="shared" si="22"/>
        <v>3.996</v>
      </c>
      <c r="Y119" s="1015">
        <v>1800000</v>
      </c>
      <c r="Z119" s="1012">
        <f t="shared" si="23"/>
        <v>7192800</v>
      </c>
      <c r="AA119" s="593">
        <f t="shared" si="21"/>
        <v>99</v>
      </c>
      <c r="AB119" s="511">
        <f>IFERROR(INDEX('[12]CN BC'!$M$10:$M$276,MATCH(B119,'[12]CN BC'!$H$10:$H$276,0)),"")</f>
        <v>0</v>
      </c>
      <c r="AC119" s="1026"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6">
        <f t="shared" si="22"/>
        <v>3.33</v>
      </c>
      <c r="Y120" s="1015">
        <v>1800000</v>
      </c>
      <c r="Z120" s="1012">
        <f t="shared" si="23"/>
        <v>5994000</v>
      </c>
      <c r="AA120" s="593">
        <f t="shared" si="21"/>
        <v>100</v>
      </c>
      <c r="AB120" s="511">
        <f>IFERROR(INDEX('[12]CN BC'!$M$10:$M$276,MATCH(B120,'[12]CN BC'!$H$10:$H$276,0)),"")</f>
        <v>0</v>
      </c>
      <c r="AC120" s="1026"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6">
        <f t="shared" si="22"/>
        <v>6.5747999999999998</v>
      </c>
      <c r="Y121" s="1015">
        <v>1800000</v>
      </c>
      <c r="Z121" s="1012">
        <f t="shared" si="23"/>
        <v>11834640</v>
      </c>
      <c r="AA121" s="593">
        <f t="shared" si="21"/>
        <v>101</v>
      </c>
      <c r="AB121" s="511">
        <f>IFERROR(INDEX('[12]CN BC'!$M$10:$M$276,MATCH(B121,'[12]CN BC'!$H$10:$H$276,0)),"")</f>
        <v>0</v>
      </c>
      <c r="AC121" s="1026"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6">
        <f t="shared" si="22"/>
        <v>3.33</v>
      </c>
      <c r="Y122" s="1015">
        <v>1800000</v>
      </c>
      <c r="Z122" s="1012">
        <f t="shared" si="23"/>
        <v>5994000</v>
      </c>
      <c r="AA122" s="593">
        <f t="shared" si="21"/>
        <v>102</v>
      </c>
      <c r="AB122" s="511">
        <f>IFERROR(INDEX('[12]CN BC'!$M$10:$M$276,MATCH(B122,'[12]CN BC'!$H$10:$H$276,0)),"")</f>
        <v>0</v>
      </c>
      <c r="AC122" s="1026"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6">
        <f t="shared" si="22"/>
        <v>3</v>
      </c>
      <c r="Y123" s="1015">
        <v>1800000</v>
      </c>
      <c r="Z123" s="1012">
        <f t="shared" si="23"/>
        <v>5400000</v>
      </c>
      <c r="AA123" s="593">
        <f t="shared" si="21"/>
        <v>103</v>
      </c>
      <c r="AB123" s="511">
        <f>IFERROR(INDEX('[12]CN BC'!$M$10:$M$276,MATCH(B123,'[12]CN BC'!$H$10:$H$276,0)),"")</f>
        <v>0</v>
      </c>
      <c r="AC123" s="1026"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6">
        <f t="shared" si="22"/>
        <v>6.5160000000000009</v>
      </c>
      <c r="Y124" s="1015">
        <v>1800000</v>
      </c>
      <c r="Z124" s="1012">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6">
        <f t="shared" si="22"/>
        <v>5.5288000000000004</v>
      </c>
      <c r="Y125" s="1015">
        <v>1800000</v>
      </c>
      <c r="Z125" s="1012">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6">
        <f t="shared" si="22"/>
        <v>4.32</v>
      </c>
      <c r="Y126" s="1015">
        <v>1800000</v>
      </c>
      <c r="Z126" s="1012">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6">
        <f t="shared" si="22"/>
        <v>3.99</v>
      </c>
      <c r="Y127" s="1015">
        <v>1800000</v>
      </c>
      <c r="Z127" s="1012">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6">
        <f t="shared" si="22"/>
        <v>3.66</v>
      </c>
      <c r="Y128" s="1015">
        <v>1800000</v>
      </c>
      <c r="Z128" s="1012">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6">
        <f t="shared" si="22"/>
        <v>4.6500000000000004</v>
      </c>
      <c r="Y129" s="1015">
        <v>1800000</v>
      </c>
      <c r="Z129" s="1012">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6">
        <f t="shared" si="22"/>
        <v>4.32</v>
      </c>
      <c r="Y130" s="1015">
        <v>1800000</v>
      </c>
      <c r="Z130" s="1012">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6">
        <f t="shared" si="22"/>
        <v>6.4540800000000003</v>
      </c>
      <c r="Y131" s="1015">
        <v>1800000</v>
      </c>
      <c r="Z131" s="1012">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6">
        <f t="shared" si="22"/>
        <v>5.5860000000000003</v>
      </c>
      <c r="Y132" s="1015">
        <v>1800000</v>
      </c>
      <c r="Z132" s="1012">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6">
        <f t="shared" si="22"/>
        <v>3.66</v>
      </c>
      <c r="Y133" s="1015">
        <v>1800000</v>
      </c>
      <c r="Z133" s="1012">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6">
        <f t="shared" si="22"/>
        <v>6.3959999999999999</v>
      </c>
      <c r="Y134" s="1015">
        <v>1800000</v>
      </c>
      <c r="Z134" s="1012">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6">
        <f t="shared" si="22"/>
        <v>6.2747999999999999</v>
      </c>
      <c r="Y135" s="1015">
        <v>1800000</v>
      </c>
      <c r="Z135" s="1012">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6">
        <f t="shared" si="22"/>
        <v>3.99</v>
      </c>
      <c r="Y136" s="1015">
        <v>1800000</v>
      </c>
      <c r="Z136" s="1012">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6">
        <f t="shared" si="22"/>
        <v>3.66</v>
      </c>
      <c r="Y137" s="1015">
        <v>1800000</v>
      </c>
      <c r="Z137" s="1012">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6">
        <f t="shared" si="22"/>
        <v>3.996</v>
      </c>
      <c r="Y138" s="1015">
        <v>1800000</v>
      </c>
      <c r="Z138" s="1012">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2">
        <f>_xlfn.AGGREGATE(4,7,A$20:A138)+1</f>
        <v>119</v>
      </c>
      <c r="B139" s="588" t="s">
        <v>1490</v>
      </c>
      <c r="C139" s="577" t="s">
        <v>960</v>
      </c>
      <c r="D139" s="589" t="s">
        <v>1710</v>
      </c>
      <c r="E139" s="903" t="s">
        <v>1425</v>
      </c>
      <c r="F139" s="591">
        <v>3.33</v>
      </c>
      <c r="G139" s="578"/>
      <c r="H139" s="1011">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6">
        <v>19</v>
      </c>
      <c r="P139" s="584">
        <f>IFERROR(INDEX('[12]CN BC'!$J$10:$J$276,MATCH(B139,'[12]CN BC'!$H$10:$H$276,0)),"")</f>
        <v>20</v>
      </c>
      <c r="Q139" s="583">
        <f t="shared" si="18"/>
        <v>4195800</v>
      </c>
      <c r="R139" s="585"/>
      <c r="S139" s="581">
        <f t="shared" si="24"/>
        <v>0</v>
      </c>
      <c r="T139" s="586"/>
      <c r="U139" s="581">
        <f t="shared" si="19"/>
        <v>0</v>
      </c>
      <c r="V139" s="581">
        <f t="shared" si="20"/>
        <v>59940</v>
      </c>
      <c r="W139" s="697">
        <f t="shared" si="25"/>
        <v>4195800</v>
      </c>
      <c r="X139" s="1017">
        <f t="shared" si="22"/>
        <v>2.331</v>
      </c>
      <c r="Y139" s="1018">
        <v>1800000</v>
      </c>
      <c r="Z139" s="1013">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6">
        <f t="shared" si="22"/>
        <v>5.0880000000000001</v>
      </c>
      <c r="Y140" s="1015">
        <v>1800000</v>
      </c>
      <c r="Z140" s="1012">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6">
        <f t="shared" si="22"/>
        <v>5.1840000000000002</v>
      </c>
      <c r="Y141" s="1015">
        <v>1800000</v>
      </c>
      <c r="Z141" s="1012">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6">
        <f t="shared" si="22"/>
        <v>5.5860000000000003</v>
      </c>
      <c r="Y142" s="1015">
        <v>1800000</v>
      </c>
      <c r="Z142" s="1012">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6">
        <f t="shared" si="22"/>
        <v>5.5860000000000003</v>
      </c>
      <c r="Y143" s="1015">
        <v>1800000</v>
      </c>
      <c r="Z143" s="1012">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6">
        <f t="shared" si="22"/>
        <v>5.1840000000000002</v>
      </c>
      <c r="Y144" s="1015">
        <v>1800000</v>
      </c>
      <c r="Z144" s="1012">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6">
        <f t="shared" si="22"/>
        <v>5.58</v>
      </c>
      <c r="Y145" s="1015">
        <v>1800000</v>
      </c>
      <c r="Z145" s="1012">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6">
        <f t="shared" si="22"/>
        <v>4.6500000000000004</v>
      </c>
      <c r="Y146" s="1015">
        <v>1800000</v>
      </c>
      <c r="Z146" s="1012">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6">
        <f t="shared" si="22"/>
        <v>4.6500000000000004</v>
      </c>
      <c r="Y147" s="1015">
        <v>1800000</v>
      </c>
      <c r="Z147" s="1012">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6">
        <f t="shared" si="22"/>
        <v>4.7880000000000003</v>
      </c>
      <c r="Y148" s="1015">
        <v>1800000</v>
      </c>
      <c r="Z148" s="1012">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6">
        <f t="shared" si="22"/>
        <v>5.976</v>
      </c>
      <c r="Y149" s="1015">
        <v>1800000</v>
      </c>
      <c r="Z149" s="1012">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6">
        <f t="shared" ref="X150:X213" si="35">W150/Y150</f>
        <v>4.7880000000000003</v>
      </c>
      <c r="Y150" s="1015">
        <v>1800000</v>
      </c>
      <c r="Z150" s="1012">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6">
        <f t="shared" si="35"/>
        <v>5.2919999999999998</v>
      </c>
      <c r="Y151" s="1015">
        <v>1800000</v>
      </c>
      <c r="Z151" s="1012">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6">
        <f t="shared" si="35"/>
        <v>4.1999999999999993</v>
      </c>
      <c r="Y152" s="1015">
        <v>1800000</v>
      </c>
      <c r="Z152" s="1012">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6">
        <f t="shared" si="35"/>
        <v>2.8079999999999998</v>
      </c>
      <c r="Y153" s="1015">
        <v>1800000</v>
      </c>
      <c r="Z153" s="1012">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6">
        <f t="shared" si="35"/>
        <v>3.6</v>
      </c>
      <c r="Y154" s="1015">
        <v>1800000</v>
      </c>
      <c r="Z154" s="1012">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6">
        <f t="shared" si="35"/>
        <v>2.8079999999999998</v>
      </c>
      <c r="Y155" s="1015">
        <v>1800000</v>
      </c>
      <c r="Z155" s="1012">
        <f t="shared" si="36"/>
        <v>5054400</v>
      </c>
      <c r="AA155" s="593">
        <f t="shared" si="34"/>
        <v>135</v>
      </c>
      <c r="AB155" s="511">
        <f>IFERROR(INDEX('[12]CN BC'!$M$10:$M$276,MATCH(B155,'[12]CN BC'!$H$10:$H$276,0)),"")</f>
        <v>0</v>
      </c>
      <c r="AC155" s="546" t="s">
        <v>2237</v>
      </c>
      <c r="AD155" s="113"/>
      <c r="AE155" s="114"/>
      <c r="AF155" s="505"/>
    </row>
    <row r="156" spans="1:38" s="387" customFormat="1" ht="35.25" customHeight="1">
      <c r="A156" s="712">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6">
        <v>19</v>
      </c>
      <c r="P156" s="584">
        <f>IFERROR(INDEX('[12]CN BC'!$J$10:$J$276,MATCH(B156,'[12]CN BC'!$H$10:$H$276,0)),"")</f>
        <v>0</v>
      </c>
      <c r="Q156" s="583">
        <f t="shared" si="38"/>
        <v>0</v>
      </c>
      <c r="R156" s="585"/>
      <c r="S156" s="581">
        <f t="shared" si="29"/>
        <v>0</v>
      </c>
      <c r="T156" s="586"/>
      <c r="U156" s="581">
        <f t="shared" si="39"/>
        <v>0</v>
      </c>
      <c r="V156" s="581" t="str">
        <f t="shared" si="33"/>
        <v>0</v>
      </c>
      <c r="W156" s="697">
        <f t="shared" si="37"/>
        <v>0</v>
      </c>
      <c r="X156" s="1017">
        <f t="shared" si="35"/>
        <v>0</v>
      </c>
      <c r="Y156" s="1018">
        <v>1800000</v>
      </c>
      <c r="Z156" s="1013">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6">
        <f t="shared" si="35"/>
        <v>1.9890000000000001</v>
      </c>
      <c r="Y157" s="1015">
        <v>1800000</v>
      </c>
      <c r="Z157" s="1012">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6">
        <f t="shared" si="35"/>
        <v>2.3868</v>
      </c>
      <c r="Y158" s="1015">
        <v>1800000</v>
      </c>
      <c r="Z158" s="1012">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6">
        <f t="shared" si="35"/>
        <v>4.34</v>
      </c>
      <c r="Y159" s="1015">
        <v>1800000</v>
      </c>
      <c r="Z159" s="1012">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6">
        <f t="shared" si="35"/>
        <v>5.3280000000000003</v>
      </c>
      <c r="Y160" s="1015">
        <v>1800000</v>
      </c>
      <c r="Z160" s="1012">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6">
        <f t="shared" si="35"/>
        <v>4.24</v>
      </c>
      <c r="Y161" s="1015">
        <v>1800000</v>
      </c>
      <c r="Z161" s="1012">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6">
        <f t="shared" si="35"/>
        <v>4.7880000000000003</v>
      </c>
      <c r="Y162" s="1015">
        <v>1800000</v>
      </c>
      <c r="Z162" s="1012">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6">
        <f t="shared" si="35"/>
        <v>4.6500000000000004</v>
      </c>
      <c r="Y163" s="1015">
        <v>1800000</v>
      </c>
      <c r="Z163" s="1012">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6">
        <f t="shared" si="35"/>
        <v>3.66</v>
      </c>
      <c r="Y164" s="1015">
        <v>1800000</v>
      </c>
      <c r="Z164" s="1012">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6">
        <f t="shared" si="35"/>
        <v>4.32</v>
      </c>
      <c r="Y165" s="1015">
        <v>1800000</v>
      </c>
      <c r="Z165" s="1012">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6">
        <f t="shared" si="35"/>
        <v>5.1840000000000002</v>
      </c>
      <c r="Y166" s="1015">
        <v>1800000</v>
      </c>
      <c r="Z166" s="1012">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6">
        <f t="shared" si="35"/>
        <v>3.66</v>
      </c>
      <c r="Y167" s="1015">
        <v>1800000</v>
      </c>
      <c r="Z167" s="1012">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2">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6">
        <v>19</v>
      </c>
      <c r="P168" s="584">
        <f>IFERROR(INDEX('[12]CN BC'!$J$10:$J$276,MATCH(B168,'[12]CN BC'!$H$10:$H$276,0)),"")</f>
        <v>0</v>
      </c>
      <c r="Q168" s="583">
        <f t="shared" si="38"/>
        <v>0</v>
      </c>
      <c r="R168" s="585"/>
      <c r="S168" s="581">
        <f t="shared" si="29"/>
        <v>0</v>
      </c>
      <c r="T168" s="586"/>
      <c r="U168" s="581">
        <f t="shared" si="39"/>
        <v>0</v>
      </c>
      <c r="V168" s="581">
        <v>0</v>
      </c>
      <c r="W168" s="697">
        <f t="shared" si="37"/>
        <v>0</v>
      </c>
      <c r="X168" s="1017">
        <f t="shared" si="35"/>
        <v>0</v>
      </c>
      <c r="Y168" s="1018">
        <v>1800000</v>
      </c>
      <c r="Z168" s="1013">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6">
        <f t="shared" si="35"/>
        <v>4.3920000000000003</v>
      </c>
      <c r="Y169" s="1015">
        <v>1800000</v>
      </c>
      <c r="Z169" s="1012">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6">
        <f t="shared" si="35"/>
        <v>5.1840000000000002</v>
      </c>
      <c r="Y170" s="1015">
        <v>1800000</v>
      </c>
      <c r="Z170" s="1012">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6">
        <f t="shared" si="35"/>
        <v>3.996</v>
      </c>
      <c r="Y171" s="1015">
        <v>1800000</v>
      </c>
      <c r="Z171" s="1012">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6">
        <f t="shared" si="35"/>
        <v>5.1239999999999997</v>
      </c>
      <c r="Y172" s="1015">
        <v>1800000</v>
      </c>
      <c r="Z172" s="1012">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6">
        <f t="shared" si="35"/>
        <v>3.33</v>
      </c>
      <c r="Y173" s="1015">
        <v>1800000</v>
      </c>
      <c r="Z173" s="1012">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6">
        <f t="shared" si="35"/>
        <v>5.1840000000000002</v>
      </c>
      <c r="Y174" s="1015">
        <v>1800000</v>
      </c>
      <c r="Z174" s="1012">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6">
        <f t="shared" si="35"/>
        <v>4.7880000000000003</v>
      </c>
      <c r="Y175" s="1015">
        <v>1800000</v>
      </c>
      <c r="Z175" s="1012">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6">
        <f t="shared" si="35"/>
        <v>4.7880000000000003</v>
      </c>
      <c r="Y176" s="1015">
        <v>1800000</v>
      </c>
      <c r="Z176" s="1012">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9">
        <f t="shared" si="35"/>
        <v>1.83</v>
      </c>
      <c r="Y177" s="1020">
        <v>1800000</v>
      </c>
      <c r="Z177" s="1014">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6">
        <f t="shared" si="35"/>
        <v>4.7880000000000003</v>
      </c>
      <c r="Y178" s="1015">
        <v>1800000</v>
      </c>
      <c r="Z178" s="1012">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6">
        <f t="shared" si="35"/>
        <v>4.7880000000000003</v>
      </c>
      <c r="Y179" s="1015">
        <v>1800000</v>
      </c>
      <c r="Z179" s="1012">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6">
        <f t="shared" si="35"/>
        <v>5.3280000000000003</v>
      </c>
      <c r="Y180" s="1015">
        <v>1800000</v>
      </c>
      <c r="Z180" s="1012">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6">
        <f t="shared" si="35"/>
        <v>3.66</v>
      </c>
      <c r="Y181" s="1015">
        <v>1800000</v>
      </c>
      <c r="Z181" s="1012">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6">
        <f t="shared" si="35"/>
        <v>4.3920000000000003</v>
      </c>
      <c r="Y182" s="1015">
        <v>1800000</v>
      </c>
      <c r="Z182" s="1012">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6">
        <f t="shared" si="35"/>
        <v>3.66</v>
      </c>
      <c r="Y183" s="1015">
        <v>1800000</v>
      </c>
      <c r="Z183" s="1012">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6">
        <f t="shared" si="35"/>
        <v>5.2080000000000002</v>
      </c>
      <c r="Y184" s="1015">
        <v>1800000</v>
      </c>
      <c r="Z184" s="1012">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6">
        <f t="shared" si="35"/>
        <v>3.996</v>
      </c>
      <c r="Y185" s="1015">
        <v>1800000</v>
      </c>
      <c r="Z185" s="1012">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6">
        <f t="shared" si="35"/>
        <v>5.0880000000000001</v>
      </c>
      <c r="Y186" s="1015">
        <v>1800000</v>
      </c>
      <c r="Z186" s="1012">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6">
        <f t="shared" si="35"/>
        <v>3.33</v>
      </c>
      <c r="Y187" s="1015">
        <v>1800000</v>
      </c>
      <c r="Z187" s="1012">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6">
        <f t="shared" si="35"/>
        <v>4.7880000000000003</v>
      </c>
      <c r="Y188" s="1015">
        <v>1800000</v>
      </c>
      <c r="Z188" s="1012">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6">
        <f t="shared" si="35"/>
        <v>4.3920000000000003</v>
      </c>
      <c r="Y189" s="1015">
        <v>1800000</v>
      </c>
      <c r="Z189" s="1012">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6">
        <f t="shared" si="35"/>
        <v>5.0880000000000001</v>
      </c>
      <c r="Y190" s="1015">
        <v>1800000</v>
      </c>
      <c r="Z190" s="1012">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6">
        <f t="shared" si="35"/>
        <v>5.1840000000000002</v>
      </c>
      <c r="Y191" s="1015">
        <v>1800000</v>
      </c>
      <c r="Z191" s="1012">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6">
        <f t="shared" si="35"/>
        <v>2.7227999999999999</v>
      </c>
      <c r="Y192" s="1015">
        <v>1800000</v>
      </c>
      <c r="Z192" s="1012">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6">
        <f t="shared" si="35"/>
        <v>3.1823999999999999</v>
      </c>
      <c r="Y193" s="1015">
        <v>1800000</v>
      </c>
      <c r="Z193" s="1012">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6">
        <f t="shared" si="35"/>
        <v>8.1600000000000019</v>
      </c>
      <c r="Y194" s="1015">
        <v>1800000</v>
      </c>
      <c r="Z194" s="1012">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6">
        <f t="shared" si="35"/>
        <v>6.3943200000000013</v>
      </c>
      <c r="Y195" s="1015">
        <v>1800000</v>
      </c>
      <c r="Z195" s="1012">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6">
        <f t="shared" si="35"/>
        <v>8.5257600000000018</v>
      </c>
      <c r="Y196" s="1015">
        <v>1800000</v>
      </c>
      <c r="Z196" s="1012">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6">
        <f t="shared" si="35"/>
        <v>6.048</v>
      </c>
      <c r="Y197" s="1015">
        <v>1800000</v>
      </c>
      <c r="Z197" s="1012">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6">
        <f t="shared" si="35"/>
        <v>5.7270000000000003</v>
      </c>
      <c r="Y198" s="1015">
        <v>1800000</v>
      </c>
      <c r="Z198" s="1012">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6">
        <f t="shared" si="35"/>
        <v>7.84</v>
      </c>
      <c r="Y199" s="1015">
        <v>1800000</v>
      </c>
      <c r="Z199" s="1012">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6">
        <f t="shared" si="35"/>
        <v>8.8460800000000006</v>
      </c>
      <c r="Y200" s="1015">
        <v>1800000</v>
      </c>
      <c r="Z200" s="1012">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6">
        <f t="shared" si="35"/>
        <v>3.99</v>
      </c>
      <c r="Y201" s="1015">
        <v>1800000</v>
      </c>
      <c r="Z201" s="1012">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6">
        <f t="shared" si="35"/>
        <v>7.3205999999999998</v>
      </c>
      <c r="Y202" s="1015">
        <v>1800000</v>
      </c>
      <c r="Z202" s="1012">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6">
        <f t="shared" si="35"/>
        <v>5.6139999999999999</v>
      </c>
      <c r="Y203" s="1015">
        <v>1800000</v>
      </c>
      <c r="Z203" s="1012">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6">
        <f t="shared" si="35"/>
        <v>5.8559999999999999</v>
      </c>
      <c r="Y204" s="1015">
        <v>1800000</v>
      </c>
      <c r="Z204" s="1012">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6">
        <f t="shared" si="35"/>
        <v>5.1239999999999997</v>
      </c>
      <c r="Y205" s="1015">
        <v>1800000</v>
      </c>
      <c r="Z205" s="1012">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6">
        <f t="shared" si="35"/>
        <v>3.66</v>
      </c>
      <c r="Y206" s="1015">
        <v>1800000</v>
      </c>
      <c r="Z206" s="1012">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6">
        <f t="shared" si="35"/>
        <v>3.66</v>
      </c>
      <c r="Y207" s="1015">
        <v>1800000</v>
      </c>
      <c r="Z207" s="1012">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6">
        <f t="shared" si="35"/>
        <v>3.66</v>
      </c>
      <c r="Y208" s="1015">
        <v>1800000</v>
      </c>
      <c r="Z208" s="1012">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6">
        <f t="shared" si="35"/>
        <v>5.0119999999999996</v>
      </c>
      <c r="Y209" s="1015">
        <v>1800000</v>
      </c>
      <c r="Z209" s="1012">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6">
        <f t="shared" si="35"/>
        <v>4.3920000000000003</v>
      </c>
      <c r="Y210" s="1015">
        <v>1800000</v>
      </c>
      <c r="Z210" s="1012">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6">
        <f t="shared" si="35"/>
        <v>4.6619999999999999</v>
      </c>
      <c r="Y211" s="1015">
        <v>1800000</v>
      </c>
      <c r="Z211" s="1012">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6">
        <f t="shared" si="35"/>
        <v>5.3286000000000007</v>
      </c>
      <c r="Y212" s="1015">
        <v>1800000</v>
      </c>
      <c r="Z212" s="1012">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6">
        <f t="shared" si="35"/>
        <v>5.4780000000000006</v>
      </c>
      <c r="Y213" s="1015">
        <v>1800000</v>
      </c>
      <c r="Z213" s="1012">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6">
        <f t="shared" ref="X214:X277" si="47">W214/Y214</f>
        <v>4.6619999999999999</v>
      </c>
      <c r="Y214" s="1015">
        <v>1800000</v>
      </c>
      <c r="Z214" s="1012">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6">
        <f t="shared" si="47"/>
        <v>3.6</v>
      </c>
      <c r="Y215" s="1015">
        <v>1800000</v>
      </c>
      <c r="Z215" s="1012">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6">
        <f t="shared" si="47"/>
        <v>4.1999999999999993</v>
      </c>
      <c r="Y216" s="1015">
        <v>1800000</v>
      </c>
      <c r="Z216" s="1012">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6">
        <f t="shared" si="47"/>
        <v>5.5278000000000009</v>
      </c>
      <c r="Y217" s="1015">
        <v>1800000</v>
      </c>
      <c r="Z217" s="1012">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6">
        <f t="shared" si="47"/>
        <v>3.2040000000000002</v>
      </c>
      <c r="Y218" s="1015">
        <v>1800000</v>
      </c>
      <c r="Z218" s="1012">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6">
        <f t="shared" si="47"/>
        <v>4.8</v>
      </c>
      <c r="Y219" s="1015">
        <v>1800000</v>
      </c>
      <c r="Z219" s="1012">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6">
        <f t="shared" si="47"/>
        <v>5.1840000000000002</v>
      </c>
      <c r="Y220" s="1015">
        <v>1800000</v>
      </c>
      <c r="Z220" s="1012">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6">
        <f t="shared" si="47"/>
        <v>3.2040000000000002</v>
      </c>
      <c r="Y221" s="1015">
        <v>1800000</v>
      </c>
      <c r="Z221" s="1012">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6">
        <f t="shared" si="47"/>
        <v>7.9500400000000004</v>
      </c>
      <c r="Y222" s="1015">
        <v>1800000</v>
      </c>
      <c r="Z222" s="1012">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6">
        <f t="shared" si="47"/>
        <v>8.1600000000000019</v>
      </c>
      <c r="Y223" s="1015">
        <v>1800000</v>
      </c>
      <c r="Z223" s="1012">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6">
        <f t="shared" si="47"/>
        <v>8.5775199999999998</v>
      </c>
      <c r="Y224" s="1015">
        <v>1800000</v>
      </c>
      <c r="Z224" s="1012">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6">
        <f t="shared" si="47"/>
        <v>6.3345599999999997</v>
      </c>
      <c r="Y225" s="1015">
        <v>1800000</v>
      </c>
      <c r="Z225" s="1012">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6">
        <f t="shared" si="47"/>
        <v>6.3345599999999997</v>
      </c>
      <c r="Y226" s="1015">
        <v>1800000</v>
      </c>
      <c r="Z226" s="1012">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6">
        <f t="shared" si="47"/>
        <v>5.58</v>
      </c>
      <c r="Y227" s="1015">
        <v>1800000</v>
      </c>
      <c r="Z227" s="1012">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6">
        <f t="shared" si="47"/>
        <v>5.1840000000000002</v>
      </c>
      <c r="Y228" s="1015">
        <v>1800000</v>
      </c>
      <c r="Z228" s="1012">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6">
        <f t="shared" si="47"/>
        <v>5.1840000000000002</v>
      </c>
      <c r="Y229" s="1015">
        <v>1800000</v>
      </c>
      <c r="Z229" s="1012">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6">
        <f t="shared" si="47"/>
        <v>5.0119999999999996</v>
      </c>
      <c r="Y230" s="1015">
        <v>1800000</v>
      </c>
      <c r="Z230" s="1012">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6">
        <f t="shared" si="47"/>
        <v>5.1840000000000002</v>
      </c>
      <c r="Y231" s="1015">
        <v>1800000</v>
      </c>
      <c r="Z231" s="1012">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6">
        <f t="shared" si="47"/>
        <v>5.58</v>
      </c>
      <c r="Y232" s="1015">
        <v>1800000</v>
      </c>
      <c r="Z232" s="1012">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6">
        <f t="shared" si="47"/>
        <v>4.3920000000000003</v>
      </c>
      <c r="Y233" s="1015">
        <v>1800000</v>
      </c>
      <c r="Z233" s="1012">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6">
        <f t="shared" si="47"/>
        <v>4.7880000000000003</v>
      </c>
      <c r="Y234" s="1015">
        <v>1800000</v>
      </c>
      <c r="Z234" s="1012">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6">
        <f t="shared" si="47"/>
        <v>4.3920000000000003</v>
      </c>
      <c r="Y235" s="1015">
        <v>1800000</v>
      </c>
      <c r="Z235" s="1012">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6">
        <f t="shared" si="47"/>
        <v>5.1239999999999997</v>
      </c>
      <c r="Y236" s="1015">
        <v>1800000</v>
      </c>
      <c r="Z236" s="1012">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6">
        <f t="shared" si="47"/>
        <v>8.0197599999999998</v>
      </c>
      <c r="Y237" s="1015">
        <v>1800000</v>
      </c>
      <c r="Z237" s="1012">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6">
        <f t="shared" si="47"/>
        <v>5.5776000000000003</v>
      </c>
      <c r="Y238" s="1015">
        <v>1800000</v>
      </c>
      <c r="Z238" s="1012">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6">
        <f t="shared" si="47"/>
        <v>6.4540800000000003</v>
      </c>
      <c r="Y239" s="1015">
        <v>1800000</v>
      </c>
      <c r="Z239" s="1012">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6">
        <f t="shared" si="47"/>
        <v>4.32</v>
      </c>
      <c r="Y240" s="1015">
        <v>1800000</v>
      </c>
      <c r="Z240" s="1012">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6">
        <f t="shared" si="47"/>
        <v>5.1840000000000002</v>
      </c>
      <c r="Y241" s="1015">
        <v>1800000</v>
      </c>
      <c r="Z241" s="1012">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6">
        <f t="shared" si="47"/>
        <v>5.58</v>
      </c>
      <c r="Y242" s="1015">
        <v>1800000</v>
      </c>
      <c r="Z242" s="1012">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6">
        <f t="shared" si="47"/>
        <v>5.58</v>
      </c>
      <c r="Y243" s="1015">
        <v>1800000</v>
      </c>
      <c r="Z243" s="1012">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6">
        <f t="shared" si="47"/>
        <v>5.58</v>
      </c>
      <c r="Y244" s="1015">
        <v>1800000</v>
      </c>
      <c r="Z244" s="1012">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6">
        <f t="shared" si="47"/>
        <v>4.6500000000000004</v>
      </c>
      <c r="Y245" s="1015">
        <v>1800000</v>
      </c>
      <c r="Z245" s="1012">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6">
        <f t="shared" si="47"/>
        <v>4.7880000000000003</v>
      </c>
      <c r="Y246" s="1015">
        <v>1800000</v>
      </c>
      <c r="Z246" s="1012">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6">
        <f t="shared" si="47"/>
        <v>3.996</v>
      </c>
      <c r="Y247" s="1015">
        <v>1800000</v>
      </c>
      <c r="Z247" s="1012">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6">
        <f t="shared" si="47"/>
        <v>4.0879999999999992</v>
      </c>
      <c r="Y248" s="1015">
        <v>1800000</v>
      </c>
      <c r="Z248" s="1012">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6">
        <f t="shared" si="47"/>
        <v>3.504</v>
      </c>
      <c r="Y249" s="1015">
        <v>1800000</v>
      </c>
      <c r="Z249" s="1012">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6">
        <f t="shared" si="47"/>
        <v>4.7880000000000003</v>
      </c>
      <c r="Y250" s="1015">
        <v>1800000</v>
      </c>
      <c r="Z250" s="1012">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6">
        <f t="shared" si="47"/>
        <v>3.2040000000000002</v>
      </c>
      <c r="Y251" s="1015">
        <v>1800000</v>
      </c>
      <c r="Z251" s="1012">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6">
        <f t="shared" si="47"/>
        <v>2.8079999999999998</v>
      </c>
      <c r="Y252" s="1015">
        <v>1800000</v>
      </c>
      <c r="Z252" s="1012">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6">
        <f t="shared" si="47"/>
        <v>7.1400000000000015</v>
      </c>
      <c r="Y253" s="1015">
        <v>1800000</v>
      </c>
      <c r="Z253" s="1012">
        <f t="shared" si="48"/>
        <v>12852000.000000002</v>
      </c>
      <c r="AA253" s="593">
        <f t="shared" si="46"/>
        <v>233</v>
      </c>
      <c r="AB253" s="511">
        <f>IFERROR(INDEX('[12]CN BC'!$M$10:$M$276,MATCH(B253,'[12]CN BC'!$H$10:$H$276,0)),"")</f>
        <v>0</v>
      </c>
      <c r="AC253" s="1026"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6">
        <f t="shared" si="47"/>
        <v>6.3959999999999999</v>
      </c>
      <c r="Y254" s="1015">
        <v>1800000</v>
      </c>
      <c r="Z254" s="1012">
        <f t="shared" si="48"/>
        <v>11512800</v>
      </c>
      <c r="AA254" s="593">
        <f t="shared" si="46"/>
        <v>234</v>
      </c>
      <c r="AB254" s="511">
        <f>IFERROR(INDEX('[12]CN BC'!$M$10:$M$276,MATCH(B254,'[12]CN BC'!$H$10:$H$276,0)),"")</f>
        <v>0</v>
      </c>
      <c r="AC254" s="1026"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6">
        <f t="shared" si="47"/>
        <v>4.57</v>
      </c>
      <c r="Y255" s="1015">
        <v>1800000</v>
      </c>
      <c r="Z255" s="1012">
        <f t="shared" si="48"/>
        <v>8226000.0000000009</v>
      </c>
      <c r="AA255" s="593">
        <f t="shared" si="46"/>
        <v>235</v>
      </c>
      <c r="AB255" s="511">
        <f>IFERROR(INDEX('[12]CN BC'!$M$10:$M$276,MATCH(B255,'[12]CN BC'!$H$10:$H$276,0)),"")</f>
        <v>0</v>
      </c>
      <c r="AC255" s="1026"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6">
        <f t="shared" si="47"/>
        <v>4.7880000000000003</v>
      </c>
      <c r="Y256" s="1015">
        <v>1800000</v>
      </c>
      <c r="Z256" s="1012">
        <f t="shared" si="48"/>
        <v>8618400</v>
      </c>
      <c r="AA256" s="593">
        <f t="shared" si="46"/>
        <v>236</v>
      </c>
      <c r="AB256" s="511">
        <f>IFERROR(INDEX('[12]CN BC'!$M$10:$M$276,MATCH(B256,'[12]CN BC'!$H$10:$H$276,0)),"")</f>
        <v>0</v>
      </c>
      <c r="AC256" s="1026"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6">
        <f t="shared" si="47"/>
        <v>5.0880000000000001</v>
      </c>
      <c r="Y257" s="1015">
        <v>1800000</v>
      </c>
      <c r="Z257" s="1012">
        <f t="shared" si="48"/>
        <v>9158400</v>
      </c>
      <c r="AA257" s="593">
        <f t="shared" si="46"/>
        <v>237</v>
      </c>
      <c r="AB257" s="511">
        <f>IFERROR(INDEX('[12]CN BC'!$M$10:$M$276,MATCH(B257,'[12]CN BC'!$H$10:$H$276,0)),"")</f>
        <v>0</v>
      </c>
      <c r="AC257" s="1026"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6">
        <f t="shared" si="47"/>
        <v>3.66</v>
      </c>
      <c r="Y258" s="1015">
        <v>1800000</v>
      </c>
      <c r="Z258" s="1012">
        <f t="shared" si="48"/>
        <v>6588000</v>
      </c>
      <c r="AA258" s="593">
        <f t="shared" si="46"/>
        <v>238</v>
      </c>
      <c r="AB258" s="511">
        <f>IFERROR(INDEX('[12]CN BC'!$M$10:$M$276,MATCH(B258,'[12]CN BC'!$H$10:$H$276,0)),"")</f>
        <v>0</v>
      </c>
      <c r="AC258" s="1026"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6">
        <f t="shared" si="47"/>
        <v>3.66</v>
      </c>
      <c r="Y259" s="1015">
        <v>1800000</v>
      </c>
      <c r="Z259" s="1012">
        <f t="shared" si="48"/>
        <v>6588000</v>
      </c>
      <c r="AA259" s="593">
        <f t="shared" si="46"/>
        <v>239</v>
      </c>
      <c r="AB259" s="511">
        <f>IFERROR(INDEX('[12]CN BC'!$M$10:$M$276,MATCH(B259,'[12]CN BC'!$H$10:$H$276,0)),"")</f>
        <v>0</v>
      </c>
      <c r="AC259" s="1026"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6">
        <f t="shared" si="47"/>
        <v>3.99</v>
      </c>
      <c r="Y260" s="1015">
        <v>1800000</v>
      </c>
      <c r="Z260" s="1012">
        <f t="shared" si="48"/>
        <v>7182000</v>
      </c>
      <c r="AA260" s="593">
        <f t="shared" si="46"/>
        <v>240</v>
      </c>
      <c r="AB260" s="511">
        <f>IFERROR(INDEX('[12]CN BC'!$M$10:$M$276,MATCH(B260,'[12]CN BC'!$H$10:$H$276,0)),"")</f>
        <v>0</v>
      </c>
      <c r="AC260" s="1026"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6">
        <f t="shared" si="47"/>
        <v>3.66</v>
      </c>
      <c r="Y261" s="1015">
        <v>1800000</v>
      </c>
      <c r="Z261" s="1012">
        <f t="shared" si="48"/>
        <v>6588000</v>
      </c>
      <c r="AA261" s="593">
        <f t="shared" si="46"/>
        <v>241</v>
      </c>
      <c r="AB261" s="511">
        <f>IFERROR(INDEX('[12]CN BC'!$M$10:$M$276,MATCH(B261,'[12]CN BC'!$H$10:$H$276,0)),"")</f>
        <v>0</v>
      </c>
      <c r="AC261" s="1026"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6">
        <f t="shared" si="47"/>
        <v>4.3920000000000003</v>
      </c>
      <c r="Y262" s="1015">
        <v>1800000</v>
      </c>
      <c r="Z262" s="1012">
        <f t="shared" si="48"/>
        <v>7905600.0000000009</v>
      </c>
      <c r="AA262" s="593">
        <f t="shared" si="46"/>
        <v>242</v>
      </c>
      <c r="AB262" s="511">
        <f>IFERROR(INDEX('[12]CN BC'!$M$10:$M$276,MATCH(B262,'[12]CN BC'!$H$10:$H$276,0)),"")</f>
        <v>0</v>
      </c>
      <c r="AC262" s="1026"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6">
        <f t="shared" si="47"/>
        <v>4.3920000000000003</v>
      </c>
      <c r="Y263" s="1015">
        <v>1800000</v>
      </c>
      <c r="Z263" s="1012">
        <f t="shared" si="48"/>
        <v>7905600.0000000009</v>
      </c>
      <c r="AA263" s="593">
        <f t="shared" si="46"/>
        <v>243</v>
      </c>
      <c r="AB263" s="511">
        <f>IFERROR(INDEX('[12]CN BC'!$M$10:$M$276,MATCH(B263,'[12]CN BC'!$H$10:$H$276,0)),"")</f>
        <v>0</v>
      </c>
      <c r="AC263" s="1026"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6">
        <f t="shared" si="47"/>
        <v>4.3920000000000003</v>
      </c>
      <c r="Y264" s="1015">
        <v>1800000</v>
      </c>
      <c r="Z264" s="1012">
        <f t="shared" si="48"/>
        <v>7905600.0000000009</v>
      </c>
      <c r="AA264" s="593">
        <f t="shared" si="46"/>
        <v>244</v>
      </c>
      <c r="AB264" s="511">
        <f>IFERROR(INDEX('[12]CN BC'!$M$10:$M$276,MATCH(B264,'[12]CN BC'!$H$10:$H$276,0)),"")</f>
        <v>0</v>
      </c>
      <c r="AC264" s="1026"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6">
        <f t="shared" si="47"/>
        <v>3.66</v>
      </c>
      <c r="Y265" s="1015">
        <v>1800000</v>
      </c>
      <c r="Z265" s="1012">
        <f t="shared" si="48"/>
        <v>6588000</v>
      </c>
      <c r="AA265" s="593">
        <f t="shared" si="46"/>
        <v>245</v>
      </c>
      <c r="AB265" s="511">
        <f>IFERROR(INDEX('[12]CN BC'!$M$10:$M$276,MATCH(B265,'[12]CN BC'!$H$10:$H$276,0)),"")</f>
        <v>0</v>
      </c>
      <c r="AC265" s="1026"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6">
        <f t="shared" si="47"/>
        <v>3.58</v>
      </c>
      <c r="Y266" s="1015">
        <v>1800000</v>
      </c>
      <c r="Z266" s="1012">
        <f t="shared" si="48"/>
        <v>6444000</v>
      </c>
      <c r="AA266" s="593">
        <f t="shared" si="46"/>
        <v>246</v>
      </c>
      <c r="AB266" s="511">
        <f>IFERROR(INDEX('[12]CN BC'!$M$10:$M$276,MATCH(B266,'[12]CN BC'!$H$10:$H$276,0)),"")</f>
        <v>0</v>
      </c>
      <c r="AC266" s="1026"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6">
        <f t="shared" si="47"/>
        <v>3.33</v>
      </c>
      <c r="Y267" s="1015">
        <v>1800000</v>
      </c>
      <c r="Z267" s="1012">
        <f t="shared" si="48"/>
        <v>5994000</v>
      </c>
      <c r="AA267" s="593">
        <f t="shared" si="46"/>
        <v>247</v>
      </c>
      <c r="AB267" s="511">
        <f>IFERROR(INDEX('[12]CN BC'!$M$10:$M$276,MATCH(B267,'[12]CN BC'!$H$10:$H$276,0)),"")</f>
        <v>0</v>
      </c>
      <c r="AC267" s="1026"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6">
        <f t="shared" si="47"/>
        <v>2.67</v>
      </c>
      <c r="Y268" s="1015">
        <v>1800000</v>
      </c>
      <c r="Z268" s="1012">
        <f t="shared" si="48"/>
        <v>4806000</v>
      </c>
      <c r="AA268" s="593">
        <f t="shared" si="46"/>
        <v>248</v>
      </c>
      <c r="AB268" s="511">
        <f>IFERROR(INDEX('[12]CN BC'!$M$10:$M$276,MATCH(B268,'[12]CN BC'!$H$10:$H$276,0)),"")</f>
        <v>0</v>
      </c>
      <c r="AC268" s="1026"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6">
        <f t="shared" si="47"/>
        <v>3.2040000000000002</v>
      </c>
      <c r="Y269" s="1015">
        <v>1800000</v>
      </c>
      <c r="Z269" s="1012">
        <f t="shared" si="48"/>
        <v>5767200</v>
      </c>
      <c r="AA269" s="593">
        <f t="shared" si="46"/>
        <v>249</v>
      </c>
      <c r="AB269" s="511">
        <f>IFERROR(INDEX('[12]CN BC'!$M$10:$M$276,MATCH(B269,'[12]CN BC'!$H$10:$H$276,0)),"")</f>
        <v>0</v>
      </c>
      <c r="AC269" s="1026"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6">
        <f t="shared" si="47"/>
        <v>3.6</v>
      </c>
      <c r="Y270" s="1015">
        <v>1800000</v>
      </c>
      <c r="Z270" s="1012">
        <f t="shared" si="48"/>
        <v>6480000</v>
      </c>
      <c r="AA270" s="593">
        <f t="shared" si="46"/>
        <v>250</v>
      </c>
      <c r="AB270" s="511">
        <f>IFERROR(INDEX('[12]CN BC'!$M$10:$M$276,MATCH(B270,'[12]CN BC'!$H$10:$H$276,0)),"")</f>
        <v>0</v>
      </c>
      <c r="AC270" s="1026"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6">
        <f t="shared" si="47"/>
        <v>4.3920000000000003</v>
      </c>
      <c r="Y271" s="1015">
        <v>1800000</v>
      </c>
      <c r="Z271" s="1012">
        <f t="shared" si="48"/>
        <v>7905600.0000000009</v>
      </c>
      <c r="AA271" s="593">
        <f t="shared" si="46"/>
        <v>251</v>
      </c>
      <c r="AB271" s="511">
        <f>IFERROR(INDEX('[12]CN BC'!$M$10:$M$276,MATCH(B271,'[12]CN BC'!$H$10:$H$276,0)),"")</f>
        <v>0</v>
      </c>
      <c r="AC271" s="1026"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6">
        <f t="shared" si="47"/>
        <v>2.8079999999999998</v>
      </c>
      <c r="Y272" s="1015">
        <v>1800000</v>
      </c>
      <c r="Z272" s="1012">
        <f t="shared" si="48"/>
        <v>5054400</v>
      </c>
      <c r="AA272" s="593">
        <f t="shared" si="46"/>
        <v>252</v>
      </c>
      <c r="AB272" s="511">
        <f>IFERROR(INDEX('[12]CN BC'!$M$10:$M$276,MATCH(B272,'[12]CN BC'!$H$10:$H$276,0)),"")</f>
        <v>0</v>
      </c>
      <c r="AC272" s="1026"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6">
        <f t="shared" si="47"/>
        <v>2.34</v>
      </c>
      <c r="Y273" s="1015">
        <v>1800000</v>
      </c>
      <c r="Z273" s="1012">
        <f t="shared" si="48"/>
        <v>4212000</v>
      </c>
      <c r="AA273" s="593">
        <f t="shared" si="46"/>
        <v>253</v>
      </c>
      <c r="AB273" s="576">
        <f>IFERROR(INDEX('[12]CN BC'!$M$10:$M$276,MATCH(B273,'[12]CN BC'!$H$10:$H$276,0)),"")</f>
        <v>0</v>
      </c>
      <c r="AC273" s="1026"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6">
        <f t="shared" si="47"/>
        <v>2.8079999999999998</v>
      </c>
      <c r="Y274" s="1015">
        <v>1800000</v>
      </c>
      <c r="Z274" s="1012">
        <f t="shared" si="48"/>
        <v>5054400</v>
      </c>
      <c r="AA274" s="593">
        <f t="shared" si="46"/>
        <v>254</v>
      </c>
      <c r="AB274" s="511">
        <f>IFERROR(INDEX('[12]CN BC'!$M$10:$M$276,MATCH(B274,'[12]CN BC'!$H$10:$H$276,0)),"")</f>
        <v>0</v>
      </c>
      <c r="AC274" s="1026"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6">
        <f t="shared" si="47"/>
        <v>2.34</v>
      </c>
      <c r="Y275" s="1015">
        <v>1800000</v>
      </c>
      <c r="Z275" s="1012">
        <f t="shared" si="48"/>
        <v>4212000</v>
      </c>
      <c r="AA275" s="593">
        <f t="shared" si="46"/>
        <v>255</v>
      </c>
      <c r="AB275" s="511">
        <f>IFERROR(INDEX('[12]CN BC'!$M$10:$M$276,MATCH(B275,'[12]CN BC'!$H$10:$H$276,0)),"")</f>
        <v>0</v>
      </c>
      <c r="AC275" s="1026"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6">
        <f t="shared" si="47"/>
        <v>4.3920000000000003</v>
      </c>
      <c r="Y276" s="1015">
        <v>1800000</v>
      </c>
      <c r="Z276" s="1012">
        <f t="shared" si="48"/>
        <v>7905600.0000000009</v>
      </c>
      <c r="AA276" s="593">
        <f t="shared" si="46"/>
        <v>256</v>
      </c>
      <c r="AB276" s="511">
        <f>IFERROR(INDEX('[12]CN BC'!$M$10:$M$276,MATCH(B276,'[12]CN BC'!$H$10:$H$276,0)),"")</f>
        <v>0</v>
      </c>
      <c r="AC276" s="1026"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6">
        <f t="shared" si="47"/>
        <v>3.996</v>
      </c>
      <c r="Y277" s="1015">
        <v>1800000</v>
      </c>
      <c r="Z277" s="1012">
        <f t="shared" si="48"/>
        <v>7192800</v>
      </c>
      <c r="AA277" s="593">
        <f t="shared" si="46"/>
        <v>257</v>
      </c>
      <c r="AB277" s="511">
        <f>IFERROR(INDEX('[12]CN BC'!$M$10:$M$276,MATCH(B277,'[12]CN BC'!$H$10:$H$276,0)),"")</f>
        <v>0</v>
      </c>
      <c r="AC277" s="1026"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6">
        <f t="shared" ref="X278:X341" si="57">W278/Y278</f>
        <v>2.3868</v>
      </c>
      <c r="Y278" s="1015">
        <v>1800000</v>
      </c>
      <c r="Z278" s="1012">
        <f t="shared" ref="Z278:Z341" si="58">X278*Y278</f>
        <v>4296240</v>
      </c>
      <c r="AA278" s="593">
        <f t="shared" si="46"/>
        <v>258</v>
      </c>
      <c r="AB278" s="511">
        <f>IFERROR(INDEX('[12]CN BC'!$M$10:$M$276,MATCH(B278,'[12]CN BC'!$H$10:$H$276,0)),"")</f>
        <v>0</v>
      </c>
      <c r="AC278" s="1026"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6">
        <f t="shared" si="57"/>
        <v>4.1100000000000003</v>
      </c>
      <c r="Y279" s="1015">
        <v>1800000</v>
      </c>
      <c r="Z279" s="1012">
        <f t="shared" si="58"/>
        <v>7398000.0000000009</v>
      </c>
      <c r="AA279" s="593">
        <f t="shared" si="46"/>
        <v>259</v>
      </c>
      <c r="AB279" s="511">
        <f>IFERROR(INDEX('[12]CN BC'!$M$10:$M$276,MATCH(B279,'[12]CN BC'!$H$10:$H$276,0)),"")</f>
        <v>0</v>
      </c>
      <c r="AC279" s="1026"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6">
        <f t="shared" si="57"/>
        <v>4.9000000000000004</v>
      </c>
      <c r="Y280" s="1015">
        <v>1800000</v>
      </c>
      <c r="Z280" s="1012">
        <f t="shared" si="58"/>
        <v>8820000</v>
      </c>
      <c r="AA280" s="593">
        <f t="shared" si="46"/>
        <v>260</v>
      </c>
      <c r="AB280" s="511">
        <f>IFERROR(INDEX('[12]CN BC'!$M$10:$M$276,MATCH(B280,'[12]CN BC'!$H$10:$H$276,0)),"")</f>
        <v>0</v>
      </c>
      <c r="AC280" s="1026"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6">
        <f t="shared" si="57"/>
        <v>4.9000000000000004</v>
      </c>
      <c r="Y281" s="1015">
        <v>1800000</v>
      </c>
      <c r="Z281" s="1012">
        <f t="shared" si="58"/>
        <v>8820000</v>
      </c>
      <c r="AA281" s="593">
        <f t="shared" si="46"/>
        <v>261</v>
      </c>
      <c r="AB281" s="511">
        <f>IFERROR(INDEX('[12]CN BC'!$M$10:$M$276,MATCH(B281,'[12]CN BC'!$H$10:$H$276,0)),"")</f>
        <v>0</v>
      </c>
      <c r="AC281" s="1026"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6">
        <f t="shared" si="57"/>
        <v>3.66</v>
      </c>
      <c r="Y282" s="1015">
        <v>1800000</v>
      </c>
      <c r="Z282" s="1012">
        <f t="shared" si="58"/>
        <v>6588000</v>
      </c>
      <c r="AA282" s="593">
        <f t="shared" si="46"/>
        <v>262</v>
      </c>
      <c r="AB282" s="511">
        <f>IFERROR(INDEX('[12]CN BC'!$M$10:$M$276,MATCH(B282,'[12]CN BC'!$H$10:$H$276,0)),"")</f>
        <v>0</v>
      </c>
      <c r="AC282" s="1026"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6">
        <f t="shared" si="57"/>
        <v>3.66</v>
      </c>
      <c r="Y283" s="1015">
        <v>1800000</v>
      </c>
      <c r="Z283" s="1012">
        <f t="shared" si="58"/>
        <v>6588000</v>
      </c>
      <c r="AA283" s="593">
        <f t="shared" si="46"/>
        <v>263</v>
      </c>
      <c r="AB283" s="511">
        <f>IFERROR(INDEX('[12]CN BC'!$M$10:$M$276,MATCH(B283,'[12]CN BC'!$H$10:$H$276,0)),"")</f>
        <v>0</v>
      </c>
      <c r="AC283" s="1026"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6">
        <f t="shared" si="57"/>
        <v>4.32</v>
      </c>
      <c r="Y284" s="1015">
        <v>1800000</v>
      </c>
      <c r="Z284" s="1012">
        <f t="shared" si="58"/>
        <v>7776000.0000000009</v>
      </c>
      <c r="AA284" s="593">
        <f t="shared" si="46"/>
        <v>264</v>
      </c>
      <c r="AB284" s="511">
        <f>IFERROR(INDEX('[12]CN BC'!$M$10:$M$276,MATCH(B284,'[12]CN BC'!$H$10:$H$276,0)),"")</f>
        <v>0</v>
      </c>
      <c r="AC284" s="1026"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6">
        <f t="shared" si="57"/>
        <v>3.33</v>
      </c>
      <c r="Y285" s="1015">
        <v>1800000</v>
      </c>
      <c r="Z285" s="1012">
        <f t="shared" si="58"/>
        <v>5994000</v>
      </c>
      <c r="AA285" s="593">
        <f t="shared" ref="AA285:AA348" si="60">A285</f>
        <v>265</v>
      </c>
      <c r="AB285" s="511">
        <f>IFERROR(INDEX('[12]CN BC'!$M$10:$M$276,MATCH(B285,'[12]CN BC'!$H$10:$H$276,0)),"")</f>
        <v>0</v>
      </c>
      <c r="AC285" s="1026"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6">
        <f t="shared" si="57"/>
        <v>4.9800000000000004</v>
      </c>
      <c r="Y286" s="1015">
        <v>1800000</v>
      </c>
      <c r="Z286" s="1012">
        <f t="shared" si="58"/>
        <v>8964000</v>
      </c>
      <c r="AA286" s="593">
        <f t="shared" si="60"/>
        <v>266</v>
      </c>
      <c r="AB286" s="511">
        <f>IFERROR(INDEX('[12]CN BC'!$M$10:$M$276,MATCH(B286,'[12]CN BC'!$H$10:$H$276,0)),"")</f>
        <v>0</v>
      </c>
      <c r="AC286" s="1026"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6">
        <f t="shared" si="57"/>
        <v>3.68</v>
      </c>
      <c r="Y287" s="1015">
        <v>1800000</v>
      </c>
      <c r="Z287" s="1012">
        <f t="shared" si="58"/>
        <v>6624000</v>
      </c>
      <c r="AA287" s="593">
        <f t="shared" si="60"/>
        <v>267</v>
      </c>
      <c r="AB287" s="511">
        <f>IFERROR(INDEX('[12]CN BC'!$M$10:$M$276,MATCH(B287,'[12]CN BC'!$H$10:$H$276,0)),"")</f>
        <v>0</v>
      </c>
      <c r="AC287" s="1026"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4">
        <v>1603205359393</v>
      </c>
      <c r="F288" s="634"/>
      <c r="G288" s="634"/>
      <c r="H288" s="383" t="s">
        <v>2031</v>
      </c>
      <c r="I288" s="635">
        <v>6914491</v>
      </c>
      <c r="J288" s="383" t="str">
        <f>VLOOKUP(B288,TH.T3!B294:J552,9,FALSE)</f>
        <v xml:space="preserve">NV Bảo vệ </v>
      </c>
      <c r="K288" s="484">
        <f t="shared" ref="K288:K350" si="62">IF(H288="D.03",I288*30%,I288*70%)</f>
        <v>2074347.2999999998</v>
      </c>
      <c r="L288" s="636" t="str">
        <f>VLOOKUP(B288,'[11]Gui chi Quynh'!$B$11:$E$400,4,FALSE)</f>
        <v>A4</v>
      </c>
      <c r="M288" s="484">
        <f>ROUND(IF(AND(L288="A1",K288*1.6),K288*1.6,IF(AND(L288="A2",K288*1.4),K288*1.4,IF(AND(L288="A3",K288*1.2),K288*1.2,IF(AND(L288="A4",K288*1),K288*1,IF(AND(L288="B1",K288*0.7),K288*0.7,IF(AND(L288="B2",K288*0.5),K288*0.5,IF(AND(L288="C1",K288*0.3),K288*0.3,0))))))),)</f>
        <v>2074347</v>
      </c>
      <c r="N288" s="636">
        <v>22</v>
      </c>
      <c r="O288" s="637">
        <f>IFERROR(INDEX('[12]CN HĐ'!$J$10:$J$72,MATCH(B288,'[12]CN HĐ'!$H$10:$H$72,0)),"")</f>
        <v>23</v>
      </c>
      <c r="P288" s="638" t="e">
        <f>IF(M288&gt;#REF!,M288,#REF!)</f>
        <v>#REF!</v>
      </c>
      <c r="Q288" s="484">
        <f t="shared" ref="Q288:Q350" si="63">ROUND(IF(O288&gt;=N288,M288,M288/N288*O288),)</f>
        <v>2074347</v>
      </c>
      <c r="R288" s="639"/>
      <c r="S288" s="484">
        <v>0</v>
      </c>
      <c r="T288" s="640"/>
      <c r="U288" s="484">
        <v>0</v>
      </c>
      <c r="V288" s="679">
        <f t="shared" ref="V288:V350" si="64">I288*1%</f>
        <v>69144.91</v>
      </c>
      <c r="W288" s="641">
        <f>(Q288+S288+U288)</f>
        <v>2074347</v>
      </c>
      <c r="X288" s="1016">
        <f t="shared" si="57"/>
        <v>1.152415</v>
      </c>
      <c r="Y288" s="1015">
        <v>1800000</v>
      </c>
      <c r="Z288" s="1012">
        <f t="shared" si="58"/>
        <v>2074347</v>
      </c>
      <c r="AA288" s="642">
        <f t="shared" si="60"/>
        <v>268</v>
      </c>
      <c r="AB288" s="643" t="str">
        <f>IFERROR(INDEX('[12]CN HĐ'!$M$10:$M$73,MATCH(B288,'[12]CN HĐ'!$H$10:$H$73,0)),"")</f>
        <v>Trừ 1 ngày nghỉ phép 23/4</v>
      </c>
      <c r="AC288" s="647"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4" t="s">
        <v>2034</v>
      </c>
      <c r="F289" s="634"/>
      <c r="G289" s="634"/>
      <c r="H289" s="383" t="s">
        <v>2031</v>
      </c>
      <c r="I289" s="635">
        <v>5417685</v>
      </c>
      <c r="J289" s="383" t="str">
        <f>VLOOKUP(B289,TH.T3!B295:J553,9,FALSE)</f>
        <v>NV Bảo vệ</v>
      </c>
      <c r="K289" s="484">
        <f t="shared" si="62"/>
        <v>1625305.5</v>
      </c>
      <c r="L289" s="636" t="str">
        <f>VLOOKUP(B289,'[11]Gui chi Quynh'!$B$11:$E$400,4,FALSE)</f>
        <v>A4</v>
      </c>
      <c r="M289" s="484">
        <f>ROUND(IF(AND(L289="A1",K289*1.6),K289*1.6,IF(AND(L289="A2",K289*1.4),K289*1.4,IF(AND(L289="A3",K289*1.2),K289*1.2,IF(AND(L289="A4",K289*1),K289*1,IF(AND(L289="B1",K289*0.7),K289*0.7,IF(AND(L289="B2",K289*0.5),K289*0.5,IF(AND(L289="C1",K289*0.3),K289*0.3,0))))))),)</f>
        <v>1625306</v>
      </c>
      <c r="N289" s="636">
        <v>22</v>
      </c>
      <c r="O289" s="637">
        <f>IFERROR(INDEX('[12]CN HĐ'!$J$10:$J$72,MATCH(B289,'[12]CN HĐ'!$H$10:$H$72,0)),"")</f>
        <v>22</v>
      </c>
      <c r="P289" s="638" t="e">
        <f>IF(M289&gt;#REF!,M289,#REF!)</f>
        <v>#REF!</v>
      </c>
      <c r="Q289" s="484">
        <f t="shared" si="63"/>
        <v>1625306</v>
      </c>
      <c r="R289" s="639"/>
      <c r="S289" s="484">
        <v>0</v>
      </c>
      <c r="T289" s="640"/>
      <c r="U289" s="484">
        <v>0</v>
      </c>
      <c r="V289" s="679">
        <f t="shared" si="64"/>
        <v>54176.85</v>
      </c>
      <c r="W289" s="641">
        <f t="shared" ref="W289:W350" si="65">(Q289+S289+U289)</f>
        <v>1625306</v>
      </c>
      <c r="X289" s="1016">
        <f t="shared" si="57"/>
        <v>0.90294777777777779</v>
      </c>
      <c r="Y289" s="1015">
        <v>1800000</v>
      </c>
      <c r="Z289" s="1012">
        <f t="shared" si="58"/>
        <v>1625306</v>
      </c>
      <c r="AA289" s="642">
        <f t="shared" si="60"/>
        <v>269</v>
      </c>
      <c r="AB289" s="643" t="str">
        <f>IFERROR(INDEX('[12]CN HĐ'!$M$10:$M$73,MATCH(B289,'[12]CN HĐ'!$H$10:$H$73,0)),"")</f>
        <v>Trừ 2 ngày nghỉ phép 11+27/4</v>
      </c>
      <c r="AC289" s="647"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4" t="s">
        <v>2036</v>
      </c>
      <c r="F290" s="634"/>
      <c r="G290" s="634"/>
      <c r="H290" s="383" t="s">
        <v>2031</v>
      </c>
      <c r="I290" s="635">
        <v>5159700</v>
      </c>
      <c r="J290" s="383" t="str">
        <f>VLOOKUP(B290,TH.T3!B296:J554,9,FALSE)</f>
        <v>NV Bảo vệ</v>
      </c>
      <c r="K290" s="484">
        <f t="shared" si="62"/>
        <v>1547910</v>
      </c>
      <c r="L290" s="636" t="str">
        <f>VLOOKUP(B290,'[11]Gui chi Quynh'!$B$11:$E$400,4,FALSE)</f>
        <v>A3</v>
      </c>
      <c r="M290" s="484">
        <f>ROUND(IF(AND(L290="A1",K290*1.6),K290*1.6,IF(AND(L290="A2",K290*1.4),K290*1.4,IF(AND(L290="A3",K290*1.2),K290*1.2,IF(AND(L290="A4",K290*1),K290*1,IF(AND(L290="B1",K290*0.7),K290*0.7,IF(AND(L290="B2",K290*0.5),K290*0.5,IF(AND(L290="C1",K290*0.3),K290*0.3,0))))))),)</f>
        <v>1857492</v>
      </c>
      <c r="N290" s="636">
        <v>22</v>
      </c>
      <c r="O290" s="637">
        <f>IFERROR(INDEX('[12]CN HĐ'!$J$10:$J$72,MATCH(B290,'[12]CN HĐ'!$H$10:$H$72,0)),"")</f>
        <v>23</v>
      </c>
      <c r="P290" s="638" t="e">
        <f>IF(M290&gt;#REF!,M290,#REF!)</f>
        <v>#REF!</v>
      </c>
      <c r="Q290" s="484">
        <f t="shared" si="63"/>
        <v>1857492</v>
      </c>
      <c r="R290" s="639"/>
      <c r="S290" s="484">
        <v>0</v>
      </c>
      <c r="T290" s="640"/>
      <c r="U290" s="484">
        <v>0</v>
      </c>
      <c r="V290" s="679">
        <f t="shared" si="64"/>
        <v>51597</v>
      </c>
      <c r="W290" s="641">
        <f t="shared" si="65"/>
        <v>1857492</v>
      </c>
      <c r="X290" s="1016">
        <f t="shared" si="57"/>
        <v>1.0319400000000001</v>
      </c>
      <c r="Y290" s="1015">
        <v>1800000</v>
      </c>
      <c r="Z290" s="1012">
        <f t="shared" si="58"/>
        <v>1857492.0000000002</v>
      </c>
      <c r="AA290" s="642">
        <f>A290</f>
        <v>270</v>
      </c>
      <c r="AB290" s="643" t="str">
        <f>IFERROR(INDEX('[12]CN HĐ'!$M$10:$M$73,MATCH(B290,'[12]CN HĐ'!$H$10:$H$73,0)),"")</f>
        <v>Trừ 1 ngày nghỉ phép 15/4</v>
      </c>
      <c r="AC290" s="647" t="s">
        <v>2015</v>
      </c>
      <c r="AD290" s="505"/>
      <c r="AE290" s="505"/>
      <c r="AF290" s="505"/>
    </row>
    <row r="291" spans="1:52" s="387" customFormat="1" ht="27" customHeight="1">
      <c r="A291" s="33">
        <f>_xlfn.AGGREGATE(4,7,A$20:A290)+1</f>
        <v>271</v>
      </c>
      <c r="B291" s="462" t="s">
        <v>2037</v>
      </c>
      <c r="C291" s="436"/>
      <c r="D291" s="435"/>
      <c r="E291" s="644">
        <v>1603215005626</v>
      </c>
      <c r="F291" s="644"/>
      <c r="G291" s="644"/>
      <c r="H291" s="383" t="s">
        <v>2038</v>
      </c>
      <c r="I291" s="635">
        <v>5007600</v>
      </c>
      <c r="J291" s="383" t="str">
        <f>VLOOKUP(B291,TH.T3!B297:J555,9,FALSE)</f>
        <v>NV Bảo vệ</v>
      </c>
      <c r="K291" s="484">
        <f t="shared" si="62"/>
        <v>3505320</v>
      </c>
      <c r="L291" s="636"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6">
        <v>22</v>
      </c>
      <c r="O291" s="637">
        <f>IFERROR(INDEX('[12]CN HĐ'!$J$10:$J$72,MATCH(B291,'[12]CN HĐ'!$H$10:$H$72,0)),"")</f>
        <v>22</v>
      </c>
      <c r="P291" s="638" t="e">
        <f>IF(M291&gt;#REF!,M291,#REF!)</f>
        <v>#REF!</v>
      </c>
      <c r="Q291" s="484">
        <f t="shared" si="63"/>
        <v>4206384</v>
      </c>
      <c r="R291" s="639"/>
      <c r="S291" s="484">
        <v>0</v>
      </c>
      <c r="T291" s="640"/>
      <c r="U291" s="484">
        <v>0</v>
      </c>
      <c r="V291" s="679">
        <f t="shared" si="64"/>
        <v>50076</v>
      </c>
      <c r="W291" s="641">
        <f t="shared" si="65"/>
        <v>4206384</v>
      </c>
      <c r="X291" s="1016">
        <f t="shared" si="57"/>
        <v>2.3368799999999998</v>
      </c>
      <c r="Y291" s="1015">
        <v>1800000</v>
      </c>
      <c r="Z291" s="1012">
        <f t="shared" si="58"/>
        <v>4206384</v>
      </c>
      <c r="AA291" s="642">
        <f t="shared" si="60"/>
        <v>271</v>
      </c>
      <c r="AB291" s="643">
        <f>IFERROR(INDEX('[12]CN HĐ'!$M$10:$M$73,MATCH(B291,'[12]CN HĐ'!$H$10:$H$73,0)),"")</f>
        <v>0</v>
      </c>
      <c r="AC291" s="647"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4">
        <v>1603205287913</v>
      </c>
      <c r="F292" s="634"/>
      <c r="G292" s="634"/>
      <c r="H292" s="383" t="s">
        <v>2031</v>
      </c>
      <c r="I292" s="635">
        <v>7206216</v>
      </c>
      <c r="J292" s="383" t="str">
        <f>VLOOKUP(B292,TH.T3!B298:J556,9,FALSE)</f>
        <v xml:space="preserve">NV Bảo vệ </v>
      </c>
      <c r="K292" s="484">
        <f t="shared" si="62"/>
        <v>2161864.7999999998</v>
      </c>
      <c r="L292" s="636" t="str">
        <f>VLOOKUP(B292,'[11]Gui chi Quynh'!$B$11:$E$400,4,FALSE)</f>
        <v>A4</v>
      </c>
      <c r="M292" s="484">
        <f t="shared" si="66"/>
        <v>2161865</v>
      </c>
      <c r="N292" s="636">
        <v>22</v>
      </c>
      <c r="O292" s="637">
        <f>IFERROR(INDEX('[12]CN HĐ'!$J$10:$J$72,MATCH(B292,'[12]CN HĐ'!$H$10:$H$72,0)),"")</f>
        <v>23</v>
      </c>
      <c r="P292" s="638" t="e">
        <f>IF(M292&gt;#REF!,M292,#REF!)</f>
        <v>#REF!</v>
      </c>
      <c r="Q292" s="484">
        <f t="shared" si="63"/>
        <v>2161865</v>
      </c>
      <c r="R292" s="639"/>
      <c r="S292" s="484">
        <v>0</v>
      </c>
      <c r="T292" s="640"/>
      <c r="U292" s="484">
        <v>0</v>
      </c>
      <c r="V292" s="679">
        <f t="shared" si="64"/>
        <v>72062.16</v>
      </c>
      <c r="W292" s="641">
        <f t="shared" si="65"/>
        <v>2161865</v>
      </c>
      <c r="X292" s="1016">
        <f t="shared" si="57"/>
        <v>1.2010361111111112</v>
      </c>
      <c r="Y292" s="1015">
        <v>1800000</v>
      </c>
      <c r="Z292" s="1012">
        <f t="shared" si="58"/>
        <v>2161865</v>
      </c>
      <c r="AA292" s="642">
        <f t="shared" si="60"/>
        <v>272</v>
      </c>
      <c r="AB292" s="643" t="str">
        <f>IFERROR(INDEX('[12]CN HĐ'!$M$10:$M$73,MATCH(B292,'[12]CN HĐ'!$H$10:$H$73,0)),"")</f>
        <v>Trừ 1 ngày nghỉ phép 27/4</v>
      </c>
      <c r="AC292" s="647"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4">
        <v>1603205447217</v>
      </c>
      <c r="F293" s="644"/>
      <c r="G293" s="644"/>
      <c r="H293" s="86" t="s">
        <v>2042</v>
      </c>
      <c r="I293" s="635">
        <v>6134525</v>
      </c>
      <c r="J293" s="383" t="str">
        <f>VLOOKUP(B293,TH.T3!B299:J557,9,FALSE)</f>
        <v>Nhân viên bảo vệ</v>
      </c>
      <c r="K293" s="484">
        <f t="shared" si="62"/>
        <v>4294167.5</v>
      </c>
      <c r="L293" s="636" t="str">
        <f>VLOOKUP(B293,'[11]Gui chi Quynh'!$B$11:$E$400,4,FALSE)</f>
        <v>A2</v>
      </c>
      <c r="M293" s="484">
        <f t="shared" si="66"/>
        <v>6011835</v>
      </c>
      <c r="N293" s="636">
        <v>22</v>
      </c>
      <c r="O293" s="637">
        <f>IFERROR(INDEX('[12]CN HĐ'!$J$10:$J$72,MATCH(B293,'[12]CN HĐ'!$H$10:$H$72,0)),"")</f>
        <v>25</v>
      </c>
      <c r="P293" s="638" t="e">
        <f>IF(M293&gt;#REF!,M293,#REF!)</f>
        <v>#REF!</v>
      </c>
      <c r="Q293" s="484">
        <f t="shared" si="63"/>
        <v>6011835</v>
      </c>
      <c r="R293" s="639"/>
      <c r="S293" s="484">
        <v>0</v>
      </c>
      <c r="T293" s="640"/>
      <c r="U293" s="484">
        <v>0</v>
      </c>
      <c r="V293" s="679">
        <f t="shared" si="64"/>
        <v>61345.25</v>
      </c>
      <c r="W293" s="641">
        <f t="shared" si="65"/>
        <v>6011835</v>
      </c>
      <c r="X293" s="1016">
        <f t="shared" si="57"/>
        <v>3.3399083333333333</v>
      </c>
      <c r="Y293" s="1015">
        <v>1800000</v>
      </c>
      <c r="Z293" s="1012">
        <f t="shared" si="58"/>
        <v>6011835</v>
      </c>
      <c r="AA293" s="642">
        <f t="shared" si="60"/>
        <v>273</v>
      </c>
      <c r="AB293" s="643">
        <f>IFERROR(INDEX('[12]CN HĐ'!$M$10:$M$73,MATCH(B293,'[12]CN HĐ'!$H$10:$H$73,0)),"")</f>
        <v>0</v>
      </c>
      <c r="AC293" s="647"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6" t="s">
        <v>2045</v>
      </c>
      <c r="F294" s="646"/>
      <c r="G294" s="646"/>
      <c r="H294" s="86" t="s">
        <v>2031</v>
      </c>
      <c r="I294" s="635">
        <v>7623227</v>
      </c>
      <c r="J294" s="383" t="str">
        <f>VLOOKUP(B294,TH.T3!B300:J558,9,FALSE)</f>
        <v xml:space="preserve">NV Bảo vệ </v>
      </c>
      <c r="K294" s="484">
        <f t="shared" si="62"/>
        <v>2286968.1</v>
      </c>
      <c r="L294" s="636" t="str">
        <f>VLOOKUP(B294,'[11]Gui chi Quynh'!$B$11:$E$400,4,FALSE)</f>
        <v>A3</v>
      </c>
      <c r="M294" s="484">
        <f t="shared" si="66"/>
        <v>2744362</v>
      </c>
      <c r="N294" s="636">
        <v>22</v>
      </c>
      <c r="O294" s="637">
        <f>IFERROR(INDEX('[12]CN HĐ'!$J$10:$J$72,MATCH(B294,'[12]CN HĐ'!$H$10:$H$72,0)),"")</f>
        <v>23</v>
      </c>
      <c r="P294" s="638" t="e">
        <f>IF(M294&gt;#REF!,M294,#REF!)</f>
        <v>#REF!</v>
      </c>
      <c r="Q294" s="484">
        <f t="shared" si="63"/>
        <v>2744362</v>
      </c>
      <c r="R294" s="639"/>
      <c r="S294" s="484">
        <v>0</v>
      </c>
      <c r="T294" s="640"/>
      <c r="U294" s="484">
        <v>0</v>
      </c>
      <c r="V294" s="679">
        <f t="shared" si="64"/>
        <v>76232.27</v>
      </c>
      <c r="W294" s="641">
        <f t="shared" si="65"/>
        <v>2744362</v>
      </c>
      <c r="X294" s="1016">
        <f t="shared" si="57"/>
        <v>1.5246455555555556</v>
      </c>
      <c r="Y294" s="1015">
        <v>1800000</v>
      </c>
      <c r="Z294" s="1012">
        <f t="shared" si="58"/>
        <v>2744362</v>
      </c>
      <c r="AA294" s="642">
        <f t="shared" si="60"/>
        <v>274</v>
      </c>
      <c r="AB294" s="643" t="str">
        <f>IFERROR(INDEX('[12]CN HĐ'!$M$10:$M$73,MATCH(B294,'[12]CN HĐ'!$H$10:$H$73,0)),"")</f>
        <v>Trừ 1 ngày nghỉ phép 3/4</v>
      </c>
      <c r="AC294" s="647"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4" t="s">
        <v>2048</v>
      </c>
      <c r="F295" s="634"/>
      <c r="G295" s="634"/>
      <c r="H295" s="86" t="s">
        <v>2031</v>
      </c>
      <c r="I295" s="635">
        <v>5972998</v>
      </c>
      <c r="J295" s="383" t="str">
        <f>VLOOKUP(B295,TH.T3!B301:J559,9,FALSE)</f>
        <v>NV Bảo vệ</v>
      </c>
      <c r="K295" s="484">
        <f t="shared" si="62"/>
        <v>1791899.4</v>
      </c>
      <c r="L295" s="636" t="str">
        <f>VLOOKUP(B295,'[11]Gui chi Quynh'!$B$11:$E$400,4,FALSE)</f>
        <v>A3</v>
      </c>
      <c r="M295" s="484">
        <f t="shared" si="66"/>
        <v>2150279</v>
      </c>
      <c r="N295" s="636">
        <v>22</v>
      </c>
      <c r="O295" s="637">
        <f>IFERROR(INDEX('[12]CN HĐ'!$J$10:$J$72,MATCH(B295,'[12]CN HĐ'!$H$10:$H$72,0)),"")</f>
        <v>23</v>
      </c>
      <c r="P295" s="638" t="e">
        <f>IF(M295&gt;#REF!,M295,#REF!)</f>
        <v>#REF!</v>
      </c>
      <c r="Q295" s="484">
        <f t="shared" si="63"/>
        <v>2150279</v>
      </c>
      <c r="R295" s="639"/>
      <c r="S295" s="484">
        <v>0</v>
      </c>
      <c r="T295" s="640"/>
      <c r="U295" s="484">
        <v>0</v>
      </c>
      <c r="V295" s="679">
        <f t="shared" si="64"/>
        <v>59729.98</v>
      </c>
      <c r="W295" s="641">
        <f t="shared" si="65"/>
        <v>2150279</v>
      </c>
      <c r="X295" s="1016">
        <f t="shared" si="57"/>
        <v>1.1945994444444445</v>
      </c>
      <c r="Y295" s="1015">
        <v>1800000</v>
      </c>
      <c r="Z295" s="1012">
        <f t="shared" si="58"/>
        <v>2150279</v>
      </c>
      <c r="AA295" s="642">
        <f t="shared" si="60"/>
        <v>275</v>
      </c>
      <c r="AB295" s="643" t="str">
        <f>IFERROR(INDEX('[12]CN HĐ'!$M$10:$M$73,MATCH(B295,'[12]CN HĐ'!$H$10:$H$73,0)),"")</f>
        <v>Trừ 1 ngày nghỉ phép 17/4</v>
      </c>
      <c r="AC295" s="647"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4" t="s">
        <v>2051</v>
      </c>
      <c r="F296" s="634"/>
      <c r="G296" s="634"/>
      <c r="H296" s="383" t="s">
        <v>2031</v>
      </c>
      <c r="I296" s="635">
        <v>5972998</v>
      </c>
      <c r="J296" s="383" t="str">
        <f>VLOOKUP(B296,TH.T3!B302:J560,9,FALSE)</f>
        <v>NV Bảo vệ</v>
      </c>
      <c r="K296" s="484">
        <f t="shared" si="62"/>
        <v>1791899.4</v>
      </c>
      <c r="L296" s="636" t="str">
        <f>VLOOKUP(B296,'[11]Gui chi Quynh'!$B$11:$E$400,4,FALSE)</f>
        <v>A2</v>
      </c>
      <c r="M296" s="484">
        <f t="shared" si="66"/>
        <v>2508659</v>
      </c>
      <c r="N296" s="636">
        <v>22</v>
      </c>
      <c r="O296" s="637">
        <f>IFERROR(INDEX('[12]CN HĐ'!$J$10:$J$72,MATCH(B296,'[12]CN HĐ'!$H$10:$H$72,0)),"")</f>
        <v>23</v>
      </c>
      <c r="P296" s="638" t="e">
        <f>IF(M296&gt;#REF!,M296,#REF!)</f>
        <v>#REF!</v>
      </c>
      <c r="Q296" s="484">
        <f t="shared" si="63"/>
        <v>2508659</v>
      </c>
      <c r="R296" s="639"/>
      <c r="S296" s="484">
        <v>0</v>
      </c>
      <c r="T296" s="640"/>
      <c r="U296" s="484">
        <v>0</v>
      </c>
      <c r="V296" s="679">
        <f t="shared" si="64"/>
        <v>59729.98</v>
      </c>
      <c r="W296" s="641">
        <f t="shared" si="65"/>
        <v>2508659</v>
      </c>
      <c r="X296" s="1016">
        <f t="shared" si="57"/>
        <v>1.3936994444444444</v>
      </c>
      <c r="Y296" s="1015">
        <v>1800000</v>
      </c>
      <c r="Z296" s="1012">
        <f t="shared" si="58"/>
        <v>2508659</v>
      </c>
      <c r="AA296" s="642">
        <f t="shared" si="60"/>
        <v>276</v>
      </c>
      <c r="AB296" s="643" t="str">
        <f>IFERROR(INDEX('[12]CN HĐ'!$M$10:$M$73,MATCH(B296,'[12]CN HĐ'!$H$10:$H$73,0)),"")</f>
        <v>Trừ 1 ngày nghỉ phép 29/4</v>
      </c>
      <c r="AC296" s="647" t="s">
        <v>2015</v>
      </c>
      <c r="AD296" s="505"/>
    </row>
    <row r="297" spans="1:52" s="387" customFormat="1" ht="29.25" customHeight="1">
      <c r="A297" s="394">
        <f>_xlfn.AGGREGATE(4,7,A$20:A296)+1</f>
        <v>277</v>
      </c>
      <c r="B297" s="378" t="s">
        <v>2052</v>
      </c>
      <c r="C297" s="390"/>
      <c r="D297" s="451"/>
      <c r="E297" s="634"/>
      <c r="F297" s="634"/>
      <c r="G297" s="634"/>
      <c r="H297" s="383" t="s">
        <v>2042</v>
      </c>
      <c r="I297" s="635">
        <v>5733201</v>
      </c>
      <c r="J297" s="383" t="str">
        <f>VLOOKUP(B297,TH.T3!B303:J561,9,FALSE)</f>
        <v>NV Bảo vệ</v>
      </c>
      <c r="K297" s="484">
        <f t="shared" si="62"/>
        <v>4013240.6999999997</v>
      </c>
      <c r="L297" s="636" t="str">
        <f>VLOOKUP(B297,'[11]Gui chi Quynh'!$B$11:$E$400,4,FALSE)</f>
        <v>A4</v>
      </c>
      <c r="M297" s="484">
        <f t="shared" si="66"/>
        <v>4013241</v>
      </c>
      <c r="N297" s="636">
        <v>22</v>
      </c>
      <c r="O297" s="637">
        <f>IFERROR(INDEX('[12]CN HĐ'!$J$10:$J$72,MATCH(B297,'[12]CN HĐ'!$H$10:$H$72,0)),"")</f>
        <v>25</v>
      </c>
      <c r="P297" s="638" t="e">
        <f>IF(M297&gt;#REF!,M297,#REF!)</f>
        <v>#REF!</v>
      </c>
      <c r="Q297" s="484">
        <f t="shared" si="63"/>
        <v>4013241</v>
      </c>
      <c r="R297" s="639"/>
      <c r="S297" s="484">
        <v>0</v>
      </c>
      <c r="T297" s="640"/>
      <c r="U297" s="484">
        <v>0</v>
      </c>
      <c r="V297" s="484">
        <f t="shared" si="64"/>
        <v>57332.01</v>
      </c>
      <c r="W297" s="641">
        <f t="shared" si="65"/>
        <v>4013241</v>
      </c>
      <c r="X297" s="1016">
        <f t="shared" si="57"/>
        <v>2.2295783333333334</v>
      </c>
      <c r="Y297" s="1015">
        <v>1800000</v>
      </c>
      <c r="Z297" s="1012">
        <f t="shared" si="58"/>
        <v>4013241</v>
      </c>
      <c r="AA297" s="642">
        <f t="shared" si="60"/>
        <v>277</v>
      </c>
      <c r="AB297" s="643">
        <f>IFERROR(INDEX('[12]CN HĐ'!$M$10:$M$73,MATCH(B297,'[12]CN HĐ'!$H$10:$H$73,0)),"")</f>
        <v>0</v>
      </c>
      <c r="AC297" s="647" t="s">
        <v>2015</v>
      </c>
      <c r="AD297" s="619"/>
    </row>
    <row r="298" spans="1:52" s="387" customFormat="1" ht="32.25" customHeight="1">
      <c r="A298" s="33">
        <f>_xlfn.AGGREGATE(4,7,A$20:A297)+1</f>
        <v>278</v>
      </c>
      <c r="B298" s="378" t="s">
        <v>2053</v>
      </c>
      <c r="C298" s="390"/>
      <c r="D298" s="451"/>
      <c r="E298" s="634"/>
      <c r="F298" s="634"/>
      <c r="G298" s="634"/>
      <c r="H298" s="383" t="s">
        <v>2031</v>
      </c>
      <c r="I298" s="635">
        <v>4680000</v>
      </c>
      <c r="J298" s="383" t="str">
        <f>VLOOKUP(B298,TH.T3!B304:J562,9,FALSE)</f>
        <v>NV Bảo vệ</v>
      </c>
      <c r="K298" s="484">
        <f t="shared" si="62"/>
        <v>1404000</v>
      </c>
      <c r="L298" s="636" t="str">
        <f>VLOOKUP(B298,'[11]Gui chi Quynh'!$B$11:$E$400,4,FALSE)</f>
        <v>A3</v>
      </c>
      <c r="M298" s="484">
        <f t="shared" si="66"/>
        <v>1684800</v>
      </c>
      <c r="N298" s="636">
        <v>22</v>
      </c>
      <c r="O298" s="637">
        <f>IFERROR(INDEX('[12]CN HĐ'!$J$10:$J$72,MATCH(B298,'[12]CN HĐ'!$H$10:$H$72,0)),"")</f>
        <v>24</v>
      </c>
      <c r="P298" s="638"/>
      <c r="Q298" s="484">
        <f t="shared" si="63"/>
        <v>1684800</v>
      </c>
      <c r="R298" s="639"/>
      <c r="S298" s="484">
        <v>0</v>
      </c>
      <c r="T298" s="640"/>
      <c r="U298" s="484">
        <v>0</v>
      </c>
      <c r="V298" s="679">
        <f t="shared" si="64"/>
        <v>46800</v>
      </c>
      <c r="W298" s="641">
        <f t="shared" si="65"/>
        <v>1684800</v>
      </c>
      <c r="X298" s="1016">
        <f t="shared" si="57"/>
        <v>0.93600000000000005</v>
      </c>
      <c r="Y298" s="1015">
        <v>1800000</v>
      </c>
      <c r="Z298" s="1012">
        <f t="shared" si="58"/>
        <v>1684800</v>
      </c>
      <c r="AA298" s="642">
        <f t="shared" si="60"/>
        <v>278</v>
      </c>
      <c r="AB298" s="643" t="str">
        <f>IFERROR(INDEX('[12]CN HĐ'!$M$10:$M$73,MATCH(B298,'[12]CN HĐ'!$H$10:$H$73,0)),"")</f>
        <v>Trừ 1 ngày nghỉ bù 29/4</v>
      </c>
      <c r="AC298" s="647"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4">
        <v>1603205639357</v>
      </c>
      <c r="F299" s="644"/>
      <c r="G299" s="644"/>
      <c r="H299" s="383" t="s">
        <v>2038</v>
      </c>
      <c r="I299" s="635">
        <v>5257980</v>
      </c>
      <c r="J299" s="383" t="str">
        <f>VLOOKUP(B299,TH.T3!B305:J563,9,FALSE)</f>
        <v>NV Lái xe</v>
      </c>
      <c r="K299" s="484">
        <f t="shared" si="62"/>
        <v>3680585.9999999995</v>
      </c>
      <c r="L299" s="636" t="str">
        <f>VLOOKUP(B299,'[11]Gui chi Quynh'!$B$11:$E$400,4,FALSE)</f>
        <v>A2</v>
      </c>
      <c r="M299" s="484">
        <f t="shared" si="66"/>
        <v>5152820</v>
      </c>
      <c r="N299" s="636">
        <v>22</v>
      </c>
      <c r="O299" s="637">
        <f>IFERROR(INDEX('[12]CN HĐ'!$J$10:$J$72,MATCH(B299,'[12]CN HĐ'!$H$10:$H$72,0)),"")</f>
        <v>24</v>
      </c>
      <c r="P299" s="638" t="e">
        <f>IF(M299&gt;#REF!,M299,#REF!)</f>
        <v>#REF!</v>
      </c>
      <c r="Q299" s="484">
        <f t="shared" si="63"/>
        <v>5152820</v>
      </c>
      <c r="R299" s="639"/>
      <c r="S299" s="484">
        <v>0</v>
      </c>
      <c r="T299" s="640"/>
      <c r="U299" s="484">
        <v>0</v>
      </c>
      <c r="V299" s="679">
        <f t="shared" si="64"/>
        <v>52579.8</v>
      </c>
      <c r="W299" s="641">
        <f t="shared" si="65"/>
        <v>5152820</v>
      </c>
      <c r="X299" s="1016">
        <f t="shared" si="57"/>
        <v>2.8626777777777779</v>
      </c>
      <c r="Y299" s="1015">
        <v>1800000</v>
      </c>
      <c r="Z299" s="1012">
        <f t="shared" si="58"/>
        <v>5152820</v>
      </c>
      <c r="AA299" s="642">
        <f t="shared" si="60"/>
        <v>279</v>
      </c>
      <c r="AB299" s="643">
        <f>IFERROR(INDEX('[12]CN HĐ'!$M$10:$M$73,MATCH(B299,'[12]CN HĐ'!$H$10:$H$73,0)),"")</f>
        <v>0</v>
      </c>
      <c r="AC299" s="647"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6">
        <v>1603205641829</v>
      </c>
      <c r="F300" s="646"/>
      <c r="G300" s="646"/>
      <c r="H300" s="383" t="s">
        <v>2031</v>
      </c>
      <c r="I300" s="635">
        <v>5159700</v>
      </c>
      <c r="J300" s="383" t="str">
        <f>VLOOKUP(B300,TH.T3!B306:J564,9,FALSE)</f>
        <v>NV Phuc vụ Phòng TC - HC - TH</v>
      </c>
      <c r="K300" s="484">
        <f t="shared" si="62"/>
        <v>1547910</v>
      </c>
      <c r="L300" s="636" t="str">
        <f>VLOOKUP(B300,'[11]Gui chi Quynh'!$B$11:$E$400,4,FALSE)</f>
        <v>A2</v>
      </c>
      <c r="M300" s="484">
        <f t="shared" si="66"/>
        <v>2167074</v>
      </c>
      <c r="N300" s="636">
        <v>22</v>
      </c>
      <c r="O300" s="637">
        <f>IFERROR(INDEX('[12]CN HĐ'!$J$10:$J$72,MATCH(B300,'[12]CN HĐ'!$H$10:$H$72,0)),"")</f>
        <v>22</v>
      </c>
      <c r="P300" s="638" t="e">
        <f>IF(M300&gt;#REF!,M300,#REF!)</f>
        <v>#REF!</v>
      </c>
      <c r="Q300" s="484">
        <f t="shared" si="63"/>
        <v>2167074</v>
      </c>
      <c r="R300" s="639"/>
      <c r="S300" s="484">
        <v>0</v>
      </c>
      <c r="T300" s="640"/>
      <c r="U300" s="484">
        <v>0</v>
      </c>
      <c r="V300" s="679">
        <f t="shared" si="64"/>
        <v>51597</v>
      </c>
      <c r="W300" s="641">
        <f t="shared" si="65"/>
        <v>2167074</v>
      </c>
      <c r="X300" s="1016">
        <f t="shared" si="57"/>
        <v>1.2039299999999999</v>
      </c>
      <c r="Y300" s="1015">
        <v>1800000</v>
      </c>
      <c r="Z300" s="1012">
        <f t="shared" si="58"/>
        <v>2167074</v>
      </c>
      <c r="AA300" s="642">
        <f t="shared" si="60"/>
        <v>280</v>
      </c>
      <c r="AB300" s="643">
        <f>IFERROR(INDEX('[12]CN HĐ'!$M$10:$M$73,MATCH(B300,'[12]CN HĐ'!$H$10:$H$73,0)),"")</f>
        <v>0</v>
      </c>
      <c r="AC300" s="647"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6"/>
      <c r="F301" s="646"/>
      <c r="G301" s="646"/>
      <c r="H301" s="383" t="s">
        <v>2042</v>
      </c>
      <c r="I301" s="635">
        <v>5733201</v>
      </c>
      <c r="J301" s="383" t="str">
        <f>VLOOKUP(B301,TH.T3!B307:J565,9,FALSE)</f>
        <v>Nhân viên phòng Thanh tra GD - Công tác SV</v>
      </c>
      <c r="K301" s="484">
        <f t="shared" si="62"/>
        <v>4013240.6999999997</v>
      </c>
      <c r="L301" s="636" t="str">
        <f>VLOOKUP(B301,'[11]Gui chi Quynh'!$B$11:$E$400,4,FALSE)</f>
        <v>A3</v>
      </c>
      <c r="M301" s="484">
        <f t="shared" si="66"/>
        <v>4815889</v>
      </c>
      <c r="N301" s="636">
        <v>22</v>
      </c>
      <c r="O301" s="637">
        <f>IFERROR(INDEX('[12]CN HĐ'!$J$10:$J$72,MATCH(B301,'[12]CN HĐ'!$H$10:$H$72,0)),"")</f>
        <v>23</v>
      </c>
      <c r="P301" s="638"/>
      <c r="Q301" s="484">
        <f t="shared" si="63"/>
        <v>4815889</v>
      </c>
      <c r="R301" s="639"/>
      <c r="S301" s="484">
        <v>0</v>
      </c>
      <c r="T301" s="640"/>
      <c r="U301" s="484">
        <v>0</v>
      </c>
      <c r="V301" s="484">
        <f t="shared" si="64"/>
        <v>57332.01</v>
      </c>
      <c r="W301" s="641">
        <f t="shared" si="65"/>
        <v>4815889</v>
      </c>
      <c r="X301" s="1016">
        <f t="shared" si="57"/>
        <v>2.6754938888888891</v>
      </c>
      <c r="Y301" s="1015">
        <v>1800000</v>
      </c>
      <c r="Z301" s="1012">
        <f t="shared" si="58"/>
        <v>4815889</v>
      </c>
      <c r="AA301" s="642">
        <f t="shared" si="60"/>
        <v>281</v>
      </c>
      <c r="AB301" s="643">
        <f>IFERROR(INDEX('[12]CN HĐ'!$M$10:$M$73,MATCH(B301,'[12]CN HĐ'!$H$10:$H$73,0)),"")</f>
        <v>0</v>
      </c>
      <c r="AC301" s="648" t="s">
        <v>2225</v>
      </c>
      <c r="AD301" s="505"/>
    </row>
    <row r="302" spans="1:52" s="387" customFormat="1" ht="30.75" customHeight="1">
      <c r="A302" s="33">
        <f>_xlfn.AGGREGATE(4,7,A$20:A301)+1</f>
        <v>282</v>
      </c>
      <c r="B302" s="378" t="s">
        <v>2057</v>
      </c>
      <c r="C302" s="390"/>
      <c r="D302" s="451" t="s">
        <v>2058</v>
      </c>
      <c r="E302" s="646" t="s">
        <v>1256</v>
      </c>
      <c r="F302" s="646"/>
      <c r="G302" s="646"/>
      <c r="H302" s="383" t="s">
        <v>2038</v>
      </c>
      <c r="I302" s="635">
        <v>8992930</v>
      </c>
      <c r="J302" s="383" t="str">
        <f>VLOOKUP(B302,TH.T3!B308:J566,9,FALSE)</f>
        <v>NV Phòng Tổ chức - Hành chính - Tổng hợp</v>
      </c>
      <c r="K302" s="484">
        <f t="shared" si="62"/>
        <v>6295051</v>
      </c>
      <c r="L302" s="636" t="str">
        <f>VLOOKUP(B302,'[11]Gui chi Quynh'!$B$11:$E$400,4,FALSE)</f>
        <v>A4</v>
      </c>
      <c r="M302" s="484">
        <f t="shared" si="66"/>
        <v>6295051</v>
      </c>
      <c r="N302" s="636">
        <v>22</v>
      </c>
      <c r="O302" s="637">
        <f>IFERROR(INDEX('[12]CN HĐ'!$J$10:$J$72,MATCH(B302,'[12]CN HĐ'!$H$10:$H$72,0)),"")</f>
        <v>24</v>
      </c>
      <c r="P302" s="638"/>
      <c r="Q302" s="484">
        <f t="shared" si="63"/>
        <v>6295051</v>
      </c>
      <c r="R302" s="639"/>
      <c r="S302" s="484">
        <v>0</v>
      </c>
      <c r="T302" s="640"/>
      <c r="U302" s="484">
        <v>0</v>
      </c>
      <c r="V302" s="679">
        <f t="shared" si="64"/>
        <v>89929.3</v>
      </c>
      <c r="W302" s="641">
        <f t="shared" si="65"/>
        <v>6295051</v>
      </c>
      <c r="X302" s="1016">
        <f t="shared" si="57"/>
        <v>3.4972505555555555</v>
      </c>
      <c r="Y302" s="1015">
        <v>1800000</v>
      </c>
      <c r="Z302" s="1012">
        <f t="shared" si="58"/>
        <v>6295051</v>
      </c>
      <c r="AA302" s="642">
        <f t="shared" si="60"/>
        <v>282</v>
      </c>
      <c r="AB302" s="643">
        <f>IFERROR(INDEX('[12]CN HĐ'!$M$10:$M$73,MATCH(B302,'[12]CN HĐ'!$H$10:$H$73,0)),"")</f>
        <v>0</v>
      </c>
      <c r="AC302" s="649"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6"/>
      <c r="F303" s="646"/>
      <c r="G303" s="646"/>
      <c r="H303" s="383" t="s">
        <v>2031</v>
      </c>
      <c r="I303" s="635">
        <v>4680000</v>
      </c>
      <c r="J303" s="383" t="str">
        <f>VLOOKUP(B303,TH.T3!B309:J567,9,FALSE)</f>
        <v>Nhân viên bảo vệ</v>
      </c>
      <c r="K303" s="484">
        <f t="shared" si="62"/>
        <v>1404000</v>
      </c>
      <c r="L303" s="636" t="str">
        <f>VLOOKUP(B303,'[11]Gui chi Quynh'!$B$11:$E$400,4,FALSE)</f>
        <v>A3</v>
      </c>
      <c r="M303" s="484">
        <f t="shared" si="66"/>
        <v>1684800</v>
      </c>
      <c r="N303" s="636">
        <v>22</v>
      </c>
      <c r="O303" s="637">
        <f>IFERROR(INDEX('[12]CN HĐ'!$J$10:$J$72,MATCH(B303,'[12]CN HĐ'!$H$10:$H$72,0)),"")</f>
        <v>22</v>
      </c>
      <c r="P303" s="638"/>
      <c r="Q303" s="484">
        <f t="shared" si="63"/>
        <v>1684800</v>
      </c>
      <c r="R303" s="639"/>
      <c r="S303" s="484">
        <v>0</v>
      </c>
      <c r="T303" s="640"/>
      <c r="U303" s="484">
        <v>0</v>
      </c>
      <c r="V303" s="679">
        <f t="shared" si="64"/>
        <v>46800</v>
      </c>
      <c r="W303" s="641">
        <f t="shared" si="65"/>
        <v>1684800</v>
      </c>
      <c r="X303" s="1016">
        <f t="shared" si="57"/>
        <v>0.93600000000000005</v>
      </c>
      <c r="Y303" s="1015">
        <v>1800000</v>
      </c>
      <c r="Z303" s="1012">
        <f t="shared" si="58"/>
        <v>1684800</v>
      </c>
      <c r="AA303" s="642">
        <f t="shared" si="60"/>
        <v>283</v>
      </c>
      <c r="AB303" s="643" t="str">
        <f>IFERROR(INDEX('[12]CN HĐ'!$M$10:$M$73,MATCH(B303,'[12]CN HĐ'!$H$10:$H$73,0)),"")</f>
        <v>Trừ 2 ngày nghỉ phép 4+16/4</v>
      </c>
      <c r="AC303" s="650" t="s">
        <v>2015</v>
      </c>
      <c r="AD303" s="505"/>
    </row>
    <row r="304" spans="1:52" s="387" customFormat="1" ht="30" customHeight="1">
      <c r="A304" s="33">
        <f>_xlfn.AGGREGATE(4,7,A$20:A303)+1</f>
        <v>284</v>
      </c>
      <c r="B304" s="378" t="s">
        <v>2060</v>
      </c>
      <c r="C304" s="390"/>
      <c r="D304" s="451" t="s">
        <v>2061</v>
      </c>
      <c r="E304" s="646" t="s">
        <v>1275</v>
      </c>
      <c r="F304" s="646"/>
      <c r="G304" s="646"/>
      <c r="H304" s="86" t="s">
        <v>2042</v>
      </c>
      <c r="I304" s="635">
        <v>8041111</v>
      </c>
      <c r="J304" s="383" t="str">
        <f>VLOOKUP(B304,TH.T3!B310:J568,9,FALSE)</f>
        <v>NV Phòng Tổ chức - Hành chính - Tổng hợp</v>
      </c>
      <c r="K304" s="484">
        <f t="shared" si="62"/>
        <v>5628777.6999999993</v>
      </c>
      <c r="L304" s="636" t="str">
        <f>VLOOKUP(B304,'[11]Gui chi Quynh'!$B$11:$E$400,4,FALSE)</f>
        <v>A3</v>
      </c>
      <c r="M304" s="484">
        <f t="shared" si="66"/>
        <v>6754533</v>
      </c>
      <c r="N304" s="636">
        <v>22</v>
      </c>
      <c r="O304" s="637">
        <f>IFERROR(INDEX('[12]CN HĐ'!$J$10:$J$72,MATCH(B304,'[12]CN HĐ'!$H$10:$H$72,0)),"")</f>
        <v>22</v>
      </c>
      <c r="P304" s="638"/>
      <c r="Q304" s="484">
        <f t="shared" si="63"/>
        <v>6754533</v>
      </c>
      <c r="R304" s="639"/>
      <c r="S304" s="484">
        <v>0</v>
      </c>
      <c r="T304" s="640"/>
      <c r="U304" s="484">
        <v>0</v>
      </c>
      <c r="V304" s="679">
        <f t="shared" si="64"/>
        <v>80411.11</v>
      </c>
      <c r="W304" s="641">
        <f t="shared" si="65"/>
        <v>6754533</v>
      </c>
      <c r="X304" s="1016">
        <f t="shared" si="57"/>
        <v>3.7525183333333332</v>
      </c>
      <c r="Y304" s="1015">
        <v>1800000</v>
      </c>
      <c r="Z304" s="1012">
        <f t="shared" si="58"/>
        <v>6754533</v>
      </c>
      <c r="AA304" s="642">
        <f t="shared" si="60"/>
        <v>284</v>
      </c>
      <c r="AB304" s="643">
        <f>IFERROR(INDEX('[12]CN HĐ'!$M$10:$M$73,MATCH(B304,'[12]CN HĐ'!$H$10:$H$73,0)),"")</f>
        <v>0</v>
      </c>
      <c r="AC304" s="649"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6" t="s">
        <v>2064</v>
      </c>
      <c r="F305" s="646"/>
      <c r="G305" s="646"/>
      <c r="H305" s="383" t="s">
        <v>2042</v>
      </c>
      <c r="I305" s="635">
        <v>7023418</v>
      </c>
      <c r="J305" s="383" t="str">
        <f>VLOOKUP(B305,TH.T3!B311:J569,9,FALSE)</f>
        <v>NV P. QT 
Dịch vụ</v>
      </c>
      <c r="K305" s="484">
        <f t="shared" si="62"/>
        <v>4916392.5999999996</v>
      </c>
      <c r="L305" s="636" t="str">
        <f>VLOOKUP(B305,'[11]Gui chi Quynh'!$B$11:$E$400,4,FALSE)</f>
        <v>A1</v>
      </c>
      <c r="M305" s="484">
        <f t="shared" si="66"/>
        <v>7866228</v>
      </c>
      <c r="N305" s="636">
        <v>22</v>
      </c>
      <c r="O305" s="637">
        <f>IFERROR(INDEX('[12]CN HĐ'!$J$10:$J$72,MATCH(B305,'[12]CN HĐ'!$H$10:$H$72,0)),"")</f>
        <v>22</v>
      </c>
      <c r="P305" s="638" t="e">
        <f>IF(M305&gt;#REF!,M305,#REF!)</f>
        <v>#REF!</v>
      </c>
      <c r="Q305" s="484">
        <f t="shared" si="63"/>
        <v>7866228</v>
      </c>
      <c r="R305" s="639"/>
      <c r="S305" s="484">
        <v>0</v>
      </c>
      <c r="T305" s="640"/>
      <c r="U305" s="484">
        <v>0</v>
      </c>
      <c r="V305" s="679">
        <f t="shared" si="64"/>
        <v>70234.180000000008</v>
      </c>
      <c r="W305" s="641">
        <f t="shared" si="65"/>
        <v>7866228</v>
      </c>
      <c r="X305" s="1016">
        <f t="shared" si="57"/>
        <v>4.3701266666666667</v>
      </c>
      <c r="Y305" s="1015">
        <v>1800000</v>
      </c>
      <c r="Z305" s="1012">
        <f t="shared" si="58"/>
        <v>7866228</v>
      </c>
      <c r="AA305" s="642">
        <f t="shared" si="60"/>
        <v>285</v>
      </c>
      <c r="AB305" s="643">
        <f>IFERROR(INDEX('[12]CN HĐ'!$M$10:$M$73,MATCH(B305,'[12]CN HĐ'!$H$10:$H$73,0)),"")</f>
        <v>0</v>
      </c>
      <c r="AC305" s="649"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6">
        <v>1603205186060</v>
      </c>
      <c r="F306" s="646"/>
      <c r="G306" s="646"/>
      <c r="H306" s="383" t="s">
        <v>2038</v>
      </c>
      <c r="I306" s="635">
        <v>6391108</v>
      </c>
      <c r="J306" s="383" t="str">
        <f>VLOOKUP(B306,TH.T3!B312:J570,9,FALSE)</f>
        <v>NV Phòng Quản trị - Dịch vụ</v>
      </c>
      <c r="K306" s="484">
        <f t="shared" si="62"/>
        <v>4473775.5999999996</v>
      </c>
      <c r="L306" s="636" t="str">
        <f>VLOOKUP(B306,'[11]Gui chi Quynh'!$B$11:$E$400,4,FALSE)</f>
        <v>A3</v>
      </c>
      <c r="M306" s="484">
        <f t="shared" si="66"/>
        <v>5368531</v>
      </c>
      <c r="N306" s="636">
        <v>22</v>
      </c>
      <c r="O306" s="637">
        <f>IFERROR(INDEX('[12]CN HĐ'!$J$10:$J$72,MATCH(B306,'[12]CN HĐ'!$H$10:$H$72,0)),"")</f>
        <v>22</v>
      </c>
      <c r="P306" s="638" t="e">
        <f>IF(M306&gt;#REF!,M306,#REF!)</f>
        <v>#REF!</v>
      </c>
      <c r="Q306" s="484">
        <f t="shared" si="63"/>
        <v>5368531</v>
      </c>
      <c r="R306" s="639"/>
      <c r="S306" s="484">
        <v>0</v>
      </c>
      <c r="T306" s="640"/>
      <c r="U306" s="484">
        <v>0</v>
      </c>
      <c r="V306" s="679">
        <f t="shared" si="64"/>
        <v>63911.08</v>
      </c>
      <c r="W306" s="641">
        <f t="shared" si="65"/>
        <v>5368531</v>
      </c>
      <c r="X306" s="1016">
        <f t="shared" si="57"/>
        <v>2.982517222222222</v>
      </c>
      <c r="Y306" s="1015">
        <v>1800000</v>
      </c>
      <c r="Z306" s="1012">
        <f t="shared" si="58"/>
        <v>5368531</v>
      </c>
      <c r="AA306" s="642">
        <f t="shared" si="60"/>
        <v>286</v>
      </c>
      <c r="AB306" s="643">
        <f>IFERROR(INDEX('[12]CN HĐ'!$M$10:$M$73,MATCH(B306,'[12]CN HĐ'!$H$10:$H$73,0)),"")</f>
        <v>0</v>
      </c>
      <c r="AC306" s="649"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6">
        <v>1603205327532</v>
      </c>
      <c r="F307" s="646"/>
      <c r="G307" s="646"/>
      <c r="H307" s="383" t="s">
        <v>2042</v>
      </c>
      <c r="I307" s="635">
        <v>8041111</v>
      </c>
      <c r="J307" s="383" t="str">
        <f>VLOOKUP(B307,TH.T3!B313:J571,9,FALSE)</f>
        <v>NV bảo trì</v>
      </c>
      <c r="K307" s="484">
        <f t="shared" si="62"/>
        <v>5628777.6999999993</v>
      </c>
      <c r="L307" s="636" t="str">
        <f>VLOOKUP(B307,'[11]Gui chi Quynh'!$B$11:$E$400,4,FALSE)</f>
        <v>A2</v>
      </c>
      <c r="M307" s="484">
        <f t="shared" si="66"/>
        <v>7880289</v>
      </c>
      <c r="N307" s="636">
        <v>22</v>
      </c>
      <c r="O307" s="637">
        <f>IFERROR(INDEX('[12]CN HĐ'!$J$10:$J$72,MATCH(B307,'[12]CN HĐ'!$H$10:$H$72,0)),"")</f>
        <v>22</v>
      </c>
      <c r="P307" s="638" t="e">
        <f>IF(M307&gt;#REF!,M307,#REF!)</f>
        <v>#REF!</v>
      </c>
      <c r="Q307" s="484">
        <f t="shared" si="63"/>
        <v>7880289</v>
      </c>
      <c r="R307" s="639"/>
      <c r="S307" s="484">
        <v>0</v>
      </c>
      <c r="T307" s="640"/>
      <c r="U307" s="484">
        <v>0</v>
      </c>
      <c r="V307" s="679">
        <f t="shared" si="64"/>
        <v>80411.11</v>
      </c>
      <c r="W307" s="641">
        <f t="shared" si="65"/>
        <v>7880289</v>
      </c>
      <c r="X307" s="1016">
        <f t="shared" si="57"/>
        <v>4.3779383333333337</v>
      </c>
      <c r="Y307" s="1015">
        <v>1800000</v>
      </c>
      <c r="Z307" s="1012">
        <f t="shared" si="58"/>
        <v>7880289.0000000009</v>
      </c>
      <c r="AA307" s="642">
        <f t="shared" si="60"/>
        <v>287</v>
      </c>
      <c r="AB307" s="643">
        <f>IFERROR(INDEX('[12]CN HĐ'!$M$10:$M$73,MATCH(B307,'[12]CN HĐ'!$H$10:$H$73,0)),"")</f>
        <v>0</v>
      </c>
      <c r="AC307" s="1028"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4" t="s">
        <v>2072</v>
      </c>
      <c r="F308" s="634"/>
      <c r="G308" s="634"/>
      <c r="H308" s="383" t="s">
        <v>2038</v>
      </c>
      <c r="I308" s="635">
        <v>5520879</v>
      </c>
      <c r="J308" s="383" t="str">
        <f>VLOOKUP(B308,TH.T3!B314:J572,9,FALSE)</f>
        <v>NV P. QT 
Dịch vụ</v>
      </c>
      <c r="K308" s="484">
        <f t="shared" si="62"/>
        <v>3864615.3</v>
      </c>
      <c r="L308" s="636" t="str">
        <f>VLOOKUP(B308,'[11]Gui chi Quynh'!$B$11:$E$400,4,FALSE)</f>
        <v>A1</v>
      </c>
      <c r="M308" s="484">
        <f t="shared" si="66"/>
        <v>6183384</v>
      </c>
      <c r="N308" s="636">
        <v>22</v>
      </c>
      <c r="O308" s="637">
        <f>IFERROR(INDEX('[12]CN HĐ'!$J$10:$J$72,MATCH(B308,'[12]CN HĐ'!$H$10:$H$72,0)),"")</f>
        <v>22</v>
      </c>
      <c r="P308" s="638" t="e">
        <f>IF(M308&gt;#REF!,M308,#REF!)</f>
        <v>#REF!</v>
      </c>
      <c r="Q308" s="484">
        <f t="shared" si="63"/>
        <v>6183384</v>
      </c>
      <c r="R308" s="639"/>
      <c r="S308" s="484">
        <v>0</v>
      </c>
      <c r="T308" s="640"/>
      <c r="U308" s="484">
        <v>0</v>
      </c>
      <c r="V308" s="679">
        <f t="shared" si="64"/>
        <v>55208.79</v>
      </c>
      <c r="W308" s="641">
        <f t="shared" si="65"/>
        <v>6183384</v>
      </c>
      <c r="X308" s="1016">
        <f t="shared" si="57"/>
        <v>3.4352133333333335</v>
      </c>
      <c r="Y308" s="1015">
        <v>1800000</v>
      </c>
      <c r="Z308" s="1012">
        <f t="shared" si="58"/>
        <v>6183384</v>
      </c>
      <c r="AA308" s="642">
        <f t="shared" si="60"/>
        <v>288</v>
      </c>
      <c r="AB308" s="643">
        <f>IFERROR(INDEX('[12]CN HĐ'!$M$10:$M$73,MATCH(B308,'[12]CN HĐ'!$H$10:$H$73,0)),"")</f>
        <v>0</v>
      </c>
      <c r="AC308" s="1031"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1" t="s">
        <v>1266</v>
      </c>
      <c r="F309" s="651"/>
      <c r="G309" s="651"/>
      <c r="H309" s="383" t="s">
        <v>2038</v>
      </c>
      <c r="I309" s="635">
        <v>6086769</v>
      </c>
      <c r="J309" s="383" t="str">
        <f>VLOOKUP(B309,TH.T3!B315:J573,9,FALSE)</f>
        <v>NV P. QT 
Dịch vụ</v>
      </c>
      <c r="K309" s="484">
        <f t="shared" si="62"/>
        <v>4260738.3</v>
      </c>
      <c r="L309" s="636" t="str">
        <f>VLOOKUP(B309,'[11]Gui chi Quynh'!$B$11:$E$400,4,FALSE)</f>
        <v>A3</v>
      </c>
      <c r="M309" s="484">
        <f t="shared" si="66"/>
        <v>5112886</v>
      </c>
      <c r="N309" s="636">
        <v>22</v>
      </c>
      <c r="O309" s="637">
        <f>IFERROR(INDEX('[12]CN HĐ'!$J$10:$J$72,MATCH(B309,'[12]CN HĐ'!$H$10:$H$72,0)),"")</f>
        <v>20</v>
      </c>
      <c r="P309" s="638" t="e">
        <f>IF(M309&gt;#REF!,M309,#REF!)</f>
        <v>#REF!</v>
      </c>
      <c r="Q309" s="484">
        <f t="shared" si="63"/>
        <v>4648078</v>
      </c>
      <c r="R309" s="639"/>
      <c r="S309" s="484">
        <v>0</v>
      </c>
      <c r="T309" s="652"/>
      <c r="U309" s="484">
        <v>0</v>
      </c>
      <c r="V309" s="679">
        <f t="shared" si="64"/>
        <v>60867.69</v>
      </c>
      <c r="W309" s="641">
        <f t="shared" si="65"/>
        <v>4648078</v>
      </c>
      <c r="X309" s="1016">
        <f t="shared" si="57"/>
        <v>2.5822655555555554</v>
      </c>
      <c r="Y309" s="1015">
        <v>1800000</v>
      </c>
      <c r="Z309" s="1012">
        <f t="shared" si="58"/>
        <v>4648078</v>
      </c>
      <c r="AA309" s="642">
        <f t="shared" si="60"/>
        <v>289</v>
      </c>
      <c r="AB309" s="643" t="str">
        <f>IFERROR(INDEX('[12]CN HĐ'!$M$10:$M$73,MATCH(B309,'[12]CN HĐ'!$H$10:$H$73,0)),"")</f>
        <v>Trừ 2 ngày nghỉ phép 23+24/4</v>
      </c>
      <c r="AC309" s="1031"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6">
        <v>1603205185856</v>
      </c>
      <c r="F310" s="646"/>
      <c r="G310" s="646"/>
      <c r="H310" s="383" t="s">
        <v>2031</v>
      </c>
      <c r="I310" s="635">
        <v>8004388</v>
      </c>
      <c r="J310" s="383" t="str">
        <f>VLOOKUP(B310,TH.T3!B316:J574,9,FALSE)</f>
        <v>NV Phục vụ</v>
      </c>
      <c r="K310" s="484">
        <f t="shared" si="62"/>
        <v>2401316.4</v>
      </c>
      <c r="L310" s="636" t="str">
        <f>VLOOKUP(B310,'[11]Gui chi Quynh'!$B$11:$E$400,4,FALSE)</f>
        <v>A1</v>
      </c>
      <c r="M310" s="484">
        <f t="shared" si="66"/>
        <v>3842106</v>
      </c>
      <c r="N310" s="636">
        <v>22</v>
      </c>
      <c r="O310" s="637">
        <f>IFERROR(INDEX('[12]CN HĐ'!$J$10:$J$72,MATCH(B310,'[12]CN HĐ'!$H$10:$H$72,0)),"")</f>
        <v>22</v>
      </c>
      <c r="P310" s="638" t="e">
        <f>IF(M310&gt;#REF!,M310,#REF!)</f>
        <v>#REF!</v>
      </c>
      <c r="Q310" s="484">
        <f t="shared" si="63"/>
        <v>3842106</v>
      </c>
      <c r="R310" s="639"/>
      <c r="S310" s="484">
        <v>0</v>
      </c>
      <c r="T310" s="640"/>
      <c r="U310" s="484">
        <v>0</v>
      </c>
      <c r="V310" s="679">
        <f t="shared" si="64"/>
        <v>80043.88</v>
      </c>
      <c r="W310" s="641">
        <f t="shared" si="65"/>
        <v>3842106</v>
      </c>
      <c r="X310" s="1016">
        <f t="shared" si="57"/>
        <v>2.1345033333333334</v>
      </c>
      <c r="Y310" s="1015">
        <v>1800000</v>
      </c>
      <c r="Z310" s="1012">
        <f t="shared" si="58"/>
        <v>3842106</v>
      </c>
      <c r="AA310" s="642">
        <f t="shared" si="60"/>
        <v>290</v>
      </c>
      <c r="AB310" s="643">
        <f>IFERROR(INDEX('[12]CN HĐ'!$M$10:$M$73,MATCH(B310,'[12]CN HĐ'!$H$10:$H$73,0)),"")</f>
        <v>0</v>
      </c>
      <c r="AC310" s="1031"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4" t="s">
        <v>2079</v>
      </c>
      <c r="F311" s="634"/>
      <c r="G311" s="634"/>
      <c r="H311" s="383" t="s">
        <v>2031</v>
      </c>
      <c r="I311" s="635">
        <v>5159700</v>
      </c>
      <c r="J311" s="383" t="str">
        <f>VLOOKUP(B311,TH.T3!B317:J575,9,FALSE)</f>
        <v>NV Phục vụ</v>
      </c>
      <c r="K311" s="484">
        <f t="shared" si="62"/>
        <v>1547910</v>
      </c>
      <c r="L311" s="636" t="str">
        <f>VLOOKUP(B311,'[11]Gui chi Quynh'!$B$11:$E$400,4,FALSE)</f>
        <v>A2</v>
      </c>
      <c r="M311" s="484">
        <f t="shared" si="66"/>
        <v>2167074</v>
      </c>
      <c r="N311" s="636">
        <v>22</v>
      </c>
      <c r="O311" s="637">
        <f>IFERROR(INDEX('[12]CN HĐ'!$J$10:$J$72,MATCH(B311,'[12]CN HĐ'!$H$10:$H$72,0)),"")</f>
        <v>22</v>
      </c>
      <c r="P311" s="638" t="e">
        <f>IF(M311&gt;#REF!,M311,#REF!)</f>
        <v>#REF!</v>
      </c>
      <c r="Q311" s="484">
        <f t="shared" si="63"/>
        <v>2167074</v>
      </c>
      <c r="R311" s="639"/>
      <c r="S311" s="484">
        <v>0</v>
      </c>
      <c r="T311" s="640"/>
      <c r="U311" s="484">
        <v>0</v>
      </c>
      <c r="V311" s="484">
        <f t="shared" si="64"/>
        <v>51597</v>
      </c>
      <c r="W311" s="641">
        <f t="shared" si="65"/>
        <v>2167074</v>
      </c>
      <c r="X311" s="1016">
        <f t="shared" si="57"/>
        <v>1.2039299999999999</v>
      </c>
      <c r="Y311" s="1015">
        <v>1800000</v>
      </c>
      <c r="Z311" s="1012">
        <f t="shared" si="58"/>
        <v>2167074</v>
      </c>
      <c r="AA311" s="642">
        <f t="shared" si="60"/>
        <v>291</v>
      </c>
      <c r="AB311" s="643">
        <f>IFERROR(INDEX('[12]CN HĐ'!$M$10:$M$73,MATCH(B311,'[12]CN HĐ'!$H$10:$H$73,0)),"")</f>
        <v>0</v>
      </c>
      <c r="AC311" s="1031" t="s">
        <v>2219</v>
      </c>
      <c r="AD311" s="505"/>
    </row>
    <row r="312" spans="1:69" s="387" customFormat="1" ht="28.5" customHeight="1">
      <c r="A312" s="33">
        <f>_xlfn.AGGREGATE(4,7,A$20:A311)+1</f>
        <v>292</v>
      </c>
      <c r="B312" s="378" t="s">
        <v>2080</v>
      </c>
      <c r="C312" s="390"/>
      <c r="D312" s="451"/>
      <c r="E312" s="653" t="s">
        <v>2081</v>
      </c>
      <c r="F312" s="653"/>
      <c r="G312" s="653"/>
      <c r="H312" s="383" t="s">
        <v>2031</v>
      </c>
      <c r="I312" s="635">
        <v>4914000</v>
      </c>
      <c r="J312" s="383" t="str">
        <f>VLOOKUP(B312,TH.T3!B318:J576,9,FALSE)</f>
        <v>NV Phục vụ</v>
      </c>
      <c r="K312" s="484">
        <f t="shared" si="62"/>
        <v>1474200</v>
      </c>
      <c r="L312" s="636" t="str">
        <f>VLOOKUP(B312,'[11]Gui chi Quynh'!$B$11:$E$400,4,FALSE)</f>
        <v>A3</v>
      </c>
      <c r="M312" s="484">
        <f t="shared" si="66"/>
        <v>1769040</v>
      </c>
      <c r="N312" s="636">
        <v>22</v>
      </c>
      <c r="O312" s="637">
        <f>IFERROR(INDEX('[12]CN HĐ'!$J$10:$J$72,MATCH(B312,'[12]CN HĐ'!$H$10:$H$72,0)),"")</f>
        <v>21</v>
      </c>
      <c r="P312" s="638" t="e">
        <f>IF(M312&gt;#REF!,M312,#REF!)</f>
        <v>#REF!</v>
      </c>
      <c r="Q312" s="484">
        <f t="shared" si="63"/>
        <v>1688629</v>
      </c>
      <c r="R312" s="639"/>
      <c r="S312" s="484">
        <v>0</v>
      </c>
      <c r="T312" s="640"/>
      <c r="U312" s="484">
        <v>0</v>
      </c>
      <c r="V312" s="679">
        <f t="shared" si="64"/>
        <v>49140</v>
      </c>
      <c r="W312" s="641">
        <f t="shared" si="65"/>
        <v>1688629</v>
      </c>
      <c r="X312" s="1016">
        <f t="shared" si="57"/>
        <v>0.93812722222222222</v>
      </c>
      <c r="Y312" s="1015">
        <v>1800000</v>
      </c>
      <c r="Z312" s="1012">
        <f t="shared" si="58"/>
        <v>1688629</v>
      </c>
      <c r="AA312" s="642">
        <f t="shared" si="60"/>
        <v>292</v>
      </c>
      <c r="AB312" s="643" t="str">
        <f>IFERROR(INDEX('[12]CN HĐ'!$M$10:$M$73,MATCH(B312,'[12]CN HĐ'!$H$10:$H$73,0)),"")</f>
        <v>Trừ 1 ngày nghỉ phép 4/4</v>
      </c>
      <c r="AC312" s="1031"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4" t="s">
        <v>2083</v>
      </c>
      <c r="F313" s="654"/>
      <c r="G313" s="654"/>
      <c r="H313" s="383" t="s">
        <v>2031</v>
      </c>
      <c r="I313" s="635">
        <v>4914000</v>
      </c>
      <c r="J313" s="383" t="str">
        <f>VLOOKUP(B313,TH.T3!B319:J577,9,FALSE)</f>
        <v>NV Phục vụ</v>
      </c>
      <c r="K313" s="484">
        <f t="shared" si="62"/>
        <v>1474200</v>
      </c>
      <c r="L313" s="636" t="str">
        <f>VLOOKUP(B313,'[11]Gui chi Quynh'!$B$11:$E$400,4,FALSE)</f>
        <v>A2</v>
      </c>
      <c r="M313" s="484">
        <f t="shared" si="66"/>
        <v>2063880</v>
      </c>
      <c r="N313" s="636">
        <v>22</v>
      </c>
      <c r="O313" s="637">
        <f>IFERROR(INDEX('[12]CN HĐ'!$J$10:$J$72,MATCH(B313,'[12]CN HĐ'!$H$10:$H$72,0)),"")</f>
        <v>22</v>
      </c>
      <c r="P313" s="638" t="e">
        <f>IF(M313&gt;#REF!,M313,#REF!)</f>
        <v>#REF!</v>
      </c>
      <c r="Q313" s="484">
        <f t="shared" si="63"/>
        <v>2063880</v>
      </c>
      <c r="R313" s="639"/>
      <c r="S313" s="484">
        <v>0</v>
      </c>
      <c r="T313" s="640"/>
      <c r="U313" s="484">
        <v>0</v>
      </c>
      <c r="V313" s="679">
        <f t="shared" si="64"/>
        <v>49140</v>
      </c>
      <c r="W313" s="641">
        <f t="shared" si="65"/>
        <v>2063880</v>
      </c>
      <c r="X313" s="1016">
        <f t="shared" si="57"/>
        <v>1.1466000000000001</v>
      </c>
      <c r="Y313" s="1015">
        <v>1800000</v>
      </c>
      <c r="Z313" s="1012">
        <f t="shared" si="58"/>
        <v>2063880</v>
      </c>
      <c r="AA313" s="642">
        <f t="shared" si="60"/>
        <v>293</v>
      </c>
      <c r="AB313" s="643">
        <f>IFERROR(INDEX('[12]CN HĐ'!$M$10:$M$73,MATCH(B313,'[12]CN HĐ'!$H$10:$H$73,0)),"")</f>
        <v>0</v>
      </c>
      <c r="AC313" s="1031"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4" t="s">
        <v>2085</v>
      </c>
      <c r="F314" s="654"/>
      <c r="G314" s="654"/>
      <c r="H314" s="383" t="s">
        <v>2031</v>
      </c>
      <c r="I314" s="635">
        <v>4914000</v>
      </c>
      <c r="J314" s="383" t="str">
        <f>VLOOKUP(B314,TH.T3!B320:J578,9,FALSE)</f>
        <v>NV Phục vụ</v>
      </c>
      <c r="K314" s="484">
        <f t="shared" si="62"/>
        <v>1474200</v>
      </c>
      <c r="L314" s="636" t="str">
        <f>VLOOKUP(B314,'[11]Gui chi Quynh'!$B$11:$E$400,4,FALSE)</f>
        <v>A2</v>
      </c>
      <c r="M314" s="484">
        <f t="shared" si="66"/>
        <v>2063880</v>
      </c>
      <c r="N314" s="636">
        <v>22</v>
      </c>
      <c r="O314" s="637">
        <f>IFERROR(INDEX('[12]CN HĐ'!$J$10:$J$72,MATCH(B314,'[12]CN HĐ'!$H$10:$H$72,0)),"")</f>
        <v>22</v>
      </c>
      <c r="P314" s="638" t="e">
        <f>IF(M314&gt;#REF!,M314,#REF!)</f>
        <v>#REF!</v>
      </c>
      <c r="Q314" s="484">
        <f t="shared" si="63"/>
        <v>2063880</v>
      </c>
      <c r="R314" s="639"/>
      <c r="S314" s="484">
        <v>0</v>
      </c>
      <c r="T314" s="640"/>
      <c r="U314" s="484">
        <v>0</v>
      </c>
      <c r="V314" s="679">
        <f t="shared" si="64"/>
        <v>49140</v>
      </c>
      <c r="W314" s="641">
        <f t="shared" si="65"/>
        <v>2063880</v>
      </c>
      <c r="X314" s="1016">
        <f t="shared" si="57"/>
        <v>1.1466000000000001</v>
      </c>
      <c r="Y314" s="1015">
        <v>1800000</v>
      </c>
      <c r="Z314" s="1012">
        <f t="shared" si="58"/>
        <v>2063880</v>
      </c>
      <c r="AA314" s="642">
        <f t="shared" si="60"/>
        <v>294</v>
      </c>
      <c r="AB314" s="643">
        <f>IFERROR(INDEX('[12]CN HĐ'!$M$10:$M$73,MATCH(B314,'[12]CN HĐ'!$H$10:$H$73,0)),"")</f>
        <v>0</v>
      </c>
      <c r="AC314" s="1031"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4"/>
      <c r="F315" s="654"/>
      <c r="G315" s="654"/>
      <c r="H315" s="383" t="s">
        <v>2031</v>
      </c>
      <c r="I315" s="635">
        <v>4914000</v>
      </c>
      <c r="J315" s="383" t="str">
        <f>VLOOKUP(B315,TH.T3!B321:J579,9,FALSE)</f>
        <v>Nhân viên phòng Quản trị - Dịch vụ</v>
      </c>
      <c r="K315" s="484">
        <f t="shared" si="62"/>
        <v>1474200</v>
      </c>
      <c r="L315" s="636" t="str">
        <f>VLOOKUP(B315,'[11]Gui chi Quynh'!$B$11:$E$400,4,FALSE)</f>
        <v>A3</v>
      </c>
      <c r="M315" s="484">
        <f t="shared" si="66"/>
        <v>1769040</v>
      </c>
      <c r="N315" s="636">
        <v>22</v>
      </c>
      <c r="O315" s="637">
        <f>IFERROR(INDEX('[12]CN HĐ'!$J$10:$J$72,MATCH(B315,'[12]CN HĐ'!$H$10:$H$72,0)),"")</f>
        <v>22</v>
      </c>
      <c r="P315" s="638"/>
      <c r="Q315" s="484">
        <f t="shared" si="63"/>
        <v>1769040</v>
      </c>
      <c r="R315" s="639"/>
      <c r="S315" s="484">
        <v>0</v>
      </c>
      <c r="T315" s="640"/>
      <c r="U315" s="484">
        <v>0</v>
      </c>
      <c r="V315" s="679">
        <f t="shared" si="64"/>
        <v>49140</v>
      </c>
      <c r="W315" s="641">
        <f t="shared" si="65"/>
        <v>1769040</v>
      </c>
      <c r="X315" s="1016">
        <f t="shared" si="57"/>
        <v>0.98280000000000001</v>
      </c>
      <c r="Y315" s="1015">
        <v>1800000</v>
      </c>
      <c r="Z315" s="1012">
        <f t="shared" si="58"/>
        <v>1769040</v>
      </c>
      <c r="AA315" s="642">
        <f t="shared" si="60"/>
        <v>295</v>
      </c>
      <c r="AB315" s="643">
        <f>IFERROR(INDEX('[12]CN HĐ'!$M$10:$M$73,MATCH(B315,'[12]CN HĐ'!$H$10:$H$73,0)),"")</f>
        <v>0</v>
      </c>
      <c r="AC315" s="1031"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4"/>
      <c r="F316" s="654"/>
      <c r="G316" s="654"/>
      <c r="H316" s="383" t="s">
        <v>2031</v>
      </c>
      <c r="I316" s="635">
        <v>4914000</v>
      </c>
      <c r="J316" s="383" t="str">
        <f>VLOOKUP(B316,TH.T3!B322:J580,9,FALSE)</f>
        <v>Nhân viên phòng Quản trị - Dịch vụ</v>
      </c>
      <c r="K316" s="484">
        <f t="shared" si="62"/>
        <v>1474200</v>
      </c>
      <c r="L316" s="636" t="str">
        <f>VLOOKUP(B316,'[11]Gui chi Quynh'!$B$11:$E$400,4,FALSE)</f>
        <v>A3</v>
      </c>
      <c r="M316" s="484">
        <f t="shared" si="66"/>
        <v>1769040</v>
      </c>
      <c r="N316" s="636">
        <v>22</v>
      </c>
      <c r="O316" s="637">
        <f>IFERROR(INDEX('[12]CN HĐ'!$J$10:$J$72,MATCH(B316,'[12]CN HĐ'!$H$10:$H$72,0)),"")</f>
        <v>23</v>
      </c>
      <c r="P316" s="638"/>
      <c r="Q316" s="484">
        <f t="shared" si="63"/>
        <v>1769040</v>
      </c>
      <c r="R316" s="639"/>
      <c r="S316" s="484">
        <v>0</v>
      </c>
      <c r="T316" s="640"/>
      <c r="U316" s="484">
        <v>0</v>
      </c>
      <c r="V316" s="679">
        <f t="shared" si="64"/>
        <v>49140</v>
      </c>
      <c r="W316" s="641">
        <f t="shared" si="65"/>
        <v>1769040</v>
      </c>
      <c r="X316" s="1016">
        <f t="shared" si="57"/>
        <v>0.98280000000000001</v>
      </c>
      <c r="Y316" s="1015">
        <v>1800000</v>
      </c>
      <c r="Z316" s="1012">
        <f t="shared" si="58"/>
        <v>1769040</v>
      </c>
      <c r="AA316" s="642">
        <f t="shared" si="60"/>
        <v>296</v>
      </c>
      <c r="AB316" s="643">
        <f>IFERROR(INDEX('[12]CN HĐ'!$M$10:$M$73,MATCH(B316,'[12]CN HĐ'!$H$10:$H$73,0)),"")</f>
        <v>0</v>
      </c>
      <c r="AC316" s="1031"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4"/>
      <c r="F317" s="654"/>
      <c r="G317" s="654"/>
      <c r="H317" s="383" t="s">
        <v>2031</v>
      </c>
      <c r="I317" s="635">
        <v>4680000</v>
      </c>
      <c r="J317" s="383" t="str">
        <f>VLOOKUP(B317,TH.T3!B323:J581,9,FALSE)</f>
        <v>Nhân viên phòng Quản trị - Dịch vụ</v>
      </c>
      <c r="K317" s="484">
        <f t="shared" si="62"/>
        <v>1404000</v>
      </c>
      <c r="L317" s="636" t="str">
        <f>VLOOKUP(B317,'[11]Gui chi Quynh'!$B$11:$E$400,4,FALSE)</f>
        <v>A1</v>
      </c>
      <c r="M317" s="484">
        <f t="shared" si="66"/>
        <v>2246400</v>
      </c>
      <c r="N317" s="636">
        <v>22</v>
      </c>
      <c r="O317" s="637">
        <f>IFERROR(INDEX('[12]CN HĐ'!$J$10:$J$72,MATCH(B317,'[12]CN HĐ'!$H$10:$H$72,0)),"")</f>
        <v>22</v>
      </c>
      <c r="P317" s="638"/>
      <c r="Q317" s="484">
        <f t="shared" si="63"/>
        <v>2246400</v>
      </c>
      <c r="R317" s="639"/>
      <c r="S317" s="484">
        <v>0</v>
      </c>
      <c r="T317" s="640"/>
      <c r="U317" s="484">
        <v>0</v>
      </c>
      <c r="V317" s="679">
        <f t="shared" si="64"/>
        <v>46800</v>
      </c>
      <c r="W317" s="641">
        <f t="shared" si="65"/>
        <v>2246400</v>
      </c>
      <c r="X317" s="1016">
        <f t="shared" si="57"/>
        <v>1.248</v>
      </c>
      <c r="Y317" s="1015">
        <v>1800000</v>
      </c>
      <c r="Z317" s="1012">
        <f t="shared" si="58"/>
        <v>2246400</v>
      </c>
      <c r="AA317" s="642">
        <f t="shared" si="60"/>
        <v>297</v>
      </c>
      <c r="AB317" s="643">
        <f>IFERROR(INDEX('[12]CN HĐ'!$M$10:$M$73,MATCH(B317,'[12]CN HĐ'!$H$10:$H$73,0)),"")</f>
        <v>0</v>
      </c>
      <c r="AC317" s="1031"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6">
        <v>1603205194204</v>
      </c>
      <c r="F318" s="646"/>
      <c r="G318" s="646"/>
      <c r="H318" s="383" t="s">
        <v>2038</v>
      </c>
      <c r="I318" s="635">
        <v>7046196</v>
      </c>
      <c r="J318" s="383" t="str">
        <f>VLOOKUP(B318,TH.T3!B324:J582,9,FALSE)</f>
        <v>Nhân viên Y tế</v>
      </c>
      <c r="K318" s="484">
        <f t="shared" si="62"/>
        <v>4932337.1999999993</v>
      </c>
      <c r="L318" s="636" t="str">
        <f>VLOOKUP(B318,'[11]Gui chi Quynh'!$B$11:$E$400,4,FALSE)</f>
        <v>A1</v>
      </c>
      <c r="M318" s="484">
        <f t="shared" si="66"/>
        <v>7891740</v>
      </c>
      <c r="N318" s="636">
        <v>22</v>
      </c>
      <c r="O318" s="637">
        <f>IFERROR(INDEX('[12]CN HĐ'!$J$10:$J$72,MATCH(B318,'[12]CN HĐ'!$H$10:$H$72,0)),"")</f>
        <v>22</v>
      </c>
      <c r="P318" s="638" t="e">
        <f>IF(M318&gt;#REF!,M318,#REF!)</f>
        <v>#REF!</v>
      </c>
      <c r="Q318" s="484">
        <f t="shared" si="63"/>
        <v>7891740</v>
      </c>
      <c r="R318" s="639"/>
      <c r="S318" s="484">
        <v>0</v>
      </c>
      <c r="T318" s="640"/>
      <c r="U318" s="484">
        <v>0</v>
      </c>
      <c r="V318" s="484">
        <f t="shared" si="64"/>
        <v>70461.960000000006</v>
      </c>
      <c r="W318" s="641">
        <f t="shared" si="65"/>
        <v>7891740</v>
      </c>
      <c r="X318" s="1016">
        <f t="shared" si="57"/>
        <v>4.3842999999999996</v>
      </c>
      <c r="Y318" s="1015">
        <v>1800000</v>
      </c>
      <c r="Z318" s="1012">
        <f t="shared" si="58"/>
        <v>7891739.9999999991</v>
      </c>
      <c r="AA318" s="642">
        <f t="shared" si="60"/>
        <v>298</v>
      </c>
      <c r="AB318" s="643">
        <f>IFERROR(INDEX('[12]CN HĐ'!$M$10:$M$73,MATCH(B318,'[12]CN HĐ'!$H$10:$H$73,0)),"")</f>
        <v>0</v>
      </c>
      <c r="AC318" s="695" t="s">
        <v>2223</v>
      </c>
    </row>
    <row r="319" spans="1:69" s="387" customFormat="1" ht="31.5" customHeight="1">
      <c r="A319" s="33">
        <f>_xlfn.AGGREGATE(4,7,A$20:A318)+1</f>
        <v>299</v>
      </c>
      <c r="B319" s="462" t="s">
        <v>2091</v>
      </c>
      <c r="C319" s="436"/>
      <c r="D319" s="435"/>
      <c r="E319" s="646"/>
      <c r="F319" s="646"/>
      <c r="G319" s="646"/>
      <c r="H319" s="383" t="s">
        <v>2031</v>
      </c>
      <c r="I319" s="635">
        <v>4680000</v>
      </c>
      <c r="J319" s="383" t="str">
        <f>VLOOKUP(B319,TH.T3!B325:J583,9,FALSE)</f>
        <v>Nhân viên Ký túc xá</v>
      </c>
      <c r="K319" s="484">
        <f t="shared" si="62"/>
        <v>1404000</v>
      </c>
      <c r="L319" s="636" t="str">
        <f>VLOOKUP(B319,'[11]Gui chi Quynh'!$B$11:$E$400,4,FALSE)</f>
        <v>A3</v>
      </c>
      <c r="M319" s="484">
        <f t="shared" si="66"/>
        <v>1684800</v>
      </c>
      <c r="N319" s="636">
        <v>22</v>
      </c>
      <c r="O319" s="637">
        <f>IFERROR(INDEX('[12]CN HĐ'!$J$10:$J$72,MATCH(B319,'[12]CN HĐ'!$H$10:$H$72,0)),"")</f>
        <v>24</v>
      </c>
      <c r="P319" s="638"/>
      <c r="Q319" s="484">
        <f t="shared" si="63"/>
        <v>1684800</v>
      </c>
      <c r="R319" s="639"/>
      <c r="S319" s="484">
        <v>0</v>
      </c>
      <c r="T319" s="640"/>
      <c r="U319" s="484">
        <v>0</v>
      </c>
      <c r="V319" s="679">
        <f t="shared" si="64"/>
        <v>46800</v>
      </c>
      <c r="W319" s="641">
        <f t="shared" si="65"/>
        <v>1684800</v>
      </c>
      <c r="X319" s="1016">
        <f t="shared" si="57"/>
        <v>0.93600000000000005</v>
      </c>
      <c r="Y319" s="1015">
        <v>1800000</v>
      </c>
      <c r="Z319" s="1012">
        <f t="shared" si="58"/>
        <v>1684800</v>
      </c>
      <c r="AA319" s="642">
        <f t="shared" si="60"/>
        <v>299</v>
      </c>
      <c r="AB319" s="643">
        <f>IFERROR(INDEX('[12]CN HĐ'!$M$10:$M$73,MATCH(B319,'[12]CN HĐ'!$H$10:$H$73,0)),"")</f>
        <v>0</v>
      </c>
      <c r="AC319" s="648"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5" t="s">
        <v>2092</v>
      </c>
      <c r="C320" s="656"/>
      <c r="D320" s="435"/>
      <c r="E320" s="644" t="s">
        <v>2093</v>
      </c>
      <c r="F320" s="644"/>
      <c r="G320" s="644"/>
      <c r="H320" s="383" t="s">
        <v>2042</v>
      </c>
      <c r="I320" s="635">
        <v>12518663</v>
      </c>
      <c r="J320" s="383" t="str">
        <f>VLOOKUP(B320,TH.T3!B326:J584,9,FALSE)</f>
        <v>Nhân viên</v>
      </c>
      <c r="K320" s="484">
        <f t="shared" si="62"/>
        <v>8763064.0999999996</v>
      </c>
      <c r="L320" s="636" t="str">
        <f>VLOOKUP(B320,'[11]Gui chi Quynh'!$B$11:$E$400,4,FALSE)</f>
        <v>A1</v>
      </c>
      <c r="M320" s="484">
        <f t="shared" si="66"/>
        <v>14020903</v>
      </c>
      <c r="N320" s="636">
        <v>22</v>
      </c>
      <c r="O320" s="637">
        <f>IFERROR(INDEX('[12]CN HĐ'!$J$10:$J$72,MATCH(B320,'[12]CN HĐ'!$H$10:$H$72,0)),"")</f>
        <v>25</v>
      </c>
      <c r="P320" s="638" t="e">
        <f>IF(M320&gt;#REF!,M320,#REF!)</f>
        <v>#REF!</v>
      </c>
      <c r="Q320" s="484">
        <f t="shared" si="63"/>
        <v>14020903</v>
      </c>
      <c r="R320" s="639"/>
      <c r="S320" s="484">
        <v>0</v>
      </c>
      <c r="T320" s="657"/>
      <c r="U320" s="484">
        <v>0</v>
      </c>
      <c r="V320" s="679">
        <f t="shared" si="64"/>
        <v>125186.63</v>
      </c>
      <c r="W320" s="641">
        <f t="shared" si="65"/>
        <v>14020903</v>
      </c>
      <c r="X320" s="1016">
        <f t="shared" si="57"/>
        <v>7.7893905555555554</v>
      </c>
      <c r="Y320" s="1015">
        <v>1800000</v>
      </c>
      <c r="Z320" s="1012">
        <f t="shared" si="58"/>
        <v>14020903</v>
      </c>
      <c r="AA320" s="642">
        <f t="shared" si="60"/>
        <v>300</v>
      </c>
      <c r="AB320" s="643">
        <f>IFERROR(INDEX('[12]CN HĐ'!$M$10:$M$73,MATCH(B320,'[12]CN HĐ'!$H$10:$H$73,0)),"")</f>
        <v>0</v>
      </c>
      <c r="AC320" s="647"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4">
        <v>1603205341982</v>
      </c>
      <c r="F321" s="634"/>
      <c r="G321" s="634"/>
      <c r="H321" s="383" t="s">
        <v>2042</v>
      </c>
      <c r="I321" s="635">
        <v>7515057</v>
      </c>
      <c r="J321" s="383" t="str">
        <f>VLOOKUP(B321,TH.T3!B327:J585,9,FALSE)</f>
        <v>NV Kế toán</v>
      </c>
      <c r="K321" s="484">
        <f t="shared" si="62"/>
        <v>5260539.8999999994</v>
      </c>
      <c r="L321" s="636" t="str">
        <f>VLOOKUP(B321,'[11]Gui chi Quynh'!$B$11:$E$400,4,FALSE)</f>
        <v>A2</v>
      </c>
      <c r="M321" s="484">
        <f t="shared" si="66"/>
        <v>7364756</v>
      </c>
      <c r="N321" s="636">
        <v>22</v>
      </c>
      <c r="O321" s="637">
        <f>IFERROR(INDEX('[12]CN HĐ'!$J$10:$J$72,MATCH(B321,'[12]CN HĐ'!$H$10:$H$72,0)),"")</f>
        <v>22</v>
      </c>
      <c r="P321" s="638" t="e">
        <f>IF(M321&gt;#REF!,M321,#REF!)</f>
        <v>#REF!</v>
      </c>
      <c r="Q321" s="484">
        <f t="shared" si="63"/>
        <v>7364756</v>
      </c>
      <c r="R321" s="639"/>
      <c r="S321" s="484">
        <v>0</v>
      </c>
      <c r="T321" s="484" t="e">
        <f>S321*#REF!*0.5</f>
        <v>#REF!</v>
      </c>
      <c r="U321" s="484">
        <v>0</v>
      </c>
      <c r="V321" s="679">
        <f t="shared" si="64"/>
        <v>75150.570000000007</v>
      </c>
      <c r="W321" s="641">
        <f t="shared" si="65"/>
        <v>7364756</v>
      </c>
      <c r="X321" s="1016">
        <f t="shared" si="57"/>
        <v>4.0915311111111112</v>
      </c>
      <c r="Y321" s="1015">
        <v>1800000</v>
      </c>
      <c r="Z321" s="1012">
        <f t="shared" si="58"/>
        <v>7364756</v>
      </c>
      <c r="AA321" s="642">
        <f t="shared" si="60"/>
        <v>301</v>
      </c>
      <c r="AB321" s="643">
        <f>IFERROR(INDEX('[12]CN HĐ'!$M$10:$M$73,MATCH(B321,'[12]CN HĐ'!$H$10:$H$73,0)),"")</f>
        <v>0</v>
      </c>
      <c r="AC321" s="647"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3" t="s">
        <v>2097</v>
      </c>
      <c r="F322" s="653"/>
      <c r="G322" s="653"/>
      <c r="H322" s="383" t="s">
        <v>2042</v>
      </c>
      <c r="I322" s="635">
        <v>5733201</v>
      </c>
      <c r="J322" s="383" t="str">
        <f>VLOOKUP(B322,TH.T3!B328:J586,9,FALSE)</f>
        <v>NV Kế toán</v>
      </c>
      <c r="K322" s="484">
        <f t="shared" si="62"/>
        <v>4013240.6999999997</v>
      </c>
      <c r="L322" s="636" t="str">
        <f>VLOOKUP(B322,'[11]Gui chi Quynh'!$B$11:$E$400,4,FALSE)</f>
        <v>A3</v>
      </c>
      <c r="M322" s="484">
        <f t="shared" si="66"/>
        <v>4815889</v>
      </c>
      <c r="N322" s="636">
        <v>22</v>
      </c>
      <c r="O322" s="637">
        <f>IFERROR(INDEX('[12]CN HĐ'!$J$10:$J$72,MATCH(B322,'[12]CN HĐ'!$H$10:$H$72,0)),"")</f>
        <v>22</v>
      </c>
      <c r="P322" s="638" t="e">
        <f>IF(M322&gt;#REF!,M322,#REF!)</f>
        <v>#REF!</v>
      </c>
      <c r="Q322" s="484">
        <f t="shared" si="63"/>
        <v>4815889</v>
      </c>
      <c r="R322" s="639"/>
      <c r="S322" s="484">
        <v>0</v>
      </c>
      <c r="T322" s="484"/>
      <c r="U322" s="484">
        <v>0</v>
      </c>
      <c r="V322" s="679">
        <f t="shared" si="64"/>
        <v>57332.01</v>
      </c>
      <c r="W322" s="641">
        <f t="shared" si="65"/>
        <v>4815889</v>
      </c>
      <c r="X322" s="1016">
        <f t="shared" si="57"/>
        <v>2.6754938888888891</v>
      </c>
      <c r="Y322" s="1015">
        <v>1800000</v>
      </c>
      <c r="Z322" s="1012">
        <f t="shared" si="58"/>
        <v>4815889</v>
      </c>
      <c r="AA322" s="642">
        <f t="shared" si="60"/>
        <v>302</v>
      </c>
      <c r="AB322" s="643">
        <f>IFERROR(INDEX('[12]CN HĐ'!$M$10:$M$73,MATCH(B322,'[12]CN HĐ'!$H$10:$H$73,0)),"")</f>
        <v>0</v>
      </c>
      <c r="AC322" s="647"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6"/>
      <c r="F323" s="646"/>
      <c r="G323" s="646"/>
      <c r="H323" s="383" t="s">
        <v>2042</v>
      </c>
      <c r="I323" s="635">
        <v>5733201</v>
      </c>
      <c r="J323" s="383" t="str">
        <f>VLOOKUP(B323,TH.T3!B329:J587,9,FALSE)</f>
        <v>NV Kế toán</v>
      </c>
      <c r="K323" s="484">
        <f t="shared" si="62"/>
        <v>4013240.6999999997</v>
      </c>
      <c r="L323" s="636" t="str">
        <f>VLOOKUP(B323,'[11]Gui chi Quynh'!$B$11:$E$400,4,FALSE)</f>
        <v>A2</v>
      </c>
      <c r="M323" s="484">
        <f t="shared" si="66"/>
        <v>5618537</v>
      </c>
      <c r="N323" s="636">
        <v>22</v>
      </c>
      <c r="O323" s="637">
        <f>IFERROR(INDEX('[12]CN HĐ'!$J$10:$J$72,MATCH(B323,'[12]CN HĐ'!$H$10:$H$72,0)),"")</f>
        <v>22</v>
      </c>
      <c r="P323" s="638"/>
      <c r="Q323" s="484">
        <f t="shared" si="63"/>
        <v>5618537</v>
      </c>
      <c r="R323" s="639"/>
      <c r="S323" s="484">
        <v>0</v>
      </c>
      <c r="T323" s="484"/>
      <c r="U323" s="484">
        <v>0</v>
      </c>
      <c r="V323" s="679">
        <f t="shared" si="64"/>
        <v>57332.01</v>
      </c>
      <c r="W323" s="641">
        <f t="shared" si="65"/>
        <v>5618537</v>
      </c>
      <c r="X323" s="1016">
        <f t="shared" si="57"/>
        <v>3.1214094444444442</v>
      </c>
      <c r="Y323" s="1015">
        <v>1800000</v>
      </c>
      <c r="Z323" s="1012">
        <f t="shared" si="58"/>
        <v>5618537</v>
      </c>
      <c r="AA323" s="642">
        <f t="shared" si="60"/>
        <v>303</v>
      </c>
      <c r="AB323" s="643">
        <f>IFERROR(INDEX('[12]CN HĐ'!$M$10:$M$73,MATCH(B323,'[12]CN HĐ'!$H$10:$H$73,0)),"")</f>
        <v>0</v>
      </c>
      <c r="AC323" s="647"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6"/>
      <c r="F324" s="646"/>
      <c r="G324" s="646"/>
      <c r="H324" s="383" t="s">
        <v>2042</v>
      </c>
      <c r="I324" s="635">
        <v>5358132</v>
      </c>
      <c r="J324" s="383" t="str">
        <f>VLOOKUP(B324,TH.T3!B330:J588,9,FALSE)</f>
        <v>NV Kế toán</v>
      </c>
      <c r="K324" s="484">
        <f t="shared" si="62"/>
        <v>3750692.4</v>
      </c>
      <c r="L324" s="636" t="str">
        <f>VLOOKUP(B324,'[11]Gui chi Quynh'!$B$11:$E$400,4,FALSE)</f>
        <v>A2</v>
      </c>
      <c r="M324" s="484">
        <f t="shared" si="66"/>
        <v>5250969</v>
      </c>
      <c r="N324" s="636">
        <v>22</v>
      </c>
      <c r="O324" s="637">
        <f>IFERROR(INDEX('[12]CN HĐ'!$J$10:$J$72,MATCH(B324,'[12]CN HĐ'!$H$10:$H$72,0)),"")</f>
        <v>23</v>
      </c>
      <c r="P324" s="638"/>
      <c r="Q324" s="484">
        <f t="shared" si="63"/>
        <v>5250969</v>
      </c>
      <c r="R324" s="639"/>
      <c r="S324" s="484">
        <v>0</v>
      </c>
      <c r="T324" s="484"/>
      <c r="U324" s="484">
        <v>0</v>
      </c>
      <c r="V324" s="679">
        <f t="shared" si="64"/>
        <v>53581.32</v>
      </c>
      <c r="W324" s="641">
        <f t="shared" si="65"/>
        <v>5250969</v>
      </c>
      <c r="X324" s="1016">
        <f t="shared" si="57"/>
        <v>2.917205</v>
      </c>
      <c r="Y324" s="1015">
        <v>1800000</v>
      </c>
      <c r="Z324" s="1012">
        <f t="shared" si="58"/>
        <v>5250969</v>
      </c>
      <c r="AA324" s="642">
        <f t="shared" si="60"/>
        <v>304</v>
      </c>
      <c r="AB324" s="643">
        <f>IFERROR(INDEX('[12]CN HĐ'!$M$10:$M$73,MATCH(B324,'[12]CN HĐ'!$H$10:$H$73,0)),"")</f>
        <v>0</v>
      </c>
      <c r="AC324" s="647"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5" t="s">
        <v>2100</v>
      </c>
      <c r="C325" s="656" t="s">
        <v>1053</v>
      </c>
      <c r="D325" s="435" t="s">
        <v>2101</v>
      </c>
      <c r="E325" s="644">
        <v>1603205399011</v>
      </c>
      <c r="F325" s="644"/>
      <c r="G325" s="644"/>
      <c r="H325" s="86" t="s">
        <v>2042</v>
      </c>
      <c r="I325" s="635">
        <v>8041111</v>
      </c>
      <c r="J325" s="383" t="str">
        <f>VLOOKUP(B325,TH.T3!B331:J589,9,FALSE)</f>
        <v>Nhân viên</v>
      </c>
      <c r="K325" s="484">
        <f t="shared" si="62"/>
        <v>5628777.6999999993</v>
      </c>
      <c r="L325" s="636" t="str">
        <f>VLOOKUP(B325,'[11]Gui chi Quynh'!$B$11:$E$400,4,FALSE)</f>
        <v>A1</v>
      </c>
      <c r="M325" s="484">
        <f t="shared" si="66"/>
        <v>9006044</v>
      </c>
      <c r="N325" s="636">
        <v>22</v>
      </c>
      <c r="O325" s="637">
        <f>IFERROR(INDEX('[12]CN HĐ'!$J$10:$J$72,MATCH(B325,'[12]CN HĐ'!$H$10:$H$72,0)),"")</f>
        <v>23</v>
      </c>
      <c r="P325" s="638" t="e">
        <f>IF(M325&gt;#REF!,M325,#REF!)</f>
        <v>#REF!</v>
      </c>
      <c r="Q325" s="484">
        <f t="shared" si="63"/>
        <v>9006044</v>
      </c>
      <c r="R325" s="639"/>
      <c r="S325" s="484">
        <v>0</v>
      </c>
      <c r="T325" s="657"/>
      <c r="U325" s="484">
        <v>0</v>
      </c>
      <c r="V325" s="679">
        <f t="shared" si="64"/>
        <v>80411.11</v>
      </c>
      <c r="W325" s="641">
        <f t="shared" si="65"/>
        <v>9006044</v>
      </c>
      <c r="X325" s="1016">
        <f t="shared" si="57"/>
        <v>5.0033577777777776</v>
      </c>
      <c r="Y325" s="1015">
        <v>1800000</v>
      </c>
      <c r="Z325" s="1012">
        <f t="shared" si="58"/>
        <v>9006044</v>
      </c>
      <c r="AA325" s="642">
        <f t="shared" si="60"/>
        <v>305</v>
      </c>
      <c r="AB325" s="643">
        <f>IFERROR(INDEX('[12]CN HĐ'!$M$10:$M$73,MATCH(B325,'[12]CN HĐ'!$H$10:$H$73,0)),"")</f>
        <v>0</v>
      </c>
      <c r="AC325" s="647"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4" t="s">
        <v>2105</v>
      </c>
      <c r="F326" s="634"/>
      <c r="G326" s="634"/>
      <c r="H326" s="383" t="s">
        <v>2038</v>
      </c>
      <c r="I326" s="635">
        <v>6086769</v>
      </c>
      <c r="J326" s="383" t="str">
        <f>VLOOKUP(B326,TH.T3!B332:J590,9,FALSE)</f>
        <v>NV Phòng Quản trị - Dịch vụ</v>
      </c>
      <c r="K326" s="484">
        <f t="shared" si="62"/>
        <v>4260738.3</v>
      </c>
      <c r="L326" s="636" t="str">
        <f>VLOOKUP(B326,'[11]Gui chi Quynh'!$B$11:$E$400,4,FALSE)</f>
        <v>A3</v>
      </c>
      <c r="M326" s="484">
        <f t="shared" si="66"/>
        <v>5112886</v>
      </c>
      <c r="N326" s="636">
        <v>22</v>
      </c>
      <c r="O326" s="637">
        <f>IFERROR(INDEX('[12]CN HĐ'!$J$10:$J$72,MATCH(B326,'[12]CN HĐ'!$H$10:$H$72,0)),"")</f>
        <v>22</v>
      </c>
      <c r="P326" s="638" t="e">
        <f>IF(M326&gt;#REF!,M326,#REF!)</f>
        <v>#REF!</v>
      </c>
      <c r="Q326" s="484">
        <f t="shared" si="63"/>
        <v>5112886</v>
      </c>
      <c r="R326" s="639"/>
      <c r="S326" s="484">
        <v>0</v>
      </c>
      <c r="T326" s="640"/>
      <c r="U326" s="484">
        <v>0</v>
      </c>
      <c r="V326" s="679">
        <f t="shared" si="64"/>
        <v>60867.69</v>
      </c>
      <c r="W326" s="641">
        <f t="shared" si="65"/>
        <v>5112886</v>
      </c>
      <c r="X326" s="1016">
        <f t="shared" si="57"/>
        <v>2.8404922222222222</v>
      </c>
      <c r="Y326" s="1015">
        <v>1800000</v>
      </c>
      <c r="Z326" s="1012">
        <f t="shared" si="58"/>
        <v>5112886</v>
      </c>
      <c r="AA326" s="642">
        <f t="shared" si="60"/>
        <v>306</v>
      </c>
      <c r="AB326" s="643">
        <f>IFERROR(INDEX('[12]CN HĐ'!$M$10:$M$73,MATCH(B326,'[12]CN HĐ'!$H$10:$H$73,0)),"")</f>
        <v>0</v>
      </c>
      <c r="AC326" s="647"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6">
        <v>1603205192034</v>
      </c>
      <c r="F327" s="646"/>
      <c r="G327" s="646"/>
      <c r="H327" s="383" t="s">
        <v>2038</v>
      </c>
      <c r="I327" s="635">
        <v>6086769</v>
      </c>
      <c r="J327" s="383" t="str">
        <f>VLOOKUP(B327,TH.T3!B333:J591,9,FALSE)</f>
        <v>Nhân viên phòng Thanh tra GD - Quan hệ DN</v>
      </c>
      <c r="K327" s="484">
        <f t="shared" si="62"/>
        <v>4260738.3</v>
      </c>
      <c r="L327" s="636" t="str">
        <f>VLOOKUP(B327,'[11]Gui chi Quynh'!$B$11:$E$400,4,FALSE)</f>
        <v>A3</v>
      </c>
      <c r="M327" s="484">
        <f t="shared" si="66"/>
        <v>5112886</v>
      </c>
      <c r="N327" s="636">
        <v>22</v>
      </c>
      <c r="O327" s="637">
        <f>IFERROR(INDEX('[12]CN HĐ'!$J$10:$J$72,MATCH(B327,'[12]CN HĐ'!$H$10:$H$72,0)),"")</f>
        <v>23</v>
      </c>
      <c r="P327" s="638" t="e">
        <f>IF(M327&gt;#REF!,M327,#REF!)</f>
        <v>#REF!</v>
      </c>
      <c r="Q327" s="484">
        <f t="shared" si="63"/>
        <v>5112886</v>
      </c>
      <c r="R327" s="639"/>
      <c r="S327" s="484">
        <v>0</v>
      </c>
      <c r="T327" s="640"/>
      <c r="U327" s="484">
        <v>0</v>
      </c>
      <c r="V327" s="679">
        <f t="shared" si="64"/>
        <v>60867.69</v>
      </c>
      <c r="W327" s="641">
        <f t="shared" si="65"/>
        <v>5112886</v>
      </c>
      <c r="X327" s="1016">
        <f t="shared" si="57"/>
        <v>2.8404922222222222</v>
      </c>
      <c r="Y327" s="1015">
        <v>1800000</v>
      </c>
      <c r="Z327" s="1012">
        <f t="shared" si="58"/>
        <v>5112886</v>
      </c>
      <c r="AA327" s="642">
        <f t="shared" si="60"/>
        <v>307</v>
      </c>
      <c r="AB327" s="643">
        <f>IFERROR(INDEX('[12]CN HĐ'!$M$10:$M$73,MATCH(B327,'[12]CN HĐ'!$H$10:$H$73,0)),"")</f>
        <v>0</v>
      </c>
      <c r="AC327" s="647"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6"/>
      <c r="F328" s="646"/>
      <c r="G328" s="646"/>
      <c r="H328" s="383" t="s">
        <v>2042</v>
      </c>
      <c r="I328" s="635">
        <v>5733201</v>
      </c>
      <c r="J328" s="383" t="str">
        <f>VLOOKUP(B328,TH.T3!B334:J592,9,FALSE)</f>
        <v>Nhân viên phòng Thanh tra GD - Quan hệ DN</v>
      </c>
      <c r="K328" s="484">
        <f t="shared" si="62"/>
        <v>4013240.6999999997</v>
      </c>
      <c r="L328" s="636" t="str">
        <f>VLOOKUP(B328,'[11]Gui chi Quynh'!$B$11:$E$400,4,FALSE)</f>
        <v>A3</v>
      </c>
      <c r="M328" s="484">
        <f t="shared" si="66"/>
        <v>4815889</v>
      </c>
      <c r="N328" s="636">
        <v>22</v>
      </c>
      <c r="O328" s="637">
        <f>IFERROR(INDEX('[12]CN HĐ'!$J$10:$J$72,MATCH(B328,'[12]CN HĐ'!$H$10:$H$72,0)),"")</f>
        <v>21</v>
      </c>
      <c r="P328" s="638" t="e">
        <f>IF(M328&gt;#REF!,M328,#REF!)</f>
        <v>#REF!</v>
      </c>
      <c r="Q328" s="484">
        <f t="shared" si="63"/>
        <v>4596985</v>
      </c>
      <c r="R328" s="639"/>
      <c r="S328" s="484">
        <v>0</v>
      </c>
      <c r="T328" s="640"/>
      <c r="U328" s="484">
        <v>0</v>
      </c>
      <c r="V328" s="679">
        <f t="shared" si="64"/>
        <v>57332.01</v>
      </c>
      <c r="W328" s="641">
        <f t="shared" si="65"/>
        <v>4596985</v>
      </c>
      <c r="X328" s="1016">
        <f t="shared" si="57"/>
        <v>2.5538805555555557</v>
      </c>
      <c r="Y328" s="1015">
        <v>1800000</v>
      </c>
      <c r="Z328" s="1012">
        <f t="shared" si="58"/>
        <v>4596985</v>
      </c>
      <c r="AA328" s="642">
        <f t="shared" si="60"/>
        <v>308</v>
      </c>
      <c r="AB328" s="643" t="str">
        <f>IFERROR(INDEX('[12]CN HĐ'!$M$10:$M$73,MATCH(B328,'[12]CN HĐ'!$H$10:$H$73,0)),"")</f>
        <v>Trừ 1 ngày nghỉ phép 16/4</v>
      </c>
      <c r="AC328" s="647"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6"/>
      <c r="F329" s="646"/>
      <c r="G329" s="646"/>
      <c r="H329" s="383" t="s">
        <v>2038</v>
      </c>
      <c r="I329" s="635">
        <v>5257980</v>
      </c>
      <c r="J329" s="383" t="str">
        <f>VLOOKUP(B329,TH.T3!B335:J593,9,FALSE)</f>
        <v>Nhân viên phòng Thanh tra GD - Quan hệ DN</v>
      </c>
      <c r="K329" s="484">
        <f t="shared" si="62"/>
        <v>3680585.9999999995</v>
      </c>
      <c r="L329" s="636" t="str">
        <f>VLOOKUP(B329,'[11]Gui chi Quynh'!$B$11:$E$400,4,FALSE)</f>
        <v>A3</v>
      </c>
      <c r="M329" s="484">
        <f t="shared" si="66"/>
        <v>4416703</v>
      </c>
      <c r="N329" s="636">
        <v>22</v>
      </c>
      <c r="O329" s="637">
        <f>IFERROR(INDEX('[12]CN HĐ'!$J$10:$J$72,MATCH(B329,'[12]CN HĐ'!$H$10:$H$72,0)),"")</f>
        <v>23</v>
      </c>
      <c r="P329" s="638"/>
      <c r="Q329" s="484">
        <f t="shared" si="63"/>
        <v>4416703</v>
      </c>
      <c r="R329" s="639"/>
      <c r="S329" s="484">
        <v>0</v>
      </c>
      <c r="T329" s="640"/>
      <c r="U329" s="484">
        <v>0</v>
      </c>
      <c r="V329" s="484">
        <f t="shared" si="64"/>
        <v>52579.8</v>
      </c>
      <c r="W329" s="641">
        <f t="shared" si="65"/>
        <v>4416703</v>
      </c>
      <c r="X329" s="1016">
        <f t="shared" si="57"/>
        <v>2.4537238888888888</v>
      </c>
      <c r="Y329" s="1015">
        <v>1800000</v>
      </c>
      <c r="Z329" s="1012">
        <f t="shared" si="58"/>
        <v>4416703</v>
      </c>
      <c r="AA329" s="642">
        <f t="shared" si="60"/>
        <v>309</v>
      </c>
      <c r="AB329" s="643">
        <f>IFERROR(INDEX('[12]CN HĐ'!$M$10:$M$73,MATCH(B329,'[12]CN HĐ'!$H$10:$H$73,0)),"")</f>
        <v>0</v>
      </c>
      <c r="AC329" s="695" t="s">
        <v>2225</v>
      </c>
    </row>
    <row r="330" spans="1:69" s="387" customFormat="1" ht="31.5" customHeight="1">
      <c r="A330" s="394">
        <f>_xlfn.AGGREGATE(4,7,A$20:A329)+1</f>
        <v>310</v>
      </c>
      <c r="B330" s="462" t="s">
        <v>2110</v>
      </c>
      <c r="C330" s="436" t="s">
        <v>2111</v>
      </c>
      <c r="D330" s="435" t="s">
        <v>2112</v>
      </c>
      <c r="E330" s="646">
        <v>1603205355935</v>
      </c>
      <c r="F330" s="646"/>
      <c r="G330" s="646"/>
      <c r="H330" s="383" t="s">
        <v>2038</v>
      </c>
      <c r="I330" s="635">
        <v>5520879</v>
      </c>
      <c r="J330" s="383" t="s">
        <v>2242</v>
      </c>
      <c r="K330" s="484">
        <f t="shared" si="62"/>
        <v>3864615.3</v>
      </c>
      <c r="L330" s="636" t="str">
        <f>VLOOKUP(B330,'[11]Gui chi Quynh'!$B$11:$E$400,4,FALSE)</f>
        <v>A3</v>
      </c>
      <c r="M330" s="484">
        <f t="shared" si="66"/>
        <v>4637538</v>
      </c>
      <c r="N330" s="636">
        <v>22</v>
      </c>
      <c r="O330" s="637">
        <f>IFERROR(INDEX('[12]CN HĐ'!$J$10:$J$72,MATCH(B330,'[12]CN HĐ'!$H$10:$H$72,0)),"")</f>
        <v>23</v>
      </c>
      <c r="P330" s="638" t="e">
        <f>IF(M330&gt;#REF!,M330,#REF!)</f>
        <v>#REF!</v>
      </c>
      <c r="Q330" s="484">
        <f t="shared" si="63"/>
        <v>4637538</v>
      </c>
      <c r="R330" s="639"/>
      <c r="S330" s="484">
        <v>0</v>
      </c>
      <c r="T330" s="640"/>
      <c r="U330" s="484">
        <v>0</v>
      </c>
      <c r="V330" s="484">
        <f t="shared" si="64"/>
        <v>55208.79</v>
      </c>
      <c r="W330" s="641">
        <f t="shared" si="65"/>
        <v>4637538</v>
      </c>
      <c r="X330" s="1016">
        <f t="shared" si="57"/>
        <v>2.5764100000000001</v>
      </c>
      <c r="Y330" s="1015">
        <v>1800000</v>
      </c>
      <c r="Z330" s="1012">
        <f t="shared" si="58"/>
        <v>4637538</v>
      </c>
      <c r="AA330" s="642">
        <f t="shared" si="60"/>
        <v>310</v>
      </c>
      <c r="AB330" s="643">
        <f>IFERROR(INDEX('[12]CN HĐ'!$M$10:$M$73,MATCH(B330,'[12]CN HĐ'!$H$10:$H$73,0)),"")</f>
        <v>0</v>
      </c>
      <c r="AC330" s="695" t="s">
        <v>2219</v>
      </c>
    </row>
    <row r="331" spans="1:69" s="387" customFormat="1" ht="31.5" customHeight="1">
      <c r="A331" s="33">
        <f>_xlfn.AGGREGATE(4,7,A$20:A330)+1</f>
        <v>311</v>
      </c>
      <c r="B331" s="462" t="s">
        <v>2113</v>
      </c>
      <c r="C331" s="436"/>
      <c r="D331" s="435"/>
      <c r="E331" s="634">
        <v>1603205639363</v>
      </c>
      <c r="F331" s="634"/>
      <c r="G331" s="634"/>
      <c r="H331" s="383" t="s">
        <v>2042</v>
      </c>
      <c r="I331" s="635">
        <v>5733201</v>
      </c>
      <c r="J331" s="383" t="str">
        <f>VLOOKUP(B331,TH.T3!B337:J595,9,FALSE)</f>
        <v>Nhân viên phòng Thanh tra GD - Quan hệ DN</v>
      </c>
      <c r="K331" s="484">
        <f t="shared" si="62"/>
        <v>4013240.6999999997</v>
      </c>
      <c r="L331" s="636" t="str">
        <f>VLOOKUP(B331,'[11]Gui chi Quynh'!$B$11:$E$400,4,FALSE)</f>
        <v>A3</v>
      </c>
      <c r="M331" s="484">
        <f t="shared" si="66"/>
        <v>4815889</v>
      </c>
      <c r="N331" s="636">
        <v>22</v>
      </c>
      <c r="O331" s="637">
        <f>IFERROR(INDEX('[12]CN HĐ'!$J$10:$J$72,MATCH(B331,'[12]CN HĐ'!$H$10:$H$72,0)),"")</f>
        <v>23</v>
      </c>
      <c r="P331" s="638" t="e">
        <f>IF(M331&gt;#REF!,M331,#REF!)</f>
        <v>#REF!</v>
      </c>
      <c r="Q331" s="484">
        <f t="shared" si="63"/>
        <v>4815889</v>
      </c>
      <c r="R331" s="639"/>
      <c r="S331" s="484">
        <v>0</v>
      </c>
      <c r="T331" s="640"/>
      <c r="U331" s="484">
        <v>0</v>
      </c>
      <c r="V331" s="679">
        <f t="shared" si="64"/>
        <v>57332.01</v>
      </c>
      <c r="W331" s="641">
        <f t="shared" si="65"/>
        <v>4815889</v>
      </c>
      <c r="X331" s="1016">
        <f t="shared" si="57"/>
        <v>2.6754938888888891</v>
      </c>
      <c r="Y331" s="1015">
        <v>1800000</v>
      </c>
      <c r="Z331" s="1012">
        <f t="shared" si="58"/>
        <v>4815889</v>
      </c>
      <c r="AA331" s="642">
        <f t="shared" si="60"/>
        <v>311</v>
      </c>
      <c r="AB331" s="643">
        <f>IFERROR(INDEX('[12]CN HĐ'!$M$10:$M$73,MATCH(B331,'[12]CN HĐ'!$H$10:$H$73,0)),"")</f>
        <v>0</v>
      </c>
      <c r="AC331" s="695" t="s">
        <v>2225</v>
      </c>
    </row>
    <row r="332" spans="1:69" s="387" customFormat="1" ht="39" customHeight="1">
      <c r="A332" s="33">
        <f>_xlfn.AGGREGATE(4,7,A$20:A331)+1</f>
        <v>312</v>
      </c>
      <c r="B332" s="462" t="s">
        <v>2114</v>
      </c>
      <c r="C332" s="436" t="s">
        <v>2115</v>
      </c>
      <c r="D332" s="435" t="s">
        <v>2116</v>
      </c>
      <c r="E332" s="634">
        <v>1603205324898</v>
      </c>
      <c r="F332" s="634"/>
      <c r="G332" s="634"/>
      <c r="H332" s="383" t="s">
        <v>2042</v>
      </c>
      <c r="I332" s="635">
        <v>7515057</v>
      </c>
      <c r="J332" s="383" t="str">
        <f>VLOOKUP(B332,TH.T3!B338:J596,9,FALSE)</f>
        <v>Nhân viên phòng KHCN &amp; HTQT</v>
      </c>
      <c r="K332" s="484">
        <f t="shared" si="62"/>
        <v>5260539.8999999994</v>
      </c>
      <c r="L332" s="636" t="str">
        <f>VLOOKUP(B332,'[11]Gui chi Quynh'!$B$11:$E$400,4,FALSE)</f>
        <v>A2</v>
      </c>
      <c r="M332" s="484">
        <f t="shared" si="66"/>
        <v>7364756</v>
      </c>
      <c r="N332" s="636">
        <v>22</v>
      </c>
      <c r="O332" s="637">
        <f>IFERROR(INDEX('[12]CN HĐ'!$J$10:$J$72,MATCH(B332,'[12]CN HĐ'!$H$10:$H$72,0)),"")</f>
        <v>22</v>
      </c>
      <c r="P332" s="638" t="e">
        <f>IF(M332&gt;#REF!,M332,#REF!)</f>
        <v>#REF!</v>
      </c>
      <c r="Q332" s="484">
        <f t="shared" si="63"/>
        <v>7364756</v>
      </c>
      <c r="R332" s="639"/>
      <c r="S332" s="484">
        <v>0</v>
      </c>
      <c r="T332" s="640"/>
      <c r="U332" s="484">
        <v>0</v>
      </c>
      <c r="V332" s="679">
        <f t="shared" si="64"/>
        <v>75150.570000000007</v>
      </c>
      <c r="W332" s="641">
        <f t="shared" si="65"/>
        <v>7364756</v>
      </c>
      <c r="X332" s="1016">
        <f t="shared" si="57"/>
        <v>4.0915311111111112</v>
      </c>
      <c r="Y332" s="1015">
        <v>1800000</v>
      </c>
      <c r="Z332" s="1012">
        <f t="shared" si="58"/>
        <v>7364756</v>
      </c>
      <c r="AA332" s="642">
        <f t="shared" si="60"/>
        <v>312</v>
      </c>
      <c r="AB332" s="643">
        <f>IFERROR(INDEX('[12]CN HĐ'!$M$10:$M$73,MATCH(B332,'[12]CN HĐ'!$H$10:$H$73,0)),"")</f>
        <v>0</v>
      </c>
      <c r="AC332" s="695" t="s">
        <v>2230</v>
      </c>
    </row>
    <row r="333" spans="1:69" s="387" customFormat="1" ht="33" customHeight="1">
      <c r="A333" s="33">
        <f>_xlfn.AGGREGATE(4,7,A$20:A332)+1</f>
        <v>313</v>
      </c>
      <c r="B333" s="462" t="s">
        <v>2117</v>
      </c>
      <c r="C333" s="436"/>
      <c r="D333" s="435"/>
      <c r="E333" s="644" t="s">
        <v>2118</v>
      </c>
      <c r="F333" s="644"/>
      <c r="G333" s="644"/>
      <c r="H333" s="383" t="s">
        <v>2042</v>
      </c>
      <c r="I333" s="635">
        <v>5733201</v>
      </c>
      <c r="J333" s="383" t="str">
        <f>VLOOKUP(B333,TH.T3!B339:J597,9,FALSE)</f>
        <v>Nhân viên phòng KHCN &amp; HTQT</v>
      </c>
      <c r="K333" s="484">
        <f t="shared" si="62"/>
        <v>4013240.6999999997</v>
      </c>
      <c r="L333" s="636" t="str">
        <f>VLOOKUP(B333,'[11]Gui chi Quynh'!$B$11:$E$400,4,FALSE)</f>
        <v>A3</v>
      </c>
      <c r="M333" s="484">
        <f t="shared" si="66"/>
        <v>4815889</v>
      </c>
      <c r="N333" s="636">
        <v>22</v>
      </c>
      <c r="O333" s="637">
        <f>IFERROR(INDEX('[12]CN HĐ'!$J$10:$J$72,MATCH(B333,'[12]CN HĐ'!$H$10:$H$72,0)),"")</f>
        <v>22</v>
      </c>
      <c r="P333" s="638" t="e">
        <f>IF(M333&gt;#REF!,M333,#REF!)</f>
        <v>#REF!</v>
      </c>
      <c r="Q333" s="484">
        <f t="shared" si="63"/>
        <v>4815889</v>
      </c>
      <c r="R333" s="639"/>
      <c r="S333" s="484">
        <v>0</v>
      </c>
      <c r="T333" s="640"/>
      <c r="U333" s="484">
        <v>0</v>
      </c>
      <c r="V333" s="679">
        <f t="shared" si="64"/>
        <v>57332.01</v>
      </c>
      <c r="W333" s="641">
        <f t="shared" si="65"/>
        <v>4815889</v>
      </c>
      <c r="X333" s="1016">
        <f t="shared" si="57"/>
        <v>2.6754938888888891</v>
      </c>
      <c r="Y333" s="1015">
        <v>1800000</v>
      </c>
      <c r="Z333" s="1012">
        <f t="shared" si="58"/>
        <v>4815889</v>
      </c>
      <c r="AA333" s="642">
        <f t="shared" si="60"/>
        <v>313</v>
      </c>
      <c r="AB333" s="643">
        <f>IFERROR(INDEX('[12]CN HĐ'!$M$10:$M$73,MATCH(B333,'[12]CN HĐ'!$H$10:$H$73,0)),"")</f>
        <v>0</v>
      </c>
      <c r="AC333" s="695"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4" t="s">
        <v>2122</v>
      </c>
      <c r="F334" s="634"/>
      <c r="G334" s="634"/>
      <c r="H334" s="86" t="s">
        <v>2042</v>
      </c>
      <c r="I334" s="635">
        <v>5733201</v>
      </c>
      <c r="J334" s="383" t="str">
        <f>VLOOKUP(B334,TH.T3!B340:J598,9,FALSE)</f>
        <v>Nhân viên phòng Thanh tra GD - Quan hệ DN</v>
      </c>
      <c r="K334" s="484">
        <f t="shared" si="62"/>
        <v>4013240.6999999997</v>
      </c>
      <c r="L334" s="636" t="str">
        <f>VLOOKUP(B334,'[11]Gui chi Quynh'!$B$11:$E$400,4,FALSE)</f>
        <v>A3</v>
      </c>
      <c r="M334" s="484">
        <f t="shared" si="66"/>
        <v>4815889</v>
      </c>
      <c r="N334" s="636">
        <v>22</v>
      </c>
      <c r="O334" s="637">
        <f>IFERROR(INDEX('[12]CN HĐ'!$J$10:$J$72,MATCH(B334,'[12]CN HĐ'!$H$10:$H$72,0)),"")</f>
        <v>22</v>
      </c>
      <c r="P334" s="638" t="e">
        <f>IF(M334&gt;#REF!,M334,#REF!)</f>
        <v>#REF!</v>
      </c>
      <c r="Q334" s="484">
        <f t="shared" si="63"/>
        <v>4815889</v>
      </c>
      <c r="R334" s="639"/>
      <c r="S334" s="484">
        <v>0</v>
      </c>
      <c r="T334" s="640"/>
      <c r="U334" s="484">
        <v>0</v>
      </c>
      <c r="V334" s="679">
        <f t="shared" si="64"/>
        <v>57332.01</v>
      </c>
      <c r="W334" s="641">
        <f t="shared" si="65"/>
        <v>4815889</v>
      </c>
      <c r="X334" s="1016">
        <f t="shared" si="57"/>
        <v>2.6754938888888891</v>
      </c>
      <c r="Y334" s="1015">
        <v>1800000</v>
      </c>
      <c r="Z334" s="1012">
        <f t="shared" si="58"/>
        <v>4815889</v>
      </c>
      <c r="AA334" s="642">
        <f t="shared" si="60"/>
        <v>314</v>
      </c>
      <c r="AB334" s="643">
        <f>IFERROR(INDEX('[12]CN HĐ'!$M$10:$M$73,MATCH(B334,'[12]CN HĐ'!$H$10:$H$73,0)),"")</f>
        <v>0</v>
      </c>
      <c r="AC334" s="647"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4">
        <v>1603205327079</v>
      </c>
      <c r="F335" s="634"/>
      <c r="G335" s="634"/>
      <c r="H335" s="383" t="s">
        <v>2038</v>
      </c>
      <c r="I335" s="635">
        <v>6391108</v>
      </c>
      <c r="J335" s="383" t="str">
        <f>VLOOKUP(B335,TH.T3!B341:J599,9,FALSE)</f>
        <v>Nhân viên phòng Thanh tra GD - Quan hệ DN</v>
      </c>
      <c r="K335" s="484">
        <f t="shared" si="62"/>
        <v>4473775.5999999996</v>
      </c>
      <c r="L335" s="636" t="str">
        <f>VLOOKUP(B335,'[11]Gui chi Quynh'!$B$11:$E$400,4,FALSE)</f>
        <v>A3</v>
      </c>
      <c r="M335" s="484">
        <f t="shared" si="66"/>
        <v>5368531</v>
      </c>
      <c r="N335" s="636">
        <v>22</v>
      </c>
      <c r="O335" s="637">
        <f>IFERROR(INDEX('[12]CN HĐ'!$J$10:$J$72,MATCH(B335,'[12]CN HĐ'!$H$10:$H$72,0)),"")</f>
        <v>21</v>
      </c>
      <c r="P335" s="638" t="e">
        <f>IF(M335&gt;#REF!,M335,#REF!)</f>
        <v>#REF!</v>
      </c>
      <c r="Q335" s="484">
        <f t="shared" si="63"/>
        <v>5124507</v>
      </c>
      <c r="R335" s="639"/>
      <c r="S335" s="484">
        <v>0</v>
      </c>
      <c r="T335" s="640"/>
      <c r="U335" s="484">
        <v>0</v>
      </c>
      <c r="V335" s="679">
        <f t="shared" si="64"/>
        <v>63911.08</v>
      </c>
      <c r="W335" s="641">
        <f t="shared" si="65"/>
        <v>5124507</v>
      </c>
      <c r="X335" s="1016">
        <f t="shared" si="57"/>
        <v>2.8469483333333332</v>
      </c>
      <c r="Y335" s="1015">
        <v>1800000</v>
      </c>
      <c r="Z335" s="1012">
        <f t="shared" si="58"/>
        <v>5124507</v>
      </c>
      <c r="AA335" s="642">
        <f t="shared" si="60"/>
        <v>315</v>
      </c>
      <c r="AB335" s="643" t="str">
        <f>IFERROR(INDEX('[12]CN HĐ'!$M$10:$M$73,MATCH(B335,'[12]CN HĐ'!$H$10:$H$73,0)),"")</f>
        <v>Trừ 1 ngày nghỉ phép 19/4</v>
      </c>
      <c r="AC335" s="695" t="s">
        <v>2225</v>
      </c>
    </row>
    <row r="336" spans="1:69" s="387" customFormat="1" ht="32.25" customHeight="1">
      <c r="A336" s="33">
        <f>_xlfn.AGGREGATE(4,7,A$20:A335)+1</f>
        <v>316</v>
      </c>
      <c r="B336" s="462" t="s">
        <v>2125</v>
      </c>
      <c r="C336" s="436" t="s">
        <v>1431</v>
      </c>
      <c r="D336" s="435" t="s">
        <v>2126</v>
      </c>
      <c r="E336" s="634" t="s">
        <v>2127</v>
      </c>
      <c r="F336" s="634"/>
      <c r="G336" s="634"/>
      <c r="H336" s="383" t="s">
        <v>2042</v>
      </c>
      <c r="I336" s="635">
        <v>6563942</v>
      </c>
      <c r="J336" s="383" t="str">
        <f>VLOOKUP(B336,TH.T3!B342:J600,9,FALSE)</f>
        <v>NV Phòng Tuyển sinh - Đào tạo</v>
      </c>
      <c r="K336" s="484">
        <f t="shared" si="62"/>
        <v>4594759.3999999994</v>
      </c>
      <c r="L336" s="636" t="str">
        <f>VLOOKUP(B336,'[11]Gui chi Quynh'!$B$11:$E$400,4,FALSE)</f>
        <v>A3</v>
      </c>
      <c r="M336" s="484">
        <f t="shared" si="66"/>
        <v>5513711</v>
      </c>
      <c r="N336" s="636">
        <v>22</v>
      </c>
      <c r="O336" s="637">
        <f>IFERROR(INDEX('[12]CN HĐ'!$J$10:$J$72,MATCH(B336,'[12]CN HĐ'!$H$10:$H$72,0)),"")</f>
        <v>23</v>
      </c>
      <c r="P336" s="638" t="e">
        <f>IF(M336&gt;#REF!,M336,#REF!)</f>
        <v>#REF!</v>
      </c>
      <c r="Q336" s="484">
        <f>ROUND(IF(O336&gt;=N336,M336,M336/N336*O336),)</f>
        <v>5513711</v>
      </c>
      <c r="R336" s="639"/>
      <c r="S336" s="484">
        <v>0</v>
      </c>
      <c r="T336" s="640"/>
      <c r="U336" s="484">
        <v>0</v>
      </c>
      <c r="V336" s="679">
        <f t="shared" si="64"/>
        <v>65639.42</v>
      </c>
      <c r="W336" s="641">
        <f t="shared" si="65"/>
        <v>5513711</v>
      </c>
      <c r="X336" s="1016">
        <f t="shared" si="57"/>
        <v>3.063172777777778</v>
      </c>
      <c r="Y336" s="1015">
        <v>1800000</v>
      </c>
      <c r="Z336" s="1012">
        <f t="shared" si="58"/>
        <v>5513711</v>
      </c>
      <c r="AA336" s="642">
        <f t="shared" si="60"/>
        <v>316</v>
      </c>
      <c r="AB336" s="643">
        <f>IFERROR(INDEX('[12]CN HĐ'!$M$10:$M$73,MATCH(B336,'[12]CN HĐ'!$H$10:$H$73,0)),"")</f>
        <v>0</v>
      </c>
      <c r="AC336" s="647"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4" t="s">
        <v>2130</v>
      </c>
      <c r="F337" s="634"/>
      <c r="G337" s="634"/>
      <c r="H337" s="383" t="s">
        <v>2042</v>
      </c>
      <c r="I337" s="635">
        <v>5733201</v>
      </c>
      <c r="J337" s="383" t="str">
        <f>VLOOKUP(B337,TH.T3!B343:J601,9,FALSE)</f>
        <v>NV phòng TS - Đào tạo</v>
      </c>
      <c r="K337" s="484">
        <f t="shared" si="62"/>
        <v>4013240.6999999997</v>
      </c>
      <c r="L337" s="636" t="str">
        <f>VLOOKUP(B337,'[11]Gui chi Quynh'!$B$11:$E$400,4,FALSE)</f>
        <v>A2</v>
      </c>
      <c r="M337" s="484">
        <f t="shared" si="66"/>
        <v>5618537</v>
      </c>
      <c r="N337" s="636">
        <v>22</v>
      </c>
      <c r="O337" s="637">
        <f>IFERROR(INDEX('[12]CN HĐ'!$J$10:$J$72,MATCH(B337,'[12]CN HĐ'!$H$10:$H$72,0)),"")</f>
        <v>24</v>
      </c>
      <c r="P337" s="638" t="e">
        <f>IF(M337&gt;#REF!,M337,#REF!)</f>
        <v>#REF!</v>
      </c>
      <c r="Q337" s="484">
        <f t="shared" si="63"/>
        <v>5618537</v>
      </c>
      <c r="R337" s="639"/>
      <c r="S337" s="484">
        <v>0</v>
      </c>
      <c r="T337" s="640"/>
      <c r="U337" s="484">
        <v>0</v>
      </c>
      <c r="V337" s="679">
        <f t="shared" si="64"/>
        <v>57332.01</v>
      </c>
      <c r="W337" s="641">
        <f t="shared" si="65"/>
        <v>5618537</v>
      </c>
      <c r="X337" s="1016">
        <f t="shared" si="57"/>
        <v>3.1214094444444442</v>
      </c>
      <c r="Y337" s="1015">
        <v>1800000</v>
      </c>
      <c r="Z337" s="1012">
        <f t="shared" si="58"/>
        <v>5618537</v>
      </c>
      <c r="AA337" s="642">
        <f t="shared" si="60"/>
        <v>317</v>
      </c>
      <c r="AB337" s="643">
        <f>IFERROR(INDEX('[12]CN HĐ'!$M$10:$M$73,MATCH(B337,'[12]CN HĐ'!$H$10:$H$73,0)),"")</f>
        <v>0</v>
      </c>
      <c r="AC337" s="647"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4" t="s">
        <v>2133</v>
      </c>
      <c r="F338" s="634"/>
      <c r="G338" s="634"/>
      <c r="H338" s="383" t="s">
        <v>2042</v>
      </c>
      <c r="I338" s="635">
        <v>7515057</v>
      </c>
      <c r="J338" s="383" t="str">
        <f>VLOOKUP(B338,TH.T3!B344:J602,9,FALSE)</f>
        <v>NV phòng TS - Đào tạo</v>
      </c>
      <c r="K338" s="484">
        <f t="shared" si="62"/>
        <v>5260539.8999999994</v>
      </c>
      <c r="L338" s="636" t="str">
        <f>VLOOKUP(B338,'[11]Gui chi Quynh'!$B$11:$E$400,4,FALSE)</f>
        <v>A2</v>
      </c>
      <c r="M338" s="484">
        <f t="shared" si="66"/>
        <v>7364756</v>
      </c>
      <c r="N338" s="636">
        <v>22</v>
      </c>
      <c r="O338" s="637">
        <f>IFERROR(INDEX('[12]CN HĐ'!$J$10:$J$72,MATCH(B338,'[12]CN HĐ'!$H$10:$H$72,0)),"")</f>
        <v>23</v>
      </c>
      <c r="P338" s="638" t="e">
        <f>IF(M338&gt;#REF!,M338,#REF!)</f>
        <v>#REF!</v>
      </c>
      <c r="Q338" s="484">
        <f t="shared" si="63"/>
        <v>7364756</v>
      </c>
      <c r="R338" s="639"/>
      <c r="S338" s="484">
        <v>0</v>
      </c>
      <c r="T338" s="640"/>
      <c r="U338" s="484">
        <v>0</v>
      </c>
      <c r="V338" s="679">
        <f t="shared" si="64"/>
        <v>75150.570000000007</v>
      </c>
      <c r="W338" s="641">
        <f t="shared" si="65"/>
        <v>7364756</v>
      </c>
      <c r="X338" s="1016">
        <f t="shared" si="57"/>
        <v>4.0915311111111112</v>
      </c>
      <c r="Y338" s="1015">
        <v>1800000</v>
      </c>
      <c r="Z338" s="1012">
        <f t="shared" si="58"/>
        <v>7364756</v>
      </c>
      <c r="AA338" s="642">
        <f t="shared" si="60"/>
        <v>318</v>
      </c>
      <c r="AB338" s="643">
        <f>IFERROR(INDEX('[12]CN HĐ'!$M$10:$M$73,MATCH(B338,'[12]CN HĐ'!$H$10:$H$73,0)),"")</f>
        <v>0</v>
      </c>
      <c r="AC338" s="647"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4" t="s">
        <v>2136</v>
      </c>
      <c r="F339" s="634"/>
      <c r="G339" s="634"/>
      <c r="H339" s="383" t="s">
        <v>2042</v>
      </c>
      <c r="I339" s="635">
        <v>8041111</v>
      </c>
      <c r="J339" s="383" t="str">
        <f>VLOOKUP(B339,TH.T3!B345:J603,9,FALSE)</f>
        <v>NV phòng TS - Đào tạo</v>
      </c>
      <c r="K339" s="484">
        <f t="shared" si="62"/>
        <v>5628777.6999999993</v>
      </c>
      <c r="L339" s="636" t="str">
        <f>VLOOKUP(B339,'[11]Gui chi Quynh'!$B$11:$E$400,4,FALSE)</f>
        <v>A1</v>
      </c>
      <c r="M339" s="484">
        <f t="shared" si="66"/>
        <v>9006044</v>
      </c>
      <c r="N339" s="636">
        <v>22</v>
      </c>
      <c r="O339" s="637">
        <f>IFERROR(INDEX('[12]CN HĐ'!$J$10:$J$72,MATCH(B339,'[12]CN HĐ'!$H$10:$H$72,0)),"")</f>
        <v>23</v>
      </c>
      <c r="P339" s="638" t="e">
        <f>IF(M339&gt;#REF!,M339,#REF!)</f>
        <v>#REF!</v>
      </c>
      <c r="Q339" s="484">
        <f t="shared" si="63"/>
        <v>9006044</v>
      </c>
      <c r="R339" s="639"/>
      <c r="S339" s="484">
        <v>0</v>
      </c>
      <c r="T339" s="640"/>
      <c r="U339" s="484">
        <v>0</v>
      </c>
      <c r="V339" s="679">
        <f t="shared" si="64"/>
        <v>80411.11</v>
      </c>
      <c r="W339" s="641">
        <f t="shared" si="65"/>
        <v>9006044</v>
      </c>
      <c r="X339" s="1016">
        <f t="shared" si="57"/>
        <v>5.0033577777777776</v>
      </c>
      <c r="Y339" s="1015">
        <v>1800000</v>
      </c>
      <c r="Z339" s="1012">
        <f t="shared" si="58"/>
        <v>9006044</v>
      </c>
      <c r="AA339" s="642">
        <f t="shared" si="60"/>
        <v>319</v>
      </c>
      <c r="AB339" s="643">
        <f>IFERROR(INDEX('[12]CN HĐ'!$M$10:$M$73,MATCH(B339,'[12]CN HĐ'!$H$10:$H$73,0)),"")</f>
        <v>0</v>
      </c>
      <c r="AC339" s="647"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4"/>
      <c r="F340" s="634"/>
      <c r="G340" s="634"/>
      <c r="H340" s="383" t="s">
        <v>2042</v>
      </c>
      <c r="I340" s="635">
        <f>5358132</f>
        <v>5358132</v>
      </c>
      <c r="J340" s="383" t="str">
        <f>VLOOKUP(B340,TH.T3!B346:J604,9,FALSE)</f>
        <v>NV phòng TS - Đào tạo</v>
      </c>
      <c r="K340" s="484">
        <f t="shared" si="62"/>
        <v>3750692.4</v>
      </c>
      <c r="L340" s="636" t="str">
        <f>VLOOKUP(B340,'[11]Gui chi Quynh'!$B$11:$E$400,4,FALSE)</f>
        <v>A3</v>
      </c>
      <c r="M340" s="484">
        <f t="shared" si="66"/>
        <v>4500831</v>
      </c>
      <c r="N340" s="636">
        <v>22</v>
      </c>
      <c r="O340" s="637">
        <f>IFERROR(INDEX('[12]CN HĐ'!$J$10:$J$72,MATCH(B340,'[12]CN HĐ'!$H$10:$H$72,0)),"")</f>
        <v>22</v>
      </c>
      <c r="P340" s="638"/>
      <c r="Q340" s="484">
        <f t="shared" si="63"/>
        <v>4500831</v>
      </c>
      <c r="R340" s="639"/>
      <c r="S340" s="484">
        <v>0</v>
      </c>
      <c r="T340" s="640"/>
      <c r="U340" s="484">
        <v>0</v>
      </c>
      <c r="V340" s="679">
        <f t="shared" si="64"/>
        <v>53581.32</v>
      </c>
      <c r="W340" s="641">
        <f t="shared" si="65"/>
        <v>4500831</v>
      </c>
      <c r="X340" s="1016">
        <f t="shared" si="57"/>
        <v>2.5004616666666668</v>
      </c>
      <c r="Y340" s="1015">
        <v>1800000</v>
      </c>
      <c r="Z340" s="1012">
        <f t="shared" si="58"/>
        <v>4500831</v>
      </c>
      <c r="AA340" s="642"/>
      <c r="AB340" s="643">
        <f>IFERROR(INDEX('[12]CN HĐ'!$M$10:$M$73,MATCH(B340,'[12]CN HĐ'!$H$10:$H$73,0)),"")</f>
        <v>0</v>
      </c>
      <c r="AC340" s="695" t="s">
        <v>2226</v>
      </c>
    </row>
    <row r="341" spans="1:52" s="387" customFormat="1" ht="39.75" customHeight="1">
      <c r="A341" s="394">
        <f>_xlfn.AGGREGATE(4,7,A$20:A340)+1</f>
        <v>321</v>
      </c>
      <c r="B341" s="462" t="s">
        <v>2138</v>
      </c>
      <c r="C341" s="436" t="s">
        <v>2139</v>
      </c>
      <c r="D341" s="435" t="s">
        <v>2140</v>
      </c>
      <c r="E341" s="667" t="s">
        <v>2141</v>
      </c>
      <c r="F341" s="667"/>
      <c r="G341" s="667"/>
      <c r="H341" s="383" t="s">
        <v>2031</v>
      </c>
      <c r="I341" s="635">
        <v>5417685</v>
      </c>
      <c r="J341" s="383" t="str">
        <f>VLOOKUP(B341,TH.T3!B347:J605,9,FALSE)</f>
        <v>NV TT Điều hành và QLDL</v>
      </c>
      <c r="K341" s="484">
        <f t="shared" si="62"/>
        <v>1625305.5</v>
      </c>
      <c r="L341" s="636" t="str">
        <f>VLOOKUP(B341,'[11]Gui chi Quynh'!$B$11:$E$400,4,FALSE)</f>
        <v>A3</v>
      </c>
      <c r="M341" s="484">
        <f t="shared" si="66"/>
        <v>1950367</v>
      </c>
      <c r="N341" s="636">
        <v>22</v>
      </c>
      <c r="O341" s="637">
        <f>IFERROR(INDEX('[12]CN HĐ'!$J$10:$J$72,MATCH(B341,'[12]CN HĐ'!$H$10:$H$72,0)),"")</f>
        <v>23</v>
      </c>
      <c r="P341" s="638" t="e">
        <f>IF(M341&gt;#REF!,M341,#REF!)</f>
        <v>#REF!</v>
      </c>
      <c r="Q341" s="484">
        <f t="shared" si="63"/>
        <v>1950367</v>
      </c>
      <c r="R341" s="639"/>
      <c r="S341" s="484">
        <v>0</v>
      </c>
      <c r="T341" s="640"/>
      <c r="U341" s="484">
        <v>0</v>
      </c>
      <c r="V341" s="679">
        <f t="shared" si="64"/>
        <v>54176.85</v>
      </c>
      <c r="W341" s="641">
        <f t="shared" si="65"/>
        <v>1950367</v>
      </c>
      <c r="X341" s="1016">
        <f t="shared" si="57"/>
        <v>1.0835372222222222</v>
      </c>
      <c r="Y341" s="1015">
        <v>1800000</v>
      </c>
      <c r="Z341" s="1012">
        <f t="shared" si="58"/>
        <v>1950366.9999999998</v>
      </c>
      <c r="AA341" s="642">
        <f t="shared" si="60"/>
        <v>321</v>
      </c>
      <c r="AB341" s="643">
        <f>IFERROR(INDEX('[12]CN HĐ'!$M$10:$M$73,MATCH(B341,'[12]CN HĐ'!$H$10:$H$73,0)),"")</f>
        <v>0</v>
      </c>
      <c r="AC341" s="695" t="s">
        <v>2228</v>
      </c>
    </row>
    <row r="342" spans="1:52" s="387" customFormat="1" ht="32.25" customHeight="1">
      <c r="A342" s="33">
        <f>_xlfn.AGGREGATE(4,7,A$20:A341)+1</f>
        <v>322</v>
      </c>
      <c r="B342" s="462" t="s">
        <v>2142</v>
      </c>
      <c r="C342" s="436"/>
      <c r="D342" s="435"/>
      <c r="E342" s="634"/>
      <c r="F342" s="634"/>
      <c r="G342" s="634"/>
      <c r="H342" s="383" t="s">
        <v>2038</v>
      </c>
      <c r="I342" s="635">
        <v>5007600</v>
      </c>
      <c r="J342" s="383" t="str">
        <f>VLOOKUP(B342,TH.T3!B348:J606,9,FALSE)</f>
        <v>NV TT Điều hành và QLDL</v>
      </c>
      <c r="K342" s="484">
        <f t="shared" si="62"/>
        <v>3505320</v>
      </c>
      <c r="L342" s="636" t="str">
        <f>VLOOKUP(B342,'[11]Gui chi Quynh'!$B$11:$E$400,4,FALSE)</f>
        <v>A1</v>
      </c>
      <c r="M342" s="484">
        <f t="shared" si="66"/>
        <v>5608512</v>
      </c>
      <c r="N342" s="636">
        <v>22</v>
      </c>
      <c r="O342" s="637">
        <f>IFERROR(INDEX('[12]CN HĐ'!$J$10:$J$72,MATCH(B342,'[12]CN HĐ'!$H$10:$H$72,0)),"")</f>
        <v>24</v>
      </c>
      <c r="P342" s="638"/>
      <c r="Q342" s="484">
        <f t="shared" si="63"/>
        <v>5608512</v>
      </c>
      <c r="R342" s="639"/>
      <c r="S342" s="484">
        <v>0</v>
      </c>
      <c r="T342" s="640"/>
      <c r="U342" s="484">
        <v>0</v>
      </c>
      <c r="V342" s="679">
        <f t="shared" si="64"/>
        <v>50076</v>
      </c>
      <c r="W342" s="641">
        <f t="shared" si="65"/>
        <v>5608512</v>
      </c>
      <c r="X342" s="1016">
        <f t="shared" ref="X342:X350" si="67">W342/Y342</f>
        <v>3.1158399999999999</v>
      </c>
      <c r="Y342" s="1015">
        <v>1800000</v>
      </c>
      <c r="Z342" s="1012">
        <f t="shared" ref="Z342:Z350" si="68">X342*Y342</f>
        <v>5608512</v>
      </c>
      <c r="AA342" s="642">
        <f t="shared" si="60"/>
        <v>322</v>
      </c>
      <c r="AB342" s="643">
        <f>IFERROR(INDEX('[12]CN HĐ'!$M$10:$M$73,MATCH(B342,'[12]CN HĐ'!$H$10:$H$73,0)),"")</f>
        <v>0</v>
      </c>
      <c r="AC342" s="695"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4"/>
      <c r="F343" s="634"/>
      <c r="G343" s="634"/>
      <c r="H343" s="383" t="s">
        <v>2038</v>
      </c>
      <c r="I343" s="635">
        <v>5007600</v>
      </c>
      <c r="J343" s="383" t="str">
        <f>VLOOKUP(B343,TH.T3!B349:J607,9,FALSE)</f>
        <v>NV TT Điều hành và QLDL</v>
      </c>
      <c r="K343" s="484">
        <f t="shared" si="62"/>
        <v>3505320</v>
      </c>
      <c r="L343" s="636" t="str">
        <f>VLOOKUP(B343,'[11]Gui chi Quynh'!$B$11:$E$400,4,FALSE)</f>
        <v>A3</v>
      </c>
      <c r="M343" s="484">
        <f t="shared" si="66"/>
        <v>4206384</v>
      </c>
      <c r="N343" s="636">
        <v>22</v>
      </c>
      <c r="O343" s="637">
        <f>IFERROR(INDEX('[12]CN HĐ'!$J$10:$J$72,MATCH(B343,'[12]CN HĐ'!$H$10:$H$72,0)),"")</f>
        <v>22</v>
      </c>
      <c r="P343" s="638"/>
      <c r="Q343" s="484">
        <f t="shared" si="63"/>
        <v>4206384</v>
      </c>
      <c r="R343" s="639"/>
      <c r="S343" s="484">
        <v>0</v>
      </c>
      <c r="T343" s="640"/>
      <c r="U343" s="484">
        <v>0</v>
      </c>
      <c r="V343" s="484">
        <f t="shared" si="64"/>
        <v>50076</v>
      </c>
      <c r="W343" s="641">
        <f t="shared" si="65"/>
        <v>4206384</v>
      </c>
      <c r="X343" s="1016">
        <f t="shared" si="67"/>
        <v>2.3368799999999998</v>
      </c>
      <c r="Y343" s="1015">
        <v>1800000</v>
      </c>
      <c r="Z343" s="1012">
        <f t="shared" si="68"/>
        <v>4206384</v>
      </c>
      <c r="AA343" s="642"/>
      <c r="AB343" s="643">
        <f>IFERROR(INDEX('[12]CN HĐ'!$M$10:$M$73,MATCH(B343,'[12]CN HĐ'!$H$10:$H$73,0)),"")</f>
        <v>0</v>
      </c>
      <c r="AC343" s="695" t="s">
        <v>2228</v>
      </c>
    </row>
    <row r="344" spans="1:52" s="387" customFormat="1" ht="30" customHeight="1">
      <c r="A344" s="33">
        <f>_xlfn.AGGREGATE(4,7,A$20:A343)+1</f>
        <v>324</v>
      </c>
      <c r="B344" s="462" t="s">
        <v>2144</v>
      </c>
      <c r="C344" s="436" t="s">
        <v>2145</v>
      </c>
      <c r="D344" s="435" t="s">
        <v>2146</v>
      </c>
      <c r="E344" s="634">
        <v>1603205351493</v>
      </c>
      <c r="F344" s="634"/>
      <c r="G344" s="634"/>
      <c r="H344" s="383" t="s">
        <v>2042</v>
      </c>
      <c r="I344" s="635">
        <v>7515057</v>
      </c>
      <c r="J344" s="383" t="str">
        <f>VLOOKUP(B344,TH.T3!B350:J608,9,FALSE)</f>
        <v>NV phòng Khảo thí và ĐBCL</v>
      </c>
      <c r="K344" s="484">
        <f t="shared" si="62"/>
        <v>5260539.8999999994</v>
      </c>
      <c r="L344" s="636" t="str">
        <f>VLOOKUP(B344,'[11]Gui chi Quynh'!$B$11:$E$400,4,FALSE)</f>
        <v>A3</v>
      </c>
      <c r="M344" s="484">
        <f t="shared" si="66"/>
        <v>6312648</v>
      </c>
      <c r="N344" s="636">
        <v>22</v>
      </c>
      <c r="O344" s="637">
        <f>IFERROR(INDEX('[12]CN HĐ'!$J$10:$J$72,MATCH(B344,'[12]CN HĐ'!$H$10:$H$72,0)),"")</f>
        <v>22</v>
      </c>
      <c r="P344" s="638" t="e">
        <f>IF(M344&gt;#REF!,M344,#REF!)</f>
        <v>#REF!</v>
      </c>
      <c r="Q344" s="484">
        <f t="shared" si="63"/>
        <v>6312648</v>
      </c>
      <c r="R344" s="639"/>
      <c r="S344" s="484">
        <v>0</v>
      </c>
      <c r="T344" s="640"/>
      <c r="U344" s="484">
        <v>0</v>
      </c>
      <c r="V344" s="679">
        <f t="shared" si="64"/>
        <v>75150.570000000007</v>
      </c>
      <c r="W344" s="641">
        <f t="shared" si="65"/>
        <v>6312648</v>
      </c>
      <c r="X344" s="1016">
        <f t="shared" si="67"/>
        <v>3.5070266666666665</v>
      </c>
      <c r="Y344" s="1015">
        <v>1800000</v>
      </c>
      <c r="Z344" s="1012">
        <f t="shared" si="68"/>
        <v>6312648</v>
      </c>
      <c r="AA344" s="642">
        <f t="shared" si="60"/>
        <v>324</v>
      </c>
      <c r="AB344" s="643">
        <f>IFERROR(INDEX('[12]CN HĐ'!$M$10:$M$73,MATCH(B344,'[12]CN HĐ'!$H$10:$H$73,0)),"")</f>
        <v>0</v>
      </c>
      <c r="AC344" s="1029"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5">
        <v>10540257</v>
      </c>
      <c r="J345" s="383" t="str">
        <f>VLOOKUP(B345,TH.T3!B351:J609,9,FALSE)</f>
        <v>Khoa Động lực</v>
      </c>
      <c r="K345" s="484">
        <f t="shared" si="62"/>
        <v>7378179.8999999994</v>
      </c>
      <c r="L345" s="636" t="str">
        <f>VLOOKUP(B345,'[11]Gui chi Quynh'!$B$11:$E$400,4,FALSE)</f>
        <v>A2</v>
      </c>
      <c r="M345" s="484">
        <f t="shared" si="66"/>
        <v>10329452</v>
      </c>
      <c r="N345" s="636">
        <v>22</v>
      </c>
      <c r="O345" s="637">
        <f>IFERROR(INDEX('[12]CN HĐ'!$J$10:$J$72,MATCH(B345,'[12]CN HĐ'!$H$10:$H$72,0)),"")</f>
        <v>22</v>
      </c>
      <c r="P345" s="638" t="e">
        <f>IF(M345&gt;#REF!,M345,#REF!)</f>
        <v>#REF!</v>
      </c>
      <c r="Q345" s="484">
        <f t="shared" si="63"/>
        <v>10329452</v>
      </c>
      <c r="R345" s="639"/>
      <c r="S345" s="484">
        <v>0</v>
      </c>
      <c r="T345" s="640"/>
      <c r="U345" s="484">
        <v>0</v>
      </c>
      <c r="V345" s="679">
        <f t="shared" si="64"/>
        <v>105402.57</v>
      </c>
      <c r="W345" s="641">
        <f t="shared" si="65"/>
        <v>10329452</v>
      </c>
      <c r="X345" s="1016">
        <f t="shared" si="67"/>
        <v>5.7385844444444443</v>
      </c>
      <c r="Y345" s="1015">
        <v>1800000</v>
      </c>
      <c r="Z345" s="1012">
        <f t="shared" si="68"/>
        <v>10329452</v>
      </c>
      <c r="AA345" s="642">
        <f t="shared" si="60"/>
        <v>325</v>
      </c>
      <c r="AB345" s="643">
        <f>IFERROR(INDEX('[12]CN HĐ'!$M$10:$M$73,MATCH(B345,'[12]CN HĐ'!$H$10:$H$73,0)),"")</f>
        <v>0</v>
      </c>
      <c r="AC345" s="647"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5">
        <v>6086769</v>
      </c>
      <c r="J346" s="383" t="str">
        <f>VLOOKUP(B346,TH.T3!B352:J610,9,FALSE)</f>
        <v>NV TT Đào tạo Lý Tự Trọng</v>
      </c>
      <c r="K346" s="484">
        <f t="shared" si="62"/>
        <v>4260738.3</v>
      </c>
      <c r="L346" s="636" t="str">
        <f>VLOOKUP(B346,'[11]Gui chi Quynh'!$B$11:$E$400,4,FALSE)</f>
        <v>A4</v>
      </c>
      <c r="M346" s="484">
        <f t="shared" si="66"/>
        <v>4260738</v>
      </c>
      <c r="N346" s="636">
        <v>22</v>
      </c>
      <c r="O346" s="637">
        <f>IFERROR(INDEX('[12]CN HĐ'!$J$10:$J$72,MATCH(B346,'[12]CN HĐ'!$H$10:$H$72,0)),"")</f>
        <v>22</v>
      </c>
      <c r="P346" s="638"/>
      <c r="Q346" s="484">
        <f t="shared" si="63"/>
        <v>4260738</v>
      </c>
      <c r="R346" s="639"/>
      <c r="S346" s="484">
        <v>0</v>
      </c>
      <c r="T346" s="640"/>
      <c r="U346" s="484">
        <v>0</v>
      </c>
      <c r="V346" s="679">
        <f t="shared" si="64"/>
        <v>60867.69</v>
      </c>
      <c r="W346" s="641">
        <f t="shared" si="65"/>
        <v>4260738</v>
      </c>
      <c r="X346" s="1016">
        <f t="shared" si="67"/>
        <v>2.3670766666666667</v>
      </c>
      <c r="Y346" s="1015">
        <v>1800000</v>
      </c>
      <c r="Z346" s="1012">
        <f t="shared" si="68"/>
        <v>4260738</v>
      </c>
      <c r="AA346" s="642">
        <f t="shared" si="60"/>
        <v>326</v>
      </c>
      <c r="AB346" s="643">
        <f>IFERROR(INDEX('[12]CN HĐ'!$M$10:$M$73,MATCH(B346,'[12]CN HĐ'!$H$10:$H$73,0)),"")</f>
        <v>0</v>
      </c>
      <c r="AC346" s="647"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7"/>
      <c r="F347" s="667"/>
      <c r="G347" s="667"/>
      <c r="H347" s="383" t="s">
        <v>2031</v>
      </c>
      <c r="I347" s="635">
        <v>4680000</v>
      </c>
      <c r="J347" s="383" t="str">
        <f>VLOOKUP(B347,TH.T3!B353:J611,9,FALSE)</f>
        <v>NV TT Đào tạo Lý Tự Trọng</v>
      </c>
      <c r="K347" s="484">
        <f t="shared" si="62"/>
        <v>1404000</v>
      </c>
      <c r="L347" s="636" t="str">
        <f>VLOOKUP(B347,'[11]Gui chi Quynh'!$B$11:$E$400,4,FALSE)</f>
        <v>A3</v>
      </c>
      <c r="M347" s="484">
        <f t="shared" si="66"/>
        <v>1684800</v>
      </c>
      <c r="N347" s="636">
        <v>22</v>
      </c>
      <c r="O347" s="637">
        <f>IFERROR(INDEX('[12]CN HĐ'!$J$10:$J$73,MATCH(B347,'[12]CN HĐ'!$H$10:$H$73,0)),"")</f>
        <v>25</v>
      </c>
      <c r="P347" s="638"/>
      <c r="Q347" s="484">
        <f t="shared" si="63"/>
        <v>1684800</v>
      </c>
      <c r="R347" s="639"/>
      <c r="S347" s="484">
        <v>0</v>
      </c>
      <c r="T347" s="640"/>
      <c r="U347" s="484">
        <v>0</v>
      </c>
      <c r="V347" s="679">
        <f t="shared" si="64"/>
        <v>46800</v>
      </c>
      <c r="W347" s="641">
        <f t="shared" si="65"/>
        <v>1684800</v>
      </c>
      <c r="X347" s="1016">
        <f t="shared" si="67"/>
        <v>0.93600000000000005</v>
      </c>
      <c r="Y347" s="1015">
        <v>1800000</v>
      </c>
      <c r="Z347" s="1012">
        <f t="shared" si="68"/>
        <v>1684800</v>
      </c>
      <c r="AA347" s="642">
        <f t="shared" si="60"/>
        <v>327</v>
      </c>
      <c r="AB347" s="643">
        <f>IFERROR(INDEX('[12]CN HĐ'!$M$10:$M$73,MATCH(B347,'[12]CN HĐ'!$H$10:$H$73,0)),"")</f>
        <v>0</v>
      </c>
      <c r="AC347" s="647" t="s">
        <v>2222</v>
      </c>
    </row>
    <row r="348" spans="1:52" s="387" customFormat="1" ht="27.75" customHeight="1">
      <c r="A348" s="33">
        <f>_xlfn.AGGREGATE(4,7,A$20:A347)+1</f>
        <v>328</v>
      </c>
      <c r="B348" s="462" t="s">
        <v>2152</v>
      </c>
      <c r="C348" s="436" t="s">
        <v>960</v>
      </c>
      <c r="D348" s="435" t="s">
        <v>2153</v>
      </c>
      <c r="E348" s="634" t="s">
        <v>2154</v>
      </c>
      <c r="F348" s="634"/>
      <c r="G348" s="634"/>
      <c r="H348" s="383" t="s">
        <v>2042</v>
      </c>
      <c r="I348" s="635">
        <v>6563942</v>
      </c>
      <c r="J348" s="383" t="str">
        <f>VLOOKUP(B348,TH.T3!B354:J612,9,FALSE)</f>
        <v xml:space="preserve">NV Thư viện  </v>
      </c>
      <c r="K348" s="484">
        <f t="shared" si="62"/>
        <v>4594759.3999999994</v>
      </c>
      <c r="L348" s="636" t="str">
        <f>VLOOKUP(B348,'[11]Gui chi Quynh'!$B$11:$E$400,4,FALSE)</f>
        <v>A3</v>
      </c>
      <c r="M348" s="484">
        <f t="shared" si="66"/>
        <v>5513711</v>
      </c>
      <c r="N348" s="636">
        <v>22</v>
      </c>
      <c r="O348" s="637">
        <f>IFERROR(INDEX('[12]CN HĐ'!$J$10:$J$72,MATCH(B348,'[12]CN HĐ'!$H$10:$H$72,0)),"")</f>
        <v>20</v>
      </c>
      <c r="P348" s="638" t="e">
        <f>IF(M348&gt;#REF!,M348,#REF!)</f>
        <v>#REF!</v>
      </c>
      <c r="Q348" s="484">
        <f t="shared" si="63"/>
        <v>5012465</v>
      </c>
      <c r="R348" s="639"/>
      <c r="S348" s="484">
        <v>0</v>
      </c>
      <c r="T348" s="640"/>
      <c r="U348" s="484">
        <v>0</v>
      </c>
      <c r="V348" s="679">
        <f t="shared" si="64"/>
        <v>65639.42</v>
      </c>
      <c r="W348" s="641">
        <f t="shared" si="65"/>
        <v>5012465</v>
      </c>
      <c r="X348" s="1016">
        <f t="shared" si="67"/>
        <v>2.784702777777778</v>
      </c>
      <c r="Y348" s="1015">
        <v>1800000</v>
      </c>
      <c r="Z348" s="1012">
        <f t="shared" si="68"/>
        <v>5012465</v>
      </c>
      <c r="AA348" s="642">
        <f t="shared" si="60"/>
        <v>328</v>
      </c>
      <c r="AB348" s="643" t="str">
        <f>IFERROR(INDEX('[12]CN HĐ'!$M$10:$M$73,MATCH(B348,'[12]CN HĐ'!$H$10:$H$73,0)),"")</f>
        <v>Trừ 2 ngày nghỉ phép 5+6/4</v>
      </c>
      <c r="AC348" s="647"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4"/>
      <c r="F349" s="634"/>
      <c r="G349" s="634"/>
      <c r="H349" s="383" t="s">
        <v>2038</v>
      </c>
      <c r="I349" s="635">
        <v>5520879</v>
      </c>
      <c r="J349" s="383" t="str">
        <f>VLOOKUP(B349,TH.T3!B355:J613,9,FALSE)</f>
        <v xml:space="preserve">NV Thư viện  </v>
      </c>
      <c r="K349" s="484">
        <f t="shared" si="62"/>
        <v>3864615.3</v>
      </c>
      <c r="L349" s="636" t="str">
        <f>VLOOKUP(B349,'[11]Gui chi Quynh'!$B$11:$E$400,4,FALSE)</f>
        <v>A3</v>
      </c>
      <c r="M349" s="484">
        <f t="shared" si="66"/>
        <v>4637538</v>
      </c>
      <c r="N349" s="636">
        <v>22</v>
      </c>
      <c r="O349" s="637">
        <f>IFERROR(INDEX('[12]CN HĐ'!$J$10:$J$72,MATCH(B349,'[12]CN HĐ'!$H$10:$H$72,0)),"")</f>
        <v>22</v>
      </c>
      <c r="P349" s="638" t="e">
        <f>IF(M349&gt;#REF!,M349,#REF!)</f>
        <v>#REF!</v>
      </c>
      <c r="Q349" s="484">
        <f t="shared" si="63"/>
        <v>4637538</v>
      </c>
      <c r="R349" s="639"/>
      <c r="S349" s="484">
        <v>0</v>
      </c>
      <c r="T349" s="640"/>
      <c r="U349" s="484">
        <v>0</v>
      </c>
      <c r="V349" s="679">
        <f t="shared" si="64"/>
        <v>55208.79</v>
      </c>
      <c r="W349" s="641">
        <f t="shared" si="65"/>
        <v>4637538</v>
      </c>
      <c r="X349" s="1016">
        <f t="shared" si="67"/>
        <v>2.5764100000000001</v>
      </c>
      <c r="Y349" s="1015">
        <v>1800000</v>
      </c>
      <c r="Z349" s="1012">
        <f t="shared" si="68"/>
        <v>4637538</v>
      </c>
      <c r="AA349" s="642">
        <f t="shared" ref="AA349:AA350" si="69">A349</f>
        <v>329</v>
      </c>
      <c r="AB349" s="643">
        <f>IFERROR(INDEX('[12]CN HĐ'!$M$10:$M$73,MATCH(B349,'[12]CN HĐ'!$H$10:$H$73,0)),"")</f>
        <v>0</v>
      </c>
      <c r="AC349" s="647"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8" t="s">
        <v>2158</v>
      </c>
      <c r="F350" s="669"/>
      <c r="G350" s="669"/>
      <c r="H350" s="86" t="s">
        <v>2042</v>
      </c>
      <c r="I350" s="635">
        <v>6563942</v>
      </c>
      <c r="J350" s="383" t="str">
        <f>VLOOKUP(B350,TH.T3!B356:J614,9,FALSE)</f>
        <v xml:space="preserve">NV Thư viện  </v>
      </c>
      <c r="K350" s="484">
        <f t="shared" si="62"/>
        <v>4594759.3999999994</v>
      </c>
      <c r="L350" s="636" t="str">
        <f>VLOOKUP(B350,'[11]Gui chi Quynh'!$B$11:$E$400,4,FALSE)</f>
        <v>A3</v>
      </c>
      <c r="M350" s="484">
        <f t="shared" si="66"/>
        <v>5513711</v>
      </c>
      <c r="N350" s="636">
        <v>22</v>
      </c>
      <c r="O350" s="637">
        <f>IFERROR(INDEX('[12]CN HĐ'!$J$10:$J$72,MATCH(B350,'[12]CN HĐ'!$H$10:$H$72,0)),"")</f>
        <v>22</v>
      </c>
      <c r="P350" s="638" t="e">
        <f>IF(M350&gt;#REF!,M350,#REF!)</f>
        <v>#REF!</v>
      </c>
      <c r="Q350" s="484">
        <f t="shared" si="63"/>
        <v>5513711</v>
      </c>
      <c r="R350" s="639"/>
      <c r="S350" s="484">
        <v>0</v>
      </c>
      <c r="T350" s="640"/>
      <c r="U350" s="484">
        <v>0</v>
      </c>
      <c r="V350" s="679">
        <f t="shared" si="64"/>
        <v>65639.42</v>
      </c>
      <c r="W350" s="641">
        <f t="shared" si="65"/>
        <v>5513711</v>
      </c>
      <c r="X350" s="1016">
        <f t="shared" si="67"/>
        <v>3.063172777777778</v>
      </c>
      <c r="Y350" s="1015">
        <v>1800000</v>
      </c>
      <c r="Z350" s="1012">
        <f t="shared" si="68"/>
        <v>5513711</v>
      </c>
      <c r="AA350" s="642">
        <f t="shared" si="69"/>
        <v>330</v>
      </c>
      <c r="AB350" s="643">
        <f>IFERROR(INDEX('[12]CN HĐ'!$M$10:$M$73,MATCH(B350,'[12]CN HĐ'!$H$10:$H$73,0)),"")</f>
        <v>0</v>
      </c>
      <c r="AC350" s="647"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3"/>
      <c r="B351" s="1022"/>
      <c r="C351" s="964"/>
      <c r="D351" s="965"/>
      <c r="E351" s="966"/>
      <c r="F351" s="967"/>
      <c r="G351" s="967"/>
      <c r="H351" s="968"/>
      <c r="I351" s="969"/>
      <c r="J351" s="767"/>
      <c r="K351" s="970"/>
      <c r="L351" s="971"/>
      <c r="M351" s="970"/>
      <c r="N351" s="971"/>
      <c r="O351" s="971"/>
      <c r="P351" s="972"/>
      <c r="Q351" s="970"/>
      <c r="R351" s="973"/>
      <c r="S351" s="970"/>
      <c r="T351" s="974"/>
      <c r="U351" s="970"/>
      <c r="V351" s="975"/>
      <c r="W351" s="976"/>
      <c r="X351" s="1023"/>
      <c r="Y351" s="1024"/>
      <c r="Z351" s="1025"/>
      <c r="AA351" s="977"/>
      <c r="AB351" s="978"/>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5">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4"/>
      <c r="N354" s="17"/>
      <c r="O354" s="1004"/>
      <c r="P354" s="1004"/>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4"/>
      <c r="N355" s="17"/>
      <c r="O355" s="1004"/>
      <c r="P355" s="1004"/>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680" t="s">
        <v>2215</v>
      </c>
      <c r="V356" s="1680"/>
      <c r="W356" s="1680"/>
      <c r="X356" s="1680"/>
      <c r="Y356" s="1680"/>
      <c r="Z356" s="1680"/>
      <c r="AA356" s="1680"/>
      <c r="AB356" s="1680"/>
      <c r="AC356" s="782"/>
      <c r="AD356" s="227"/>
      <c r="AE356" s="513"/>
      <c r="AF356" s="2"/>
      <c r="AG356" s="157"/>
    </row>
    <row r="357" spans="1:33" s="16" customFormat="1">
      <c r="A357" s="1678" t="s">
        <v>859</v>
      </c>
      <c r="B357" s="1678"/>
      <c r="C357" s="19"/>
      <c r="D357" s="19"/>
      <c r="E357" s="19"/>
      <c r="F357" s="19"/>
      <c r="G357" s="19"/>
      <c r="H357" s="19"/>
      <c r="I357" s="19"/>
      <c r="J357" s="1678" t="s">
        <v>1191</v>
      </c>
      <c r="K357" s="1678"/>
      <c r="L357" s="1678"/>
      <c r="M357" s="1678"/>
      <c r="N357" s="1678"/>
      <c r="O357" s="1678"/>
      <c r="P357" s="1678"/>
      <c r="Q357" s="1678"/>
      <c r="R357" s="1678"/>
      <c r="S357" s="1678"/>
      <c r="T357" s="1678"/>
      <c r="U357" s="1678"/>
      <c r="V357" s="1678"/>
      <c r="W357" s="1678"/>
      <c r="X357" s="1678"/>
      <c r="Y357" s="1678"/>
      <c r="Z357" s="1678" t="s">
        <v>41</v>
      </c>
      <c r="AA357" s="1678"/>
      <c r="AB357" s="1678"/>
      <c r="AC357" s="19"/>
      <c r="AD357" s="111"/>
      <c r="AE357" s="514"/>
      <c r="AG357" s="158"/>
    </row>
    <row r="358" spans="1:33" s="16" customFormat="1" ht="13.5" customHeight="1">
      <c r="A358" s="996"/>
      <c r="B358" s="996"/>
      <c r="C358" s="19"/>
      <c r="D358" s="19"/>
      <c r="E358" s="19"/>
      <c r="F358" s="19"/>
      <c r="G358" s="19"/>
      <c r="H358" s="19"/>
      <c r="I358" s="996"/>
      <c r="J358" s="996"/>
      <c r="K358" s="235"/>
      <c r="L358" s="366"/>
      <c r="M358" s="676"/>
      <c r="N358" s="14"/>
      <c r="O358" s="996"/>
      <c r="P358" s="19"/>
      <c r="Q358" s="996"/>
      <c r="R358" s="475"/>
      <c r="S358" s="996"/>
      <c r="T358" s="403"/>
      <c r="V358" s="615"/>
      <c r="W358" s="615"/>
      <c r="X358" s="996"/>
      <c r="Y358" s="996"/>
      <c r="Z358" s="996"/>
      <c r="AA358" s="996"/>
      <c r="AC358" s="103"/>
      <c r="AD358" s="111"/>
      <c r="AE358" s="514"/>
      <c r="AG358" s="158"/>
    </row>
    <row r="359" spans="1:33" s="16" customFormat="1" ht="10.5" customHeight="1">
      <c r="A359" s="996"/>
      <c r="B359" s="1115"/>
      <c r="C359" s="1115"/>
      <c r="D359" s="1115"/>
      <c r="E359" s="1115"/>
      <c r="F359" s="1115"/>
      <c r="G359" s="1115"/>
      <c r="H359" s="1115"/>
      <c r="I359" s="1115"/>
      <c r="J359" s="1115"/>
      <c r="K359" s="1115"/>
      <c r="L359" s="1115"/>
      <c r="M359" s="1115"/>
      <c r="N359" s="1115"/>
      <c r="O359" s="1115"/>
      <c r="P359" s="1115"/>
      <c r="Q359" s="1115"/>
      <c r="R359" s="1115"/>
      <c r="S359" s="1115"/>
      <c r="T359" s="1115"/>
      <c r="U359" s="1115"/>
      <c r="V359" s="1115"/>
      <c r="W359" s="1115"/>
      <c r="X359" s="1115"/>
      <c r="Y359" s="996"/>
      <c r="Z359" s="996"/>
      <c r="AA359" s="996"/>
      <c r="AC359" s="103"/>
      <c r="AD359" s="111"/>
      <c r="AE359" s="514"/>
      <c r="AG359" s="158"/>
    </row>
    <row r="360" spans="1:33" s="16" customFormat="1" ht="13.5" customHeight="1">
      <c r="G360" s="1005"/>
      <c r="H360" s="1004"/>
      <c r="K360" s="235"/>
      <c r="L360" s="372"/>
      <c r="M360" s="681">
        <f>COUNTIF($M$24:$M$290,"A2")</f>
        <v>50</v>
      </c>
      <c r="N360" s="996"/>
      <c r="O360" s="996"/>
      <c r="P360" s="1004"/>
      <c r="Q360" s="1004"/>
      <c r="R360" s="476"/>
      <c r="S360" s="1004"/>
      <c r="T360" s="404"/>
      <c r="U360" s="1004"/>
      <c r="V360" s="616"/>
      <c r="W360" s="616"/>
      <c r="X360" s="1004"/>
      <c r="Y360" s="1004"/>
      <c r="Z360" s="1004"/>
      <c r="AA360" s="1004"/>
      <c r="AC360" s="101"/>
      <c r="AD360" s="111"/>
      <c r="AE360" s="514"/>
      <c r="AG360" s="158"/>
    </row>
    <row r="361" spans="1:33"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21"/>
      <c r="Z361" s="1021"/>
      <c r="AA361" s="1021"/>
      <c r="AB361" s="1021"/>
      <c r="AC361" s="1021"/>
      <c r="AD361" s="111"/>
      <c r="AE361" s="514"/>
      <c r="AG361" s="158"/>
    </row>
    <row r="362" spans="1:33" s="16" customFormat="1" ht="13.5" customHeight="1">
      <c r="G362" s="1005"/>
      <c r="H362" s="1004"/>
      <c r="K362" s="235"/>
      <c r="L362" s="372"/>
      <c r="M362" s="681">
        <f>COUNTIF($M$24:$M$290,"A4")</f>
        <v>59</v>
      </c>
      <c r="N362" s="996"/>
      <c r="O362" s="996"/>
      <c r="P362" s="1004"/>
      <c r="Q362" s="49"/>
      <c r="R362" s="476"/>
      <c r="S362" s="1004"/>
      <c r="T362" s="404"/>
      <c r="U362" s="1004"/>
      <c r="V362" s="616"/>
      <c r="W362" s="616"/>
      <c r="X362" s="49"/>
      <c r="Y362" s="49"/>
      <c r="Z362" s="49"/>
      <c r="AA362" s="49"/>
      <c r="AC362" s="101"/>
      <c r="AD362" s="111"/>
      <c r="AE362" s="514"/>
      <c r="AG362" s="158"/>
    </row>
    <row r="363" spans="1:33" s="16" customFormat="1" ht="13.5" customHeight="1">
      <c r="G363" s="1005"/>
      <c r="H363" s="1004"/>
      <c r="I363" s="1004"/>
      <c r="J363" s="1004"/>
      <c r="K363" s="998"/>
      <c r="L363" s="367"/>
      <c r="M363" s="681"/>
      <c r="N363" s="996"/>
      <c r="O363" s="1004"/>
      <c r="P363" s="1004"/>
      <c r="Q363" s="1004"/>
      <c r="R363" s="476"/>
      <c r="S363" s="1004"/>
      <c r="T363" s="404"/>
      <c r="U363" s="1004"/>
      <c r="V363" s="616"/>
      <c r="W363" s="616"/>
      <c r="X363" s="1004"/>
      <c r="Y363" s="1004"/>
      <c r="Z363" s="1004"/>
      <c r="AA363" s="1004"/>
      <c r="AC363" s="466"/>
      <c r="AD363" s="111"/>
      <c r="AE363" s="514"/>
      <c r="AG363" s="158"/>
    </row>
    <row r="364" spans="1:33" s="16" customFormat="1" ht="13.5" customHeight="1">
      <c r="G364" s="1698"/>
      <c r="H364" s="1698"/>
      <c r="I364" s="1004"/>
      <c r="J364" s="1004"/>
      <c r="K364" s="998"/>
      <c r="L364" s="367"/>
      <c r="M364" s="676"/>
      <c r="N364" s="996"/>
      <c r="O364" s="1004"/>
      <c r="P364" s="1004"/>
      <c r="Q364" s="1004"/>
      <c r="R364" s="476"/>
      <c r="S364" s="1004"/>
      <c r="T364" s="404"/>
      <c r="U364" s="1004"/>
      <c r="V364" s="616"/>
      <c r="W364" s="616"/>
      <c r="X364" s="1004"/>
      <c r="Y364" s="1004"/>
      <c r="Z364" s="1004"/>
      <c r="AA364" s="1004"/>
      <c r="AC364" s="101"/>
      <c r="AD364" s="111"/>
      <c r="AE364" s="514"/>
      <c r="AG364" s="158"/>
    </row>
    <row r="365" spans="1:33" s="16" customFormat="1">
      <c r="A365" s="1678" t="s">
        <v>1827</v>
      </c>
      <c r="B365" s="1678"/>
      <c r="C365" s="19"/>
      <c r="D365" s="19"/>
      <c r="E365" s="19"/>
      <c r="F365" s="19"/>
      <c r="G365" s="19"/>
      <c r="H365" s="19"/>
      <c r="I365" s="19"/>
      <c r="J365" s="1678" t="s">
        <v>1445</v>
      </c>
      <c r="K365" s="1678"/>
      <c r="L365" s="1678"/>
      <c r="M365" s="1678"/>
      <c r="N365" s="1678"/>
      <c r="O365" s="1678"/>
      <c r="P365" s="1678"/>
      <c r="Q365" s="1678"/>
      <c r="R365" s="1678"/>
      <c r="S365" s="1678"/>
      <c r="T365" s="1678"/>
      <c r="U365" s="1678"/>
      <c r="V365" s="1678"/>
      <c r="W365" s="1678"/>
      <c r="X365" s="1678"/>
      <c r="Y365" s="1678"/>
      <c r="Z365" s="1678" t="s">
        <v>1433</v>
      </c>
      <c r="AA365" s="1678"/>
      <c r="AB365" s="1678"/>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554" priority="291" stopIfTrue="1" operator="equal">
      <formula>"KXL"</formula>
    </cfRule>
    <cfRule type="cellIs" dxfId="1553" priority="292" stopIfTrue="1" operator="equal">
      <formula>"A DN"</formula>
    </cfRule>
    <cfRule type="cellIs" dxfId="1552" priority="293" stopIfTrue="1" operator="equal">
      <formula>"C"</formula>
    </cfRule>
    <cfRule type="cellIs" dxfId="1551" priority="294" stopIfTrue="1" operator="equal">
      <formula>"B"</formula>
    </cfRule>
  </conditionalFormatting>
  <conditionalFormatting sqref="B279:C279 R279 T279">
    <cfRule type="cellIs" dxfId="1550" priority="287" stopIfTrue="1" operator="equal">
      <formula>"KXL"</formula>
    </cfRule>
    <cfRule type="cellIs" dxfId="1549" priority="288" stopIfTrue="1" operator="equal">
      <formula>"A DN"</formula>
    </cfRule>
    <cfRule type="cellIs" dxfId="1548" priority="289" stopIfTrue="1" operator="equal">
      <formula>"C"</formula>
    </cfRule>
    <cfRule type="cellIs" dxfId="1547" priority="290" stopIfTrue="1" operator="equal">
      <formula>"B"</formula>
    </cfRule>
  </conditionalFormatting>
  <conditionalFormatting sqref="B59:C59 R59 T59 F59:G59 AD59:IY59 AD72:IY72 AC124:IY124 I59 AC125:AC158">
    <cfRule type="cellIs" dxfId="1546" priority="284" stopIfTrue="1" operator="equal">
      <formula>"C"</formula>
    </cfRule>
    <cfRule type="cellIs" dxfId="1545" priority="285" stopIfTrue="1" operator="equal">
      <formula>"B"</formula>
    </cfRule>
    <cfRule type="cellIs" dxfId="1544" priority="286" stopIfTrue="1" operator="equal">
      <formula>"A DN"</formula>
    </cfRule>
  </conditionalFormatting>
  <conditionalFormatting sqref="R72 B72:C72 T72 F72:G72 I72">
    <cfRule type="cellIs" dxfId="1543" priority="281" stopIfTrue="1" operator="equal">
      <formula>"C"</formula>
    </cfRule>
    <cfRule type="cellIs" dxfId="1542" priority="282" stopIfTrue="1" operator="equal">
      <formula>"B"</formula>
    </cfRule>
    <cfRule type="cellIs" dxfId="1541" priority="283" stopIfTrue="1" operator="equal">
      <formula>"A DN"</formula>
    </cfRule>
  </conditionalFormatting>
  <conditionalFormatting sqref="B124:C124 F124:G124 R124 T124 I124">
    <cfRule type="cellIs" dxfId="1540" priority="278" stopIfTrue="1" operator="equal">
      <formula>"C"</formula>
    </cfRule>
    <cfRule type="cellIs" dxfId="1539" priority="279" stopIfTrue="1" operator="equal">
      <formula>"B"</formula>
    </cfRule>
    <cfRule type="cellIs" dxfId="1538" priority="280" stopIfTrue="1" operator="equal">
      <formula>"A DN"</formula>
    </cfRule>
  </conditionalFormatting>
  <conditionalFormatting sqref="E124">
    <cfRule type="cellIs" dxfId="1537" priority="274" stopIfTrue="1" operator="equal">
      <formula>"KXL"</formula>
    </cfRule>
    <cfRule type="cellIs" dxfId="1536" priority="275" stopIfTrue="1" operator="equal">
      <formula>"A DN"</formula>
    </cfRule>
    <cfRule type="cellIs" dxfId="1535" priority="276" stopIfTrue="1" operator="equal">
      <formula>"C"</formula>
    </cfRule>
    <cfRule type="cellIs" dxfId="1534" priority="277" stopIfTrue="1" operator="equal">
      <formula>"B"</formula>
    </cfRule>
  </conditionalFormatting>
  <conditionalFormatting sqref="D26:G26 I26 R26 T26">
    <cfRule type="cellIs" dxfId="1533" priority="270" stopIfTrue="1" operator="equal">
      <formula>"KXL"</formula>
    </cfRule>
    <cfRule type="cellIs" dxfId="1532" priority="271" stopIfTrue="1" operator="equal">
      <formula>"A DN"</formula>
    </cfRule>
    <cfRule type="cellIs" dxfId="1531" priority="272" stopIfTrue="1" operator="equal">
      <formula>"C"</formula>
    </cfRule>
    <cfRule type="cellIs" dxfId="1530" priority="273" stopIfTrue="1" operator="equal">
      <formula>"B"</formula>
    </cfRule>
  </conditionalFormatting>
  <conditionalFormatting sqref="D45:G45 R45:R46 I45:I46 T45:T46 D46 F46:G46">
    <cfRule type="cellIs" dxfId="1529" priority="262" stopIfTrue="1" operator="equal">
      <formula>"KXL"</formula>
    </cfRule>
    <cfRule type="cellIs" dxfId="1528" priority="263" stopIfTrue="1" operator="equal">
      <formula>"A DN"</formula>
    </cfRule>
    <cfRule type="cellIs" dxfId="1527" priority="264" stopIfTrue="1" operator="equal">
      <formula>"C"</formula>
    </cfRule>
    <cfRule type="cellIs" dxfId="1526" priority="265" stopIfTrue="1" operator="equal">
      <formula>"B"</formula>
    </cfRule>
  </conditionalFormatting>
  <conditionalFormatting sqref="M103:M287 M28:M35 M47:M90">
    <cfRule type="expression" dxfId="1525" priority="259" stopIfTrue="1">
      <formula>"if=B1"</formula>
    </cfRule>
    <cfRule type="expression" dxfId="1524" priority="260" stopIfTrue="1">
      <formula>$B17</formula>
    </cfRule>
    <cfRule type="expression" dxfId="1523" priority="261" stopIfTrue="1">
      <formula>B17</formula>
    </cfRule>
  </conditionalFormatting>
  <conditionalFormatting sqref="V92 AA92 Q92:S92 L92:L94">
    <cfRule type="cellIs" dxfId="1522" priority="255" stopIfTrue="1" operator="equal">
      <formula>"KXL"</formula>
    </cfRule>
    <cfRule type="cellIs" dxfId="1521" priority="256" stopIfTrue="1" operator="equal">
      <formula>"A DN"</formula>
    </cfRule>
    <cfRule type="cellIs" dxfId="1520" priority="257" stopIfTrue="1" operator="equal">
      <formula>"C"</formula>
    </cfRule>
    <cfRule type="cellIs" dxfId="1519" priority="258" stopIfTrue="1" operator="equal">
      <formula>"B"</formula>
    </cfRule>
  </conditionalFormatting>
  <conditionalFormatting sqref="AD92:IY92 D92:I92 T92:U92 K92">
    <cfRule type="cellIs" dxfId="1518" priority="251" stopIfTrue="1" operator="equal">
      <formula>"KXL"</formula>
    </cfRule>
    <cfRule type="cellIs" dxfId="1517" priority="252" stopIfTrue="1" operator="equal">
      <formula>"A DN"</formula>
    </cfRule>
    <cfRule type="cellIs" dxfId="1516" priority="253" stopIfTrue="1" operator="equal">
      <formula>"C"</formula>
    </cfRule>
    <cfRule type="cellIs" dxfId="1515" priority="254" stopIfTrue="1" operator="equal">
      <formula>"B"</formula>
    </cfRule>
  </conditionalFormatting>
  <conditionalFormatting sqref="M174:M183 M36:M45">
    <cfRule type="expression" dxfId="1514" priority="298" stopIfTrue="1">
      <formula>"if=B1"</formula>
    </cfRule>
    <cfRule type="expression" dxfId="1513" priority="299" stopIfTrue="1">
      <formula>$B26</formula>
    </cfRule>
    <cfRule type="expression" dxfId="1512" priority="300" stopIfTrue="1">
      <formula>B26</formula>
    </cfRule>
  </conditionalFormatting>
  <conditionalFormatting sqref="M174:M287">
    <cfRule type="cellIs" dxfId="1511" priority="301" stopIfTrue="1" operator="equal">
      <formula>"C2"</formula>
    </cfRule>
    <cfRule type="cellIs" dxfId="1510" priority="302" stopIfTrue="1" operator="equal">
      <formula>"C1"</formula>
    </cfRule>
    <cfRule type="cellIs" dxfId="1509" priority="303" stopIfTrue="1" operator="equal">
      <formula>"C2"</formula>
    </cfRule>
    <cfRule type="cellIs" dxfId="1508" priority="304" stopIfTrue="1" operator="equal">
      <formula>"D"</formula>
    </cfRule>
    <cfRule type="cellIs" dxfId="1507" priority="305" stopIfTrue="1" operator="equal">
      <formula>"E"</formula>
    </cfRule>
    <cfRule type="cellIs" dxfId="1506" priority="306" stopIfTrue="1" operator="equal">
      <formula>"A DN"</formula>
    </cfRule>
    <cfRule type="cellIs" dxfId="1505" priority="307" stopIfTrue="1" operator="equal">
      <formula>"A DN"</formula>
    </cfRule>
    <cfRule type="cellIs" dxfId="1504" priority="308" stopIfTrue="1" operator="equal">
      <formula>"E"</formula>
    </cfRule>
    <cfRule type="cellIs" dxfId="1503" priority="309" stopIfTrue="1" operator="equal">
      <formula>"D"</formula>
    </cfRule>
    <cfRule type="cellIs" dxfId="1502" priority="310" stopIfTrue="1" operator="equal">
      <formula>"D1"</formula>
    </cfRule>
    <cfRule type="cellIs" dxfId="1501" priority="311" stopIfTrue="1" operator="equal">
      <formula>"C2"</formula>
    </cfRule>
    <cfRule type="cellIs" dxfId="1500" priority="312" stopIfTrue="1" operator="equal">
      <formula>"C1"</formula>
    </cfRule>
    <cfRule type="cellIs" dxfId="1499" priority="313" stopIfTrue="1" operator="equal">
      <formula>"B2"</formula>
    </cfRule>
    <cfRule type="cellIs" dxfId="1498" priority="314" stopIfTrue="1" operator="equal">
      <formula>"B1"</formula>
    </cfRule>
    <cfRule type="expression" dxfId="1497" priority="315" stopIfTrue="1">
      <formula>B164</formula>
    </cfRule>
    <cfRule type="cellIs" dxfId="1496" priority="316" stopIfTrue="1" operator="equal">
      <formula>"D"</formula>
    </cfRule>
  </conditionalFormatting>
  <conditionalFormatting sqref="M174:M287">
    <cfRule type="cellIs" dxfId="1495" priority="317" stopIfTrue="1" operator="equal">
      <formula>"B1"</formula>
    </cfRule>
    <cfRule type="expression" dxfId="1494" priority="318" stopIfTrue="1">
      <formula>B164</formula>
    </cfRule>
  </conditionalFormatting>
  <conditionalFormatting sqref="M174:M287">
    <cfRule type="cellIs" dxfId="1493" priority="319" stopIfTrue="1" operator="equal">
      <formula>"B2"</formula>
    </cfRule>
    <cfRule type="expression" dxfId="1492" priority="320" stopIfTrue="1">
      <formula>B164</formula>
    </cfRule>
  </conditionalFormatting>
  <conditionalFormatting sqref="M184">
    <cfRule type="expression" dxfId="1491" priority="295" stopIfTrue="1">
      <formula>"if=B1"</formula>
    </cfRule>
    <cfRule type="expression" dxfId="1490" priority="296" stopIfTrue="1">
      <formula>#REF!</formula>
    </cfRule>
    <cfRule type="expression" dxfId="1489"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488" priority="151" stopIfTrue="1" operator="equal">
      <formula>"KXL"</formula>
    </cfRule>
    <cfRule type="cellIs" dxfId="1487" priority="152" stopIfTrue="1" operator="equal">
      <formula>"A DN"</formula>
    </cfRule>
    <cfRule type="cellIs" dxfId="1486" priority="153" stopIfTrue="1" operator="equal">
      <formula>"C"</formula>
    </cfRule>
    <cfRule type="cellIs" dxfId="1485" priority="154" stopIfTrue="1" operator="equal">
      <formula>"B"</formula>
    </cfRule>
  </conditionalFormatting>
  <conditionalFormatting sqref="L288:L351">
    <cfRule type="cellIs" dxfId="1484" priority="150" stopIfTrue="1" operator="equal">
      <formula>"D"</formula>
    </cfRule>
  </conditionalFormatting>
  <conditionalFormatting sqref="B292:C304 T292:T304 P292:P304 R292:R304 AC302:IY304 AD292:IY301">
    <cfRule type="cellIs" dxfId="1483" priority="146" stopIfTrue="1" operator="equal">
      <formula>"KXL"</formula>
    </cfRule>
    <cfRule type="cellIs" dxfId="1482" priority="147" stopIfTrue="1" operator="equal">
      <formula>"A DN"</formula>
    </cfRule>
    <cfRule type="cellIs" dxfId="1481" priority="148" stopIfTrue="1" operator="equal">
      <formula>"C"</formula>
    </cfRule>
    <cfRule type="cellIs" dxfId="1480" priority="149" stopIfTrue="1" operator="equal">
      <formula>"B"</formula>
    </cfRule>
  </conditionalFormatting>
  <conditionalFormatting sqref="E309:G309">
    <cfRule type="cellIs" dxfId="1479" priority="142" stopIfTrue="1" operator="equal">
      <formula>"KXL"</formula>
    </cfRule>
    <cfRule type="cellIs" dxfId="1478" priority="143" stopIfTrue="1" operator="equal">
      <formula>"A DN"</formula>
    </cfRule>
    <cfRule type="cellIs" dxfId="1477" priority="144" stopIfTrue="1" operator="equal">
      <formula>"C"</formula>
    </cfRule>
    <cfRule type="cellIs" dxfId="1476" priority="145" stopIfTrue="1" operator="equal">
      <formula>"B"</formula>
    </cfRule>
  </conditionalFormatting>
  <conditionalFormatting sqref="H293:H303">
    <cfRule type="cellIs" dxfId="1475" priority="138" stopIfTrue="1" operator="equal">
      <formula>"KXL"</formula>
    </cfRule>
    <cfRule type="cellIs" dxfId="1474" priority="139" stopIfTrue="1" operator="equal">
      <formula>"A DN"</formula>
    </cfRule>
    <cfRule type="cellIs" dxfId="1473" priority="140" stopIfTrue="1" operator="equal">
      <formula>"C"</formula>
    </cfRule>
    <cfRule type="cellIs" dxfId="1472" priority="141" stopIfTrue="1" operator="equal">
      <formula>"B"</formula>
    </cfRule>
  </conditionalFormatting>
  <conditionalFormatting sqref="E345:G347">
    <cfRule type="cellIs" dxfId="1471" priority="106" stopIfTrue="1" operator="equal">
      <formula>"KXL"</formula>
    </cfRule>
    <cfRule type="cellIs" dxfId="1470" priority="107" stopIfTrue="1" operator="equal">
      <formula>"A DN"</formula>
    </cfRule>
    <cfRule type="cellIs" dxfId="1469" priority="108" stopIfTrue="1" operator="equal">
      <formula>"C"</formula>
    </cfRule>
    <cfRule type="cellIs" dxfId="1468" priority="109" stopIfTrue="1" operator="equal">
      <formula>"B"</formula>
    </cfRule>
  </conditionalFormatting>
  <conditionalFormatting sqref="E305:G305">
    <cfRule type="cellIs" dxfId="1467" priority="134" stopIfTrue="1" operator="equal">
      <formula>"KXL"</formula>
    </cfRule>
    <cfRule type="cellIs" dxfId="1466" priority="135" stopIfTrue="1" operator="equal">
      <formula>"A DN"</formula>
    </cfRule>
    <cfRule type="cellIs" dxfId="1465" priority="136" stopIfTrue="1" operator="equal">
      <formula>"C"</formula>
    </cfRule>
    <cfRule type="cellIs" dxfId="1464" priority="137" stopIfTrue="1" operator="equal">
      <formula>"B"</formula>
    </cfRule>
  </conditionalFormatting>
  <conditionalFormatting sqref="E299:G304">
    <cfRule type="cellIs" dxfId="1463" priority="130" stopIfTrue="1" operator="equal">
      <formula>"KXL"</formula>
    </cfRule>
    <cfRule type="cellIs" dxfId="1462" priority="131" stopIfTrue="1" operator="equal">
      <formula>"A DN"</formula>
    </cfRule>
    <cfRule type="cellIs" dxfId="1461" priority="132" stopIfTrue="1" operator="equal">
      <formula>"C"</formula>
    </cfRule>
    <cfRule type="cellIs" dxfId="1460" priority="133" stopIfTrue="1" operator="equal">
      <formula>"B"</formula>
    </cfRule>
  </conditionalFormatting>
  <conditionalFormatting sqref="E312:G312">
    <cfRule type="cellIs" dxfId="1459" priority="126" stopIfTrue="1" operator="equal">
      <formula>"KXL"</formula>
    </cfRule>
    <cfRule type="cellIs" dxfId="1458" priority="127" stopIfTrue="1" operator="equal">
      <formula>"A DN"</formula>
    </cfRule>
    <cfRule type="cellIs" dxfId="1457" priority="128" stopIfTrue="1" operator="equal">
      <formula>"C"</formula>
    </cfRule>
    <cfRule type="cellIs" dxfId="1456" priority="129" stopIfTrue="1" operator="equal">
      <formula>"B"</formula>
    </cfRule>
  </conditionalFormatting>
  <conditionalFormatting sqref="E320:G320">
    <cfRule type="cellIs" dxfId="1455" priority="122" stopIfTrue="1" operator="equal">
      <formula>"KXL"</formula>
    </cfRule>
    <cfRule type="cellIs" dxfId="1454" priority="123" stopIfTrue="1" operator="equal">
      <formula>"A DN"</formula>
    </cfRule>
    <cfRule type="cellIs" dxfId="1453" priority="124" stopIfTrue="1" operator="equal">
      <formula>"C"</formula>
    </cfRule>
    <cfRule type="cellIs" dxfId="1452" priority="125" stopIfTrue="1" operator="equal">
      <formula>"B"</formula>
    </cfRule>
  </conditionalFormatting>
  <conditionalFormatting sqref="E322:G324">
    <cfRule type="cellIs" dxfId="1451" priority="118" stopIfTrue="1" operator="equal">
      <formula>"KXL"</formula>
    </cfRule>
    <cfRule type="cellIs" dxfId="1450" priority="119" stopIfTrue="1" operator="equal">
      <formula>"A DN"</formula>
    </cfRule>
    <cfRule type="cellIs" dxfId="1449" priority="120" stopIfTrue="1" operator="equal">
      <formula>"C"</formula>
    </cfRule>
    <cfRule type="cellIs" dxfId="1448" priority="121" stopIfTrue="1" operator="equal">
      <formula>"B"</formula>
    </cfRule>
  </conditionalFormatting>
  <conditionalFormatting sqref="E331:G331">
    <cfRule type="cellIs" dxfId="1447" priority="114" stopIfTrue="1" operator="equal">
      <formula>"KXL"</formula>
    </cfRule>
    <cfRule type="cellIs" dxfId="1446" priority="115" stopIfTrue="1" operator="equal">
      <formula>"A DN"</formula>
    </cfRule>
    <cfRule type="cellIs" dxfId="1445" priority="116" stopIfTrue="1" operator="equal">
      <formula>"C"</formula>
    </cfRule>
    <cfRule type="cellIs" dxfId="1444" priority="117" stopIfTrue="1" operator="equal">
      <formula>"B"</formula>
    </cfRule>
  </conditionalFormatting>
  <conditionalFormatting sqref="E333:G333">
    <cfRule type="cellIs" dxfId="1443" priority="110" stopIfTrue="1" operator="equal">
      <formula>"KXL"</formula>
    </cfRule>
    <cfRule type="cellIs" dxfId="1442" priority="111" stopIfTrue="1" operator="equal">
      <formula>"A DN"</formula>
    </cfRule>
    <cfRule type="cellIs" dxfId="1441" priority="112" stopIfTrue="1" operator="equal">
      <formula>"C"</formula>
    </cfRule>
    <cfRule type="cellIs" dxfId="1440" priority="113" stopIfTrue="1" operator="equal">
      <formula>"B"</formula>
    </cfRule>
  </conditionalFormatting>
  <conditionalFormatting sqref="H304">
    <cfRule type="cellIs" dxfId="1439" priority="102" stopIfTrue="1" operator="equal">
      <formula>"KXL"</formula>
    </cfRule>
    <cfRule type="cellIs" dxfId="1438" priority="103" stopIfTrue="1" operator="equal">
      <formula>"A DN"</formula>
    </cfRule>
    <cfRule type="cellIs" dxfId="1437" priority="104" stopIfTrue="1" operator="equal">
      <formula>"C"</formula>
    </cfRule>
    <cfRule type="cellIs" dxfId="1436" priority="105" stopIfTrue="1" operator="equal">
      <formula>"B"</formula>
    </cfRule>
  </conditionalFormatting>
  <conditionalFormatting sqref="L318:L333">
    <cfRule type="cellIs" dxfId="1435" priority="155" operator="equal">
      <formula>"A DN"</formula>
    </cfRule>
    <cfRule type="cellIs" dxfId="1434" priority="156" operator="equal">
      <formula>"D"</formula>
    </cfRule>
    <cfRule type="cellIs" dxfId="1433" priority="157" operator="equal">
      <formula>"C2"</formula>
    </cfRule>
    <cfRule type="cellIs" dxfId="1432" priority="158" operator="equal">
      <formula>"C1"</formula>
    </cfRule>
    <cfRule type="cellIs" dxfId="1431" priority="159" operator="equal">
      <formula>"C"</formula>
    </cfRule>
    <cfRule type="cellIs" dxfId="1430" priority="160" operator="equal">
      <formula>"B2"</formula>
    </cfRule>
    <cfRule type="cellIs" dxfId="1429" priority="161" operator="equal">
      <formula>"B1"</formula>
    </cfRule>
    <cfRule type="cellIs" dxfId="1428" priority="162" operator="equal">
      <formula>"B"</formula>
    </cfRule>
    <cfRule type="cellIs" dxfId="1427" priority="163" operator="equal">
      <formula>"B1"</formula>
    </cfRule>
    <cfRule type="cellIs" dxfId="1426" priority="164" operator="greaterThan">
      <formula>B</formula>
    </cfRule>
  </conditionalFormatting>
  <conditionalFormatting sqref="L288:L351">
    <cfRule type="cellIs" dxfId="1425" priority="167" operator="equal">
      <formula>"A DN"</formula>
    </cfRule>
    <cfRule type="cellIs" dxfId="1424" priority="168" operator="equal">
      <formula>"D"</formula>
    </cfRule>
    <cfRule type="cellIs" dxfId="1423" priority="169" operator="equal">
      <formula>"C2"</formula>
    </cfRule>
    <cfRule type="cellIs" dxfId="1422" priority="170" operator="equal">
      <formula>"C1"</formula>
    </cfRule>
    <cfRule type="cellIs" dxfId="1421" priority="171" operator="equal">
      <formula>"C"</formula>
    </cfRule>
    <cfRule type="cellIs" dxfId="1420" priority="172" operator="equal">
      <formula>"B2"</formula>
    </cfRule>
    <cfRule type="cellIs" dxfId="1419" priority="173" operator="equal">
      <formula>"B1"</formula>
    </cfRule>
    <cfRule type="cellIs" dxfId="1418" priority="174" operator="equal">
      <formula>"B"</formula>
    </cfRule>
    <cfRule type="cellIs" dxfId="1417" priority="175" operator="equal">
      <formula>"B1"</formula>
    </cfRule>
    <cfRule type="cellIs" dxfId="1416" priority="176" operator="greaterThan">
      <formula>B</formula>
    </cfRule>
  </conditionalFormatting>
  <conditionalFormatting sqref="L341:L343 L304:L317">
    <cfRule type="cellIs" dxfId="1415" priority="179" operator="equal">
      <formula>"A DN"</formula>
    </cfRule>
    <cfRule type="cellIs" dxfId="1414" priority="180" operator="equal">
      <formula>"D"</formula>
    </cfRule>
    <cfRule type="cellIs" dxfId="1413" priority="181" operator="equal">
      <formula>"C2"</formula>
    </cfRule>
    <cfRule type="cellIs" dxfId="1412" priority="182" operator="equal">
      <formula>"C1"</formula>
    </cfRule>
    <cfRule type="cellIs" dxfId="1411" priority="183" operator="equal">
      <formula>"C"</formula>
    </cfRule>
    <cfRule type="cellIs" dxfId="1410" priority="184" operator="equal">
      <formula>"B2"</formula>
    </cfRule>
    <cfRule type="cellIs" dxfId="1409" priority="185" operator="equal">
      <formula>"B1"</formula>
    </cfRule>
    <cfRule type="cellIs" dxfId="1408" priority="186" operator="equal">
      <formula>"B"</formula>
    </cfRule>
    <cfRule type="cellIs" dxfId="1407" priority="187" operator="equal">
      <formula>"B1"</formula>
    </cfRule>
    <cfRule type="cellIs" dxfId="1406" priority="188" operator="greaterThan">
      <formula>B</formula>
    </cfRule>
  </conditionalFormatting>
  <conditionalFormatting sqref="L344:L351 L299:L331">
    <cfRule type="cellIs" dxfId="1405" priority="191" operator="equal">
      <formula>"A DN"</formula>
    </cfRule>
    <cfRule type="cellIs" dxfId="1404" priority="192" operator="equal">
      <formula>"D"</formula>
    </cfRule>
    <cfRule type="cellIs" dxfId="1403" priority="193" operator="equal">
      <formula>"C2"</formula>
    </cfRule>
    <cfRule type="cellIs" dxfId="1402" priority="194" operator="equal">
      <formula>"C1"</formula>
    </cfRule>
    <cfRule type="cellIs" dxfId="1401" priority="195" operator="equal">
      <formula>"C"</formula>
    </cfRule>
    <cfRule type="cellIs" dxfId="1400" priority="196" operator="equal">
      <formula>"B2"</formula>
    </cfRule>
    <cfRule type="cellIs" dxfId="1399" priority="197" operator="equal">
      <formula>"B1"</formula>
    </cfRule>
    <cfRule type="cellIs" dxfId="1398" priority="198" operator="equal">
      <formula>"B"</formula>
    </cfRule>
    <cfRule type="cellIs" dxfId="1397" priority="199" operator="equal">
      <formula>"B1"</formula>
    </cfRule>
    <cfRule type="cellIs" dxfId="1396" priority="200" operator="greaterThan">
      <formula>B</formula>
    </cfRule>
  </conditionalFormatting>
  <conditionalFormatting sqref="L341:L351">
    <cfRule type="cellIs" dxfId="1395" priority="203" operator="equal">
      <formula>"A DN"</formula>
    </cfRule>
    <cfRule type="cellIs" dxfId="1394" priority="204" operator="equal">
      <formula>"D"</formula>
    </cfRule>
    <cfRule type="cellIs" dxfId="1393" priority="205" operator="equal">
      <formula>"C2"</formula>
    </cfRule>
    <cfRule type="cellIs" dxfId="1392" priority="206" operator="equal">
      <formula>"C1"</formula>
    </cfRule>
    <cfRule type="cellIs" dxfId="1391" priority="207" operator="equal">
      <formula>"C"</formula>
    </cfRule>
    <cfRule type="cellIs" dxfId="1390" priority="208" operator="equal">
      <formula>"B2"</formula>
    </cfRule>
    <cfRule type="cellIs" dxfId="1389" priority="209" operator="equal">
      <formula>"B1"</formula>
    </cfRule>
    <cfRule type="cellIs" dxfId="1388" priority="210" operator="equal">
      <formula>"B"</formula>
    </cfRule>
    <cfRule type="cellIs" dxfId="1387" priority="211" operator="equal">
      <formula>"B1"</formula>
    </cfRule>
    <cfRule type="cellIs" dxfId="1386" priority="212" operator="greaterThan">
      <formula>B</formula>
    </cfRule>
  </conditionalFormatting>
  <conditionalFormatting sqref="L344:L351">
    <cfRule type="cellIs" dxfId="1385" priority="215" operator="equal">
      <formula>"A DN"</formula>
    </cfRule>
    <cfRule type="cellIs" dxfId="1384" priority="216" operator="equal">
      <formula>"D"</formula>
    </cfRule>
    <cfRule type="cellIs" dxfId="1383" priority="217" operator="equal">
      <formula>"C2"</formula>
    </cfRule>
    <cfRule type="cellIs" dxfId="1382" priority="218" operator="equal">
      <formula>"C1"</formula>
    </cfRule>
    <cfRule type="cellIs" dxfId="1381" priority="219" operator="equal">
      <formula>"C"</formula>
    </cfRule>
    <cfRule type="cellIs" dxfId="1380" priority="220" operator="equal">
      <formula>"B2"</formula>
    </cfRule>
    <cfRule type="cellIs" dxfId="1379" priority="221" operator="equal">
      <formula>"B1"</formula>
    </cfRule>
    <cfRule type="cellIs" dxfId="1378" priority="222" operator="equal">
      <formula>"B"</formula>
    </cfRule>
    <cfRule type="cellIs" dxfId="1377" priority="223" operator="equal">
      <formula>"B1"</formula>
    </cfRule>
    <cfRule type="cellIs" dxfId="1376" priority="224" operator="greaterThan">
      <formula>B</formula>
    </cfRule>
  </conditionalFormatting>
  <conditionalFormatting sqref="L318:L351">
    <cfRule type="cellIs" dxfId="1375" priority="227" operator="equal">
      <formula>"A DN"</formula>
    </cfRule>
    <cfRule type="cellIs" dxfId="1374" priority="228" operator="equal">
      <formula>"D"</formula>
    </cfRule>
    <cfRule type="cellIs" dxfId="1373" priority="229" operator="equal">
      <formula>"C2"</formula>
    </cfRule>
    <cfRule type="cellIs" dxfId="1372" priority="230" operator="equal">
      <formula>"C1"</formula>
    </cfRule>
    <cfRule type="cellIs" dxfId="1371" priority="231" operator="equal">
      <formula>"C"</formula>
    </cfRule>
    <cfRule type="cellIs" dxfId="1370" priority="232" operator="equal">
      <formula>"B2"</formula>
    </cfRule>
    <cfRule type="cellIs" dxfId="1369" priority="233" operator="equal">
      <formula>"B1"</formula>
    </cfRule>
    <cfRule type="cellIs" dxfId="1368" priority="234" operator="equal">
      <formula>"B"</formula>
    </cfRule>
    <cfRule type="cellIs" dxfId="1367" priority="235" operator="equal">
      <formula>"B1"</formula>
    </cfRule>
    <cfRule type="cellIs" dxfId="1366" priority="236" operator="greaterThan">
      <formula>B</formula>
    </cfRule>
  </conditionalFormatting>
  <conditionalFormatting sqref="L318:L341">
    <cfRule type="cellIs" dxfId="1365" priority="239" operator="equal">
      <formula>"A DN"</formula>
    </cfRule>
    <cfRule type="cellIs" dxfId="1364" priority="240" operator="equal">
      <formula>"D"</formula>
    </cfRule>
    <cfRule type="cellIs" dxfId="1363" priority="241" operator="equal">
      <formula>"C2"</formula>
    </cfRule>
    <cfRule type="cellIs" dxfId="1362" priority="242" operator="equal">
      <formula>"C1"</formula>
    </cfRule>
    <cfRule type="cellIs" dxfId="1361" priority="243" operator="equal">
      <formula>"C"</formula>
    </cfRule>
    <cfRule type="cellIs" dxfId="1360" priority="244" operator="equal">
      <formula>"B2"</formula>
    </cfRule>
    <cfRule type="cellIs" dxfId="1359" priority="245" operator="equal">
      <formula>"B1"</formula>
    </cfRule>
    <cfRule type="cellIs" dxfId="1358" priority="246" operator="equal">
      <formula>"B"</formula>
    </cfRule>
    <cfRule type="cellIs" dxfId="1357" priority="247" operator="equal">
      <formula>"B1"</formula>
    </cfRule>
    <cfRule type="cellIs" dxfId="1356" priority="248" operator="greaterThan">
      <formula>B</formula>
    </cfRule>
  </conditionalFormatting>
  <conditionalFormatting sqref="M21:M26">
    <cfRule type="expression" dxfId="1355" priority="3508" stopIfTrue="1">
      <formula>"if=B1"</formula>
    </cfRule>
    <cfRule type="expression" dxfId="1354" priority="3509" stopIfTrue="1">
      <formula>#REF!</formula>
    </cfRule>
    <cfRule type="expression" dxfId="1353" priority="3510" stopIfTrue="1">
      <formula>#REF!</formula>
    </cfRule>
  </conditionalFormatting>
  <conditionalFormatting sqref="Z4">
    <cfRule type="cellIs" dxfId="1352" priority="97" stopIfTrue="1" operator="equal">
      <formula>"KXL"</formula>
    </cfRule>
    <cfRule type="cellIs" dxfId="1351" priority="98" stopIfTrue="1" operator="equal">
      <formula>"A DN"</formula>
    </cfRule>
    <cfRule type="cellIs" dxfId="1350" priority="99" stopIfTrue="1" operator="equal">
      <formula>"C"</formula>
    </cfRule>
    <cfRule type="cellIs" dxfId="1349" priority="100" stopIfTrue="1" operator="equal">
      <formula>"B"</formula>
    </cfRule>
  </conditionalFormatting>
  <conditionalFormatting sqref="A8:M9 A14 AF8:JB9 AF14:JB14 O8:S9 A10:XFD13 A15:XFD16">
    <cfRule type="cellIs" dxfId="1348" priority="93" stopIfTrue="1" operator="equal">
      <formula>"KXL"</formula>
    </cfRule>
    <cfRule type="cellIs" dxfId="1347" priority="94" stopIfTrue="1" operator="equal">
      <formula>"A DN"</formula>
    </cfRule>
    <cfRule type="cellIs" dxfId="1346" priority="95" stopIfTrue="1" operator="equal">
      <formula>"C"</formula>
    </cfRule>
    <cfRule type="cellIs" dxfId="1345" priority="96" stopIfTrue="1" operator="equal">
      <formula>"B"</formula>
    </cfRule>
  </conditionalFormatting>
  <conditionalFormatting sqref="AG1:IW7">
    <cfRule type="cellIs" dxfId="1344" priority="69" stopIfTrue="1" operator="equal">
      <formula>"KXL"</formula>
    </cfRule>
    <cfRule type="cellIs" dxfId="1343" priority="70" stopIfTrue="1" operator="equal">
      <formula>"A DN"</formula>
    </cfRule>
    <cfRule type="cellIs" dxfId="1342" priority="71" stopIfTrue="1" operator="equal">
      <formula>"C"</formula>
    </cfRule>
    <cfRule type="cellIs" dxfId="1341" priority="72" stopIfTrue="1" operator="equal">
      <formula>"B"</formula>
    </cfRule>
  </conditionalFormatting>
  <conditionalFormatting sqref="Z5">
    <cfRule type="cellIs" dxfId="1340" priority="65" stopIfTrue="1" operator="equal">
      <formula>"KXL"</formula>
    </cfRule>
    <cfRule type="cellIs" dxfId="1339" priority="66" stopIfTrue="1" operator="equal">
      <formula>"A DN"</formula>
    </cfRule>
    <cfRule type="cellIs" dxfId="1338" priority="67" stopIfTrue="1" operator="equal">
      <formula>"C"</formula>
    </cfRule>
    <cfRule type="cellIs" dxfId="1337" priority="68" stopIfTrue="1" operator="equal">
      <formula>"B"</formula>
    </cfRule>
  </conditionalFormatting>
  <conditionalFormatting sqref="A1 O1:U1 K1:M1">
    <cfRule type="cellIs" dxfId="1336" priority="61" stopIfTrue="1" operator="equal">
      <formula>"KXL"</formula>
    </cfRule>
    <cfRule type="cellIs" dxfId="1335" priority="62" stopIfTrue="1" operator="equal">
      <formula>"A DN"</formula>
    </cfRule>
    <cfRule type="cellIs" dxfId="1334" priority="63" stopIfTrue="1" operator="equal">
      <formula>"C"</formula>
    </cfRule>
    <cfRule type="cellIs" dxfId="1333" priority="64" stopIfTrue="1" operator="equal">
      <formula>"B"</formula>
    </cfRule>
  </conditionalFormatting>
  <conditionalFormatting sqref="O2:U3 A3:M3 A1:A2 K1:M2 A4:Y4">
    <cfRule type="cellIs" dxfId="1332" priority="53" stopIfTrue="1" operator="equal">
      <formula>"KXL"</formula>
    </cfRule>
    <cfRule type="cellIs" dxfId="1331" priority="54" stopIfTrue="1" operator="equal">
      <formula>"A DN"</formula>
    </cfRule>
    <cfRule type="cellIs" dxfId="1330" priority="55" stopIfTrue="1" operator="equal">
      <formula>"C"</formula>
    </cfRule>
    <cfRule type="cellIs" dxfId="1329" priority="56" stopIfTrue="1" operator="equal">
      <formula>"B"</formula>
    </cfRule>
  </conditionalFormatting>
  <conditionalFormatting sqref="A5:Y5 A6:A7">
    <cfRule type="cellIs" dxfId="1328" priority="57" stopIfTrue="1" operator="equal">
      <formula>"KXL"</formula>
    </cfRule>
    <cfRule type="cellIs" dxfId="1327" priority="58" stopIfTrue="1" operator="equal">
      <formula>"A DN"</formula>
    </cfRule>
    <cfRule type="cellIs" dxfId="1326" priority="59" stopIfTrue="1" operator="equal">
      <formula>"C"</formula>
    </cfRule>
    <cfRule type="cellIs" dxfId="1325" priority="60" stopIfTrue="1" operator="equal">
      <formula>"B"</formula>
    </cfRule>
  </conditionalFormatting>
  <conditionalFormatting sqref="Z5">
    <cfRule type="cellIs" dxfId="1324" priority="49" stopIfTrue="1" operator="equal">
      <formula>"KXL"</formula>
    </cfRule>
    <cfRule type="cellIs" dxfId="1323" priority="50" stopIfTrue="1" operator="equal">
      <formula>"A DN"</formula>
    </cfRule>
    <cfRule type="cellIs" dxfId="1322" priority="51" stopIfTrue="1" operator="equal">
      <formula>"C"</formula>
    </cfRule>
    <cfRule type="cellIs" dxfId="1321" priority="52" stopIfTrue="1" operator="equal">
      <formula>"B"</formula>
    </cfRule>
  </conditionalFormatting>
  <conditionalFormatting sqref="A19:I20">
    <cfRule type="cellIs" dxfId="1320" priority="41" stopIfTrue="1" operator="equal">
      <formula>"KXL"</formula>
    </cfRule>
    <cfRule type="cellIs" dxfId="1319" priority="42" stopIfTrue="1" operator="equal">
      <formula>"A DN"</formula>
    </cfRule>
    <cfRule type="cellIs" dxfId="1318" priority="43" stopIfTrue="1" operator="equal">
      <formula>"C"</formula>
    </cfRule>
    <cfRule type="cellIs" dxfId="1317" priority="44" stopIfTrue="1" operator="equal">
      <formula>"B"</formula>
    </cfRule>
  </conditionalFormatting>
  <conditionalFormatting sqref="J19">
    <cfRule type="cellIs" dxfId="1316" priority="37" stopIfTrue="1" operator="equal">
      <formula>"KXL"</formula>
    </cfRule>
    <cfRule type="cellIs" dxfId="1315" priority="38" stopIfTrue="1" operator="equal">
      <formula>"A DN"</formula>
    </cfRule>
    <cfRule type="cellIs" dxfId="1314" priority="39" stopIfTrue="1" operator="equal">
      <formula>"C"</formula>
    </cfRule>
    <cfRule type="cellIs" dxfId="1313" priority="40" stopIfTrue="1" operator="equal">
      <formula>"B"</formula>
    </cfRule>
  </conditionalFormatting>
  <conditionalFormatting sqref="J20">
    <cfRule type="cellIs" dxfId="1312" priority="33" stopIfTrue="1" operator="equal">
      <formula>"KXL"</formula>
    </cfRule>
    <cfRule type="cellIs" dxfId="1311" priority="34" stopIfTrue="1" operator="equal">
      <formula>"A DN"</formula>
    </cfRule>
    <cfRule type="cellIs" dxfId="1310" priority="35" stopIfTrue="1" operator="equal">
      <formula>"C"</formula>
    </cfRule>
    <cfRule type="cellIs" dxfId="1309" priority="36" stopIfTrue="1" operator="equal">
      <formula>"B"</formula>
    </cfRule>
  </conditionalFormatting>
  <conditionalFormatting sqref="X19:Y20">
    <cfRule type="cellIs" dxfId="1308" priority="29" stopIfTrue="1" operator="equal">
      <formula>"KXL"</formula>
    </cfRule>
    <cfRule type="cellIs" dxfId="1307" priority="30" stopIfTrue="1" operator="equal">
      <formula>"A DN"</formula>
    </cfRule>
    <cfRule type="cellIs" dxfId="1306" priority="31" stopIfTrue="1" operator="equal">
      <formula>"C"</formula>
    </cfRule>
    <cfRule type="cellIs" dxfId="1305" priority="32" stopIfTrue="1" operator="equal">
      <formula>"B"</formula>
    </cfRule>
  </conditionalFormatting>
  <conditionalFormatting sqref="X19:Y19">
    <cfRule type="cellIs" dxfId="1304" priority="25" stopIfTrue="1" operator="equal">
      <formula>"KXL"</formula>
    </cfRule>
    <cfRule type="cellIs" dxfId="1303" priority="26" stopIfTrue="1" operator="equal">
      <formula>"A DN"</formula>
    </cfRule>
    <cfRule type="cellIs" dxfId="1302" priority="27" stopIfTrue="1" operator="equal">
      <formula>"C"</formula>
    </cfRule>
    <cfRule type="cellIs" dxfId="1301" priority="28" stopIfTrue="1" operator="equal">
      <formula>"B"</formula>
    </cfRule>
  </conditionalFormatting>
  <conditionalFormatting sqref="X20:Y20">
    <cfRule type="cellIs" dxfId="1300" priority="21" stopIfTrue="1" operator="equal">
      <formula>"KXL"</formula>
    </cfRule>
    <cfRule type="cellIs" dxfId="1299" priority="22" stopIfTrue="1" operator="equal">
      <formula>"A DN"</formula>
    </cfRule>
    <cfRule type="cellIs" dxfId="1298" priority="23" stopIfTrue="1" operator="equal">
      <formula>"C"</formula>
    </cfRule>
    <cfRule type="cellIs" dxfId="1297" priority="24" stopIfTrue="1" operator="equal">
      <formula>"B"</formula>
    </cfRule>
  </conditionalFormatting>
  <conditionalFormatting sqref="Z19">
    <cfRule type="cellIs" dxfId="1296" priority="17" stopIfTrue="1" operator="equal">
      <formula>"KXL"</formula>
    </cfRule>
    <cfRule type="cellIs" dxfId="1295" priority="18" stopIfTrue="1" operator="equal">
      <formula>"A DN"</formula>
    </cfRule>
    <cfRule type="cellIs" dxfId="1294" priority="19" stopIfTrue="1" operator="equal">
      <formula>"C"</formula>
    </cfRule>
    <cfRule type="cellIs" dxfId="1293" priority="20" stopIfTrue="1" operator="equal">
      <formula>"B"</formula>
    </cfRule>
  </conditionalFormatting>
  <conditionalFormatting sqref="AA19:AB19">
    <cfRule type="cellIs" dxfId="1292" priority="13" stopIfTrue="1" operator="equal">
      <formula>"KXL"</formula>
    </cfRule>
    <cfRule type="cellIs" dxfId="1291" priority="14" stopIfTrue="1" operator="equal">
      <formula>"A DN"</formula>
    </cfRule>
    <cfRule type="cellIs" dxfId="1290" priority="15" stopIfTrue="1" operator="equal">
      <formula>"C"</formula>
    </cfRule>
    <cfRule type="cellIs" dxfId="1289" priority="16" stopIfTrue="1" operator="equal">
      <formula>"B"</formula>
    </cfRule>
  </conditionalFormatting>
  <conditionalFormatting sqref="AA19">
    <cfRule type="cellIs" dxfId="1288" priority="9" stopIfTrue="1" operator="equal">
      <formula>"KXL"</formula>
    </cfRule>
    <cfRule type="cellIs" dxfId="1287" priority="10" stopIfTrue="1" operator="equal">
      <formula>"A DN"</formula>
    </cfRule>
    <cfRule type="cellIs" dxfId="1286" priority="11" stopIfTrue="1" operator="equal">
      <formula>"C"</formula>
    </cfRule>
    <cfRule type="cellIs" dxfId="1285" priority="12" stopIfTrue="1" operator="equal">
      <formula>"B"</formula>
    </cfRule>
  </conditionalFormatting>
  <conditionalFormatting sqref="Z20">
    <cfRule type="cellIs" dxfId="1284" priority="5" stopIfTrue="1" operator="equal">
      <formula>"KXL"</formula>
    </cfRule>
    <cfRule type="cellIs" dxfId="1283" priority="6" stopIfTrue="1" operator="equal">
      <formula>"A DN"</formula>
    </cfRule>
    <cfRule type="cellIs" dxfId="1282" priority="7" stopIfTrue="1" operator="equal">
      <formula>"C"</formula>
    </cfRule>
    <cfRule type="cellIs" dxfId="1281" priority="8" stopIfTrue="1" operator="equal">
      <formula>"B"</formula>
    </cfRule>
  </conditionalFormatting>
  <conditionalFormatting sqref="M27">
    <cfRule type="expression" dxfId="1280" priority="3551" stopIfTrue="1">
      <formula>"if=B1"</formula>
    </cfRule>
    <cfRule type="expression" dxfId="1279" priority="3552" stopIfTrue="1">
      <formula>#REF!</formula>
    </cfRule>
    <cfRule type="expression" dxfId="1278" priority="3553" stopIfTrue="1">
      <formula>#REF!</formula>
    </cfRule>
  </conditionalFormatting>
  <conditionalFormatting sqref="A357 A365 AD365:IZ365 A356:U356 AD356:IZ357 A358:XFD364">
    <cfRule type="cellIs" dxfId="1277" priority="1" stopIfTrue="1" operator="equal">
      <formula>"KXL"</formula>
    </cfRule>
    <cfRule type="cellIs" dxfId="1276" priority="2" stopIfTrue="1" operator="equal">
      <formula>"A DN"</formula>
    </cfRule>
    <cfRule type="cellIs" dxfId="1275" priority="3" stopIfTrue="1" operator="equal">
      <formula>"C"</formula>
    </cfRule>
    <cfRule type="cellIs" dxfId="1274" priority="4" stopIfTrue="1" operator="equal">
      <formula>"B"</formula>
    </cfRule>
  </conditionalFormatting>
  <conditionalFormatting sqref="M21:M287">
    <cfRule type="cellIs" dxfId="1273" priority="3703" stopIfTrue="1" operator="equal">
      <formula>"C2"</formula>
    </cfRule>
    <cfRule type="cellIs" dxfId="1272" priority="3704" stopIfTrue="1" operator="equal">
      <formula>"C1"</formula>
    </cfRule>
    <cfRule type="cellIs" dxfId="1271" priority="3705" stopIfTrue="1" operator="equal">
      <formula>"C2"</formula>
    </cfRule>
    <cfRule type="cellIs" dxfId="1270" priority="3706" stopIfTrue="1" operator="equal">
      <formula>"D"</formula>
    </cfRule>
    <cfRule type="cellIs" dxfId="1269" priority="3707" stopIfTrue="1" operator="equal">
      <formula>"E"</formula>
    </cfRule>
    <cfRule type="cellIs" dxfId="1268" priority="3708" stopIfTrue="1" operator="equal">
      <formula>"A DN"</formula>
    </cfRule>
    <cfRule type="cellIs" dxfId="1267" priority="3709" stopIfTrue="1" operator="equal">
      <formula>"A DN"</formula>
    </cfRule>
    <cfRule type="cellIs" dxfId="1266" priority="3710" stopIfTrue="1" operator="equal">
      <formula>"E"</formula>
    </cfRule>
    <cfRule type="cellIs" dxfId="1265" priority="3711" stopIfTrue="1" operator="equal">
      <formula>"D"</formula>
    </cfRule>
    <cfRule type="cellIs" dxfId="1264" priority="3712" stopIfTrue="1" operator="equal">
      <formula>"D1"</formula>
    </cfRule>
    <cfRule type="cellIs" dxfId="1263" priority="3713" stopIfTrue="1" operator="equal">
      <formula>"C2"</formula>
    </cfRule>
    <cfRule type="cellIs" dxfId="1262" priority="3714" stopIfTrue="1" operator="equal">
      <formula>"C1"</formula>
    </cfRule>
    <cfRule type="cellIs" dxfId="1261" priority="3715" stopIfTrue="1" operator="equal">
      <formula>"B2"</formula>
    </cfRule>
    <cfRule type="cellIs" dxfId="1260" priority="3716" stopIfTrue="1" operator="equal">
      <formula>"B1"</formula>
    </cfRule>
    <cfRule type="expression" dxfId="1259" priority="3717" stopIfTrue="1">
      <formula>#REF!</formula>
    </cfRule>
    <cfRule type="cellIs" dxfId="1258" priority="3718" stopIfTrue="1" operator="equal">
      <formula>"D"</formula>
    </cfRule>
  </conditionalFormatting>
  <conditionalFormatting sqref="M21:M287">
    <cfRule type="cellIs" dxfId="1257" priority="3719" stopIfTrue="1" operator="equal">
      <formula>"B1"</formula>
    </cfRule>
    <cfRule type="expression" dxfId="1256" priority="3720" stopIfTrue="1">
      <formula>#REF!</formula>
    </cfRule>
  </conditionalFormatting>
  <conditionalFormatting sqref="M21:M287">
    <cfRule type="cellIs" dxfId="1255" priority="3721" stopIfTrue="1" operator="equal">
      <formula>"B2"</formula>
    </cfRule>
    <cfRule type="expression" dxfId="1254" priority="3722" stopIfTrue="1">
      <formula>#REF!</formula>
    </cfRule>
  </conditionalFormatting>
  <conditionalFormatting sqref="M92:M102">
    <cfRule type="expression" dxfId="1253" priority="4030" stopIfTrue="1">
      <formula>"if=B1"</formula>
    </cfRule>
    <cfRule type="expression" dxfId="1252" priority="4031" stopIfTrue="1">
      <formula>$B80</formula>
    </cfRule>
    <cfRule type="expression" dxfId="1251" priority="4032" stopIfTrue="1">
      <formula>B80</formula>
    </cfRule>
  </conditionalFormatting>
  <conditionalFormatting sqref="M91">
    <cfRule type="expression" dxfId="1250" priority="4157" stopIfTrue="1">
      <formula>"if=B1"</formula>
    </cfRule>
    <cfRule type="expression" dxfId="1249" priority="4158" stopIfTrue="1">
      <formula>$B25</formula>
    </cfRule>
    <cfRule type="expression" dxfId="1248" priority="4159" stopIfTrue="1">
      <formula>B25</formula>
    </cfRule>
  </conditionalFormatting>
  <conditionalFormatting sqref="M46">
    <cfRule type="expression" dxfId="1247" priority="4160" stopIfTrue="1">
      <formula>"if=B1"</formula>
    </cfRule>
    <cfRule type="expression" dxfId="1246" priority="4161" stopIfTrue="1">
      <formula>$B91</formula>
    </cfRule>
    <cfRule type="expression" dxfId="1245"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'111'!B279</xm:f>
            <x14:dxf>
              <fill>
                <patternFill>
                  <bgColor rgb="FFFFFF00"/>
                </patternFill>
              </fill>
            </x14:dxf>
          </x14:cfRule>
          <x14:cfRule type="cellIs" priority="178" operator="equal" id="{17D7F969-E8A4-40C7-AB91-A6F88D8D8ACF}">
            <xm:f>'111'!B279</xm:f>
            <x14:dxf>
              <font>
                <color rgb="FF9C0006"/>
              </font>
            </x14:dxf>
          </x14:cfRule>
          <xm:sqref>L288:L351</xm:sqref>
        </x14:conditionalFormatting>
        <x14:conditionalFormatting xmlns:xm="http://schemas.microsoft.com/office/excel/2006/main">
          <x14:cfRule type="expression" priority="189" id="{936E3BBF-5304-4383-B5E9-70BF631B84C1}">
            <xm:f>'111'!B291</xm:f>
            <x14:dxf>
              <fill>
                <patternFill>
                  <bgColor rgb="FFFFFF00"/>
                </patternFill>
              </fill>
            </x14:dxf>
          </x14:cfRule>
          <x14:cfRule type="cellIs" priority="190" operator="equal" id="{D024AFF6-DB12-43BF-A197-440765E0B2FC}">
            <xm:f>'111'!B291</xm:f>
            <x14:dxf>
              <font>
                <color rgb="FF9C0006"/>
              </font>
            </x14:dxf>
          </x14:cfRule>
          <xm:sqref>L341:L343 L304:L317</xm:sqref>
        </x14:conditionalFormatting>
        <x14:conditionalFormatting xmlns:xm="http://schemas.microsoft.com/office/excel/2006/main">
          <x14:cfRule type="expression" priority="201" id="{80662879-230F-4D97-B041-77D430364D9B}">
            <xm:f>'111'!B287</xm:f>
            <x14:dxf>
              <fill>
                <patternFill>
                  <bgColor rgb="FFFFFF00"/>
                </patternFill>
              </fill>
            </x14:dxf>
          </x14:cfRule>
          <x14:cfRule type="cellIs" priority="202" operator="equal" id="{6E067068-65E6-4EF6-B50A-466585E700C6}">
            <xm:f>'111'!B287</xm:f>
            <x14:dxf>
              <font>
                <color rgb="FF9C0006"/>
              </font>
            </x14:dxf>
          </x14:cfRule>
          <xm:sqref>L344:L351 L299:L331</xm:sqref>
        </x14:conditionalFormatting>
        <x14:conditionalFormatting xmlns:xm="http://schemas.microsoft.com/office/excel/2006/main">
          <x14:cfRule type="expression" priority="213" id="{DA6C87EF-53EB-4674-AAD7-5749A3DC3BD8}">
            <xm:f>'111'!B331</xm:f>
            <x14:dxf>
              <fill>
                <patternFill>
                  <bgColor rgb="FFFFFF00"/>
                </patternFill>
              </fill>
            </x14:dxf>
          </x14:cfRule>
          <x14:cfRule type="cellIs" priority="214" operator="equal" id="{27B2744A-70DD-4983-957C-8AEA2BCEACDE}">
            <xm:f>'111'!B331</xm:f>
            <x14:dxf>
              <font>
                <color rgb="FF9C0006"/>
              </font>
            </x14:dxf>
          </x14:cfRule>
          <xm:sqref>L341:L351</xm:sqref>
        </x14:conditionalFormatting>
        <x14:conditionalFormatting xmlns:xm="http://schemas.microsoft.com/office/excel/2006/main">
          <x14:cfRule type="expression" priority="225" id="{BAA8E1A7-8C8E-41E3-A8FC-2FF2914F1AE1}">
            <xm:f>'111'!B330</xm:f>
            <x14:dxf>
              <fill>
                <patternFill>
                  <bgColor rgb="FFFFFF00"/>
                </patternFill>
              </fill>
            </x14:dxf>
          </x14:cfRule>
          <x14:cfRule type="cellIs" priority="226" operator="equal" id="{67D1ADBD-ED26-4496-843D-97A41B677CA8}">
            <xm:f>'111'!B330</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'111'!B307</xm:f>
            <x14:dxf>
              <fill>
                <patternFill>
                  <bgColor rgb="FFFFFF00"/>
                </patternFill>
              </fill>
            </x14:dxf>
          </x14:cfRule>
          <x14:cfRule type="cellIs" priority="250" operator="equal" id="{E00287C4-D7AF-4554-A6E4-B4850CC6FB7D}">
            <xm:f>'111'!B307</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693" t="s">
        <v>492</v>
      </c>
      <c r="B1" s="1693"/>
      <c r="C1" s="1693"/>
      <c r="D1" s="1693"/>
      <c r="E1" s="1693"/>
      <c r="F1" s="1693"/>
      <c r="G1" s="1693"/>
      <c r="H1" s="1693"/>
      <c r="I1" s="1693"/>
      <c r="J1" s="1693"/>
      <c r="K1" s="1050"/>
      <c r="L1" s="1050"/>
      <c r="M1" s="1050"/>
      <c r="O1" s="723"/>
      <c r="P1" s="723"/>
      <c r="Q1" s="723"/>
      <c r="R1" s="723"/>
      <c r="S1" s="723"/>
      <c r="T1" s="724"/>
      <c r="U1" s="1691" t="s">
        <v>849</v>
      </c>
      <c r="V1" s="1691"/>
      <c r="W1" s="1691"/>
      <c r="X1" s="1691"/>
      <c r="Y1" s="1691"/>
      <c r="Z1" s="1691"/>
      <c r="AA1" s="1691"/>
      <c r="AB1" s="1691"/>
      <c r="AC1" s="723"/>
      <c r="AD1" s="723"/>
      <c r="AE1" s="723"/>
      <c r="AF1" s="723"/>
    </row>
    <row r="2" spans="1:32" s="722" customFormat="1" ht="14.25">
      <c r="A2" s="1691" t="s">
        <v>1563</v>
      </c>
      <c r="B2" s="1691"/>
      <c r="C2" s="1691"/>
      <c r="D2" s="1691"/>
      <c r="E2" s="1691"/>
      <c r="F2" s="1691"/>
      <c r="G2" s="1691"/>
      <c r="H2" s="1691"/>
      <c r="I2" s="1691"/>
      <c r="J2" s="1691"/>
      <c r="K2" s="1049"/>
      <c r="L2" s="1049"/>
      <c r="M2" s="1049"/>
      <c r="O2" s="723"/>
      <c r="P2" s="723"/>
      <c r="Q2" s="723"/>
      <c r="R2" s="723"/>
      <c r="S2" s="723"/>
      <c r="T2" s="723"/>
      <c r="U2" s="723"/>
      <c r="V2" s="723"/>
      <c r="W2" s="723"/>
      <c r="X2" s="1691" t="s">
        <v>2179</v>
      </c>
      <c r="Y2" s="1691"/>
      <c r="Z2" s="1691"/>
      <c r="AA2" s="1691"/>
      <c r="AB2" s="1691"/>
      <c r="AC2" s="723"/>
      <c r="AF2" s="723"/>
    </row>
    <row r="3" spans="1:32" s="722" customFormat="1" ht="15" customHeight="1">
      <c r="A3" s="1691" t="s">
        <v>1564</v>
      </c>
      <c r="B3" s="1691"/>
      <c r="C3" s="1691"/>
      <c r="D3" s="1691"/>
      <c r="E3" s="1691"/>
      <c r="F3" s="1691"/>
      <c r="G3" s="1691"/>
      <c r="H3" s="1691"/>
      <c r="I3" s="1691"/>
      <c r="J3" s="1691"/>
      <c r="K3" s="1691"/>
      <c r="L3" s="1691"/>
      <c r="M3" s="1691"/>
      <c r="O3" s="723"/>
      <c r="P3" s="723"/>
      <c r="Q3" s="723"/>
      <c r="R3" s="723"/>
      <c r="S3" s="723"/>
      <c r="T3" s="723"/>
      <c r="U3" s="723"/>
      <c r="V3" s="723"/>
      <c r="W3" s="723"/>
      <c r="X3" s="723"/>
      <c r="Y3" s="723"/>
      <c r="Z3" s="1691" t="s">
        <v>2180</v>
      </c>
      <c r="AA3" s="1691"/>
      <c r="AB3" s="1691"/>
      <c r="AC3" s="723"/>
      <c r="AD3" s="723"/>
      <c r="AE3" s="723"/>
      <c r="AF3" s="723"/>
    </row>
    <row r="4" spans="1:32" s="722" customFormat="1" ht="16.5" customHeight="1">
      <c r="A4" s="1691"/>
      <c r="B4" s="1691"/>
      <c r="C4" s="1691"/>
      <c r="D4" s="1691"/>
      <c r="E4" s="1691"/>
      <c r="F4" s="1691"/>
      <c r="G4" s="1691"/>
      <c r="H4" s="1691"/>
      <c r="I4" s="1691"/>
      <c r="J4" s="1691"/>
      <c r="K4" s="1691"/>
      <c r="L4" s="1691"/>
      <c r="M4" s="1691"/>
      <c r="N4" s="726"/>
      <c r="O4" s="727"/>
      <c r="P4" s="1050"/>
      <c r="Q4" s="1050"/>
      <c r="R4" s="1050"/>
      <c r="S4" s="727"/>
      <c r="T4" s="728"/>
      <c r="U4" s="727"/>
      <c r="V4" s="729"/>
      <c r="W4" s="729"/>
      <c r="X4" s="727"/>
      <c r="Y4" s="727"/>
      <c r="Z4" s="1693" t="s">
        <v>2181</v>
      </c>
      <c r="AA4" s="1693"/>
      <c r="AB4" s="1693"/>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50"/>
      <c r="Q5" s="1050"/>
      <c r="R5" s="1050"/>
      <c r="S5" s="727"/>
      <c r="T5" s="728"/>
      <c r="U5" s="727"/>
      <c r="V5" s="729"/>
      <c r="W5" s="729"/>
      <c r="X5" s="727"/>
      <c r="Y5" s="727"/>
      <c r="Z5" s="1693" t="s">
        <v>2182</v>
      </c>
      <c r="AA5" s="1693"/>
      <c r="AB5" s="1693"/>
      <c r="AC5" s="732"/>
      <c r="AD5" s="732"/>
      <c r="AE5" s="732"/>
      <c r="AF5" s="732"/>
    </row>
    <row r="6" spans="1:32"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733"/>
      <c r="AD6" s="733"/>
      <c r="AE6" s="733"/>
      <c r="AF6" s="733"/>
    </row>
    <row r="7" spans="1:32" s="722" customFormat="1" ht="18" customHeight="1">
      <c r="A7" s="1690" t="s">
        <v>2248</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733"/>
      <c r="AD7" s="733"/>
      <c r="AE7" s="733"/>
      <c r="AF7" s="733"/>
    </row>
    <row r="8" spans="1:32" s="521" customFormat="1" ht="16.5" customHeight="1">
      <c r="A8" s="520" t="s">
        <v>2013</v>
      </c>
      <c r="C8" s="522">
        <v>1490000</v>
      </c>
      <c r="D8" s="523"/>
      <c r="E8" s="523"/>
      <c r="F8" s="1052"/>
      <c r="G8" s="525">
        <v>1800000</v>
      </c>
      <c r="H8" s="525"/>
      <c r="I8" s="526"/>
      <c r="J8" s="526"/>
      <c r="K8" s="527"/>
      <c r="L8" s="528"/>
      <c r="M8" s="526"/>
      <c r="N8" s="529"/>
      <c r="O8" s="1684"/>
      <c r="P8" s="1684"/>
      <c r="Q8" s="1684"/>
      <c r="R8" s="1684"/>
      <c r="S8" s="1684"/>
      <c r="T8" s="530"/>
      <c r="U8" s="531"/>
      <c r="V8" s="608"/>
      <c r="W8" s="1046" t="s">
        <v>1181</v>
      </c>
      <c r="X8" s="1046"/>
      <c r="Y8" s="1046"/>
      <c r="Z8" s="1046"/>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1" t="s">
        <v>853</v>
      </c>
      <c r="B10" s="1702" t="s">
        <v>854</v>
      </c>
      <c r="C10" s="1702"/>
      <c r="D10" s="93" t="s">
        <v>1598</v>
      </c>
      <c r="E10" s="437" t="s">
        <v>50</v>
      </c>
      <c r="F10" s="719" t="s">
        <v>2176</v>
      </c>
      <c r="G10" s="228" t="s">
        <v>1138</v>
      </c>
      <c r="H10" s="45" t="s">
        <v>1139</v>
      </c>
      <c r="I10" s="45" t="s">
        <v>1140</v>
      </c>
      <c r="J10" s="719" t="s">
        <v>2176</v>
      </c>
      <c r="K10" s="83" t="s">
        <v>855</v>
      </c>
      <c r="L10" s="364" t="s">
        <v>1141</v>
      </c>
      <c r="M10" s="1047" t="s">
        <v>860</v>
      </c>
      <c r="N10" s="1047" t="s">
        <v>1186</v>
      </c>
      <c r="O10" s="1047" t="s">
        <v>861</v>
      </c>
      <c r="P10" s="1047" t="s">
        <v>857</v>
      </c>
      <c r="Q10" s="1047" t="s">
        <v>1187</v>
      </c>
      <c r="R10" s="470" t="s">
        <v>1247</v>
      </c>
      <c r="S10" s="98" t="s">
        <v>1188</v>
      </c>
      <c r="T10" s="399" t="s">
        <v>1184</v>
      </c>
      <c r="U10" s="1047" t="s">
        <v>1189</v>
      </c>
      <c r="V10" s="610" t="s">
        <v>1190</v>
      </c>
      <c r="W10" s="1047" t="s">
        <v>1100</v>
      </c>
      <c r="X10" s="718" t="s">
        <v>2172</v>
      </c>
      <c r="Y10" s="718" t="s">
        <v>2173</v>
      </c>
      <c r="Z10" s="718" t="s">
        <v>2174</v>
      </c>
      <c r="AA10" s="1695" t="s">
        <v>2175</v>
      </c>
      <c r="AB10" s="1696"/>
      <c r="AC10" s="454"/>
      <c r="AF10" s="159"/>
    </row>
    <row r="11" spans="1:32" s="113" customFormat="1" ht="15" customHeight="1">
      <c r="A11" s="1045" t="s">
        <v>858</v>
      </c>
      <c r="B11" s="1679" t="s">
        <v>525</v>
      </c>
      <c r="C11" s="1679"/>
      <c r="D11" s="1045"/>
      <c r="E11" s="438"/>
      <c r="F11" s="1045" t="s">
        <v>786</v>
      </c>
      <c r="G11" s="1045" t="s">
        <v>1113</v>
      </c>
      <c r="H11" s="1045" t="s">
        <v>1114</v>
      </c>
      <c r="I11" s="1045" t="s">
        <v>1115</v>
      </c>
      <c r="J11" s="1048" t="s">
        <v>786</v>
      </c>
      <c r="K11" s="77" t="s">
        <v>1112</v>
      </c>
      <c r="L11" s="365" t="s">
        <v>1117</v>
      </c>
      <c r="M11" s="1045" t="s">
        <v>1113</v>
      </c>
      <c r="N11" s="1045" t="s">
        <v>1114</v>
      </c>
      <c r="O11" s="1045" t="s">
        <v>1115</v>
      </c>
      <c r="P11" s="1045" t="s">
        <v>1116</v>
      </c>
      <c r="Q11" s="1045" t="s">
        <v>1117</v>
      </c>
      <c r="R11" s="471" t="s">
        <v>1125</v>
      </c>
      <c r="S11" s="1045" t="s">
        <v>1118</v>
      </c>
      <c r="T11" s="400" t="s">
        <v>1127</v>
      </c>
      <c r="U11" s="1045">
        <v>10</v>
      </c>
      <c r="V11" s="611" t="s">
        <v>2022</v>
      </c>
      <c r="W11" s="1045">
        <v>11</v>
      </c>
      <c r="X11" s="1048">
        <v>1</v>
      </c>
      <c r="Y11" s="1048">
        <v>2</v>
      </c>
      <c r="Z11" s="1048" t="s">
        <v>2177</v>
      </c>
      <c r="AA11" s="1688" t="s">
        <v>2178</v>
      </c>
      <c r="AB11" s="1689"/>
      <c r="AC11" s="455"/>
      <c r="AF11" s="160"/>
    </row>
    <row r="12" spans="1:32" hidden="1">
      <c r="A12" s="1694" t="s">
        <v>492</v>
      </c>
      <c r="B12" s="1694"/>
      <c r="C12" s="1694"/>
      <c r="D12" s="1694"/>
      <c r="E12" s="1694"/>
      <c r="F12" s="1694"/>
      <c r="G12" s="1694"/>
      <c r="H12" s="1694"/>
      <c r="I12" s="1694"/>
      <c r="J12" s="1694"/>
      <c r="K12" s="1694"/>
      <c r="L12" s="1694"/>
      <c r="M12" s="1694"/>
      <c r="O12" s="19"/>
      <c r="P12" s="19"/>
      <c r="Q12" s="19"/>
      <c r="R12" s="467"/>
      <c r="S12" s="1678" t="s">
        <v>849</v>
      </c>
      <c r="T12" s="1678"/>
      <c r="U12" s="1678"/>
      <c r="V12" s="1678"/>
      <c r="W12" s="1678"/>
      <c r="X12" s="1678"/>
      <c r="Y12" s="1678"/>
      <c r="Z12" s="1678"/>
      <c r="AA12" s="1678"/>
      <c r="AB12" s="1678"/>
    </row>
    <row r="13" spans="1:32" ht="15" hidden="1" customHeight="1">
      <c r="A13" s="1678" t="s">
        <v>1563</v>
      </c>
      <c r="B13" s="1678"/>
      <c r="C13" s="1678"/>
      <c r="D13" s="1678"/>
      <c r="E13" s="1678"/>
      <c r="F13" s="1678"/>
      <c r="G13" s="1678"/>
      <c r="H13" s="1678"/>
      <c r="I13" s="1678"/>
      <c r="J13" s="1678"/>
      <c r="K13" s="1678"/>
      <c r="L13" s="1678"/>
      <c r="M13" s="1678"/>
      <c r="O13" s="19"/>
      <c r="P13" s="19"/>
      <c r="Q13" s="19"/>
      <c r="R13" s="467"/>
      <c r="S13" s="1678" t="s">
        <v>851</v>
      </c>
      <c r="T13" s="1678"/>
      <c r="U13" s="1678"/>
      <c r="V13" s="1678"/>
      <c r="W13" s="1678"/>
      <c r="X13" s="1678"/>
      <c r="Y13" s="1678"/>
      <c r="Z13" s="1678"/>
      <c r="AA13" s="1678"/>
      <c r="AB13" s="1678"/>
    </row>
    <row r="14" spans="1:32" ht="16.5" hidden="1" customHeight="1">
      <c r="A14" s="1678" t="s">
        <v>1564</v>
      </c>
      <c r="B14" s="1678"/>
      <c r="C14" s="1678"/>
      <c r="D14" s="1678"/>
      <c r="E14" s="1678"/>
      <c r="F14" s="1678"/>
      <c r="G14" s="1678"/>
      <c r="H14" s="1678"/>
      <c r="I14" s="1678"/>
      <c r="J14" s="1678"/>
      <c r="K14" s="1678"/>
      <c r="L14" s="1678"/>
      <c r="M14" s="1678"/>
      <c r="N14" s="104"/>
      <c r="O14" s="1035"/>
      <c r="P14" s="1035"/>
      <c r="Q14" s="17"/>
      <c r="R14" s="468"/>
      <c r="S14" s="17"/>
      <c r="T14" s="397"/>
      <c r="U14" s="17"/>
      <c r="V14" s="607"/>
      <c r="W14" s="17"/>
      <c r="X14" s="17"/>
      <c r="Y14" s="17"/>
      <c r="Z14" s="17"/>
      <c r="AA14" s="16"/>
    </row>
    <row r="15" spans="1:32" ht="9" hidden="1" customHeight="1">
      <c r="A15" s="1042"/>
      <c r="B15" s="1042"/>
      <c r="C15" s="1042"/>
      <c r="D15" s="1042"/>
      <c r="E15" s="1042"/>
      <c r="F15" s="1042"/>
      <c r="G15" s="1042"/>
      <c r="H15" s="1042"/>
      <c r="I15" s="1042"/>
      <c r="J15" s="1042"/>
      <c r="K15" s="1042"/>
      <c r="L15" s="1042"/>
      <c r="M15" s="1042"/>
      <c r="N15" s="104"/>
      <c r="O15" s="1035"/>
      <c r="P15" s="1035"/>
      <c r="Q15" s="17"/>
      <c r="R15" s="468"/>
      <c r="S15" s="17"/>
      <c r="T15" s="397"/>
      <c r="U15" s="17"/>
      <c r="V15" s="607"/>
      <c r="W15" s="17"/>
      <c r="X15" s="17"/>
      <c r="Y15" s="17"/>
      <c r="Z15" s="17"/>
      <c r="AA15" s="16"/>
    </row>
    <row r="16" spans="1:32" ht="18.75" hidden="1" customHeight="1">
      <c r="A16" s="1682" t="s">
        <v>2211</v>
      </c>
      <c r="B16" s="1682"/>
      <c r="C16" s="1682"/>
      <c r="D16" s="1682"/>
      <c r="E16" s="1682"/>
      <c r="F16" s="1682"/>
      <c r="G16" s="1682"/>
      <c r="H16" s="1682"/>
      <c r="I16" s="1682"/>
      <c r="J16" s="1682"/>
      <c r="K16" s="1682"/>
      <c r="L16" s="1682"/>
      <c r="M16" s="1682"/>
      <c r="N16" s="1682"/>
      <c r="O16" s="1682"/>
      <c r="P16" s="1682"/>
      <c r="Q16" s="1682"/>
      <c r="R16" s="1682"/>
      <c r="S16" s="1682"/>
      <c r="T16" s="1682"/>
      <c r="U16" s="1682"/>
      <c r="V16" s="1682"/>
      <c r="W16" s="1682"/>
      <c r="X16" s="1682"/>
      <c r="Y16" s="1682"/>
      <c r="Z16" s="1682"/>
      <c r="AA16" s="1682"/>
      <c r="AB16" s="1682"/>
    </row>
    <row r="17" spans="1:42" ht="18.75" hidden="1" customHeight="1">
      <c r="A17" s="1682" t="s">
        <v>1600</v>
      </c>
      <c r="B17" s="1682"/>
      <c r="C17" s="1682"/>
      <c r="D17" s="1682"/>
      <c r="E17" s="1682"/>
      <c r="F17" s="1682"/>
      <c r="G17" s="1682"/>
      <c r="H17" s="1682"/>
      <c r="I17" s="1682"/>
      <c r="J17" s="1682"/>
      <c r="K17" s="1682"/>
      <c r="L17" s="1682"/>
      <c r="M17" s="1682"/>
      <c r="N17" s="1682"/>
      <c r="O17" s="1682"/>
      <c r="P17" s="1682"/>
      <c r="Q17" s="1682"/>
      <c r="R17" s="1682"/>
      <c r="S17" s="1682"/>
      <c r="T17" s="1682"/>
      <c r="U17" s="1682"/>
      <c r="V17" s="1682"/>
      <c r="W17" s="1682"/>
      <c r="X17" s="1682"/>
      <c r="Y17" s="1682"/>
      <c r="Z17" s="1682"/>
      <c r="AA17" s="1682"/>
      <c r="AB17" s="1682"/>
    </row>
    <row r="18" spans="1:42" ht="54" hidden="1" customHeight="1">
      <c r="A18" s="1683" t="s">
        <v>2007</v>
      </c>
      <c r="B18" s="1683"/>
      <c r="C18" s="1683"/>
      <c r="D18" s="1683"/>
      <c r="E18" s="1683"/>
      <c r="F18" s="1683"/>
      <c r="G18" s="1683"/>
      <c r="H18" s="1683"/>
      <c r="I18" s="1683"/>
      <c r="J18" s="1683"/>
      <c r="K18" s="1683"/>
      <c r="L18" s="1683"/>
      <c r="M18" s="1683"/>
      <c r="N18" s="1683"/>
      <c r="O18" s="1683"/>
      <c r="P18" s="1683"/>
      <c r="Q18" s="1683"/>
      <c r="R18" s="1683"/>
      <c r="S18" s="1683"/>
      <c r="T18" s="1683"/>
      <c r="U18" s="1683"/>
      <c r="V18" s="1683"/>
      <c r="W18" s="1683"/>
      <c r="X18" s="1683"/>
      <c r="Y18" s="1683"/>
      <c r="Z18" s="1683"/>
      <c r="AA18" s="1683"/>
      <c r="AB18" s="1683"/>
    </row>
    <row r="19" spans="1:42" s="521" customFormat="1" ht="16.5" hidden="1" customHeight="1">
      <c r="A19" s="520" t="s">
        <v>2013</v>
      </c>
      <c r="C19" s="522">
        <v>1490000</v>
      </c>
      <c r="D19" s="523"/>
      <c r="E19" s="523"/>
      <c r="F19" s="523"/>
      <c r="G19" s="1044"/>
      <c r="H19" s="525">
        <v>1800000</v>
      </c>
      <c r="I19" s="525"/>
      <c r="J19" s="526"/>
      <c r="K19" s="527"/>
      <c r="L19" s="528"/>
      <c r="M19" s="526"/>
      <c r="N19" s="529"/>
      <c r="O19" s="1684"/>
      <c r="P19" s="1684"/>
      <c r="Q19" s="1684"/>
      <c r="R19" s="1684"/>
      <c r="S19" s="1684"/>
      <c r="T19" s="530"/>
      <c r="U19" s="531"/>
      <c r="V19" s="608"/>
      <c r="W19" s="1036" t="s">
        <v>1181</v>
      </c>
      <c r="X19" s="1036"/>
      <c r="Y19" s="1036"/>
      <c r="Z19" s="1036"/>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7" t="s">
        <v>853</v>
      </c>
      <c r="B21" s="1685" t="s">
        <v>854</v>
      </c>
      <c r="C21" s="1685"/>
      <c r="D21" s="93" t="s">
        <v>1598</v>
      </c>
      <c r="E21" s="437" t="s">
        <v>50</v>
      </c>
      <c r="F21" s="1053"/>
      <c r="G21" s="45" t="s">
        <v>1137</v>
      </c>
      <c r="H21" s="228" t="s">
        <v>1138</v>
      </c>
      <c r="I21" s="45" t="s">
        <v>1139</v>
      </c>
      <c r="J21" s="45" t="s">
        <v>1140</v>
      </c>
      <c r="K21" s="83" t="s">
        <v>855</v>
      </c>
      <c r="L21" s="364" t="s">
        <v>1141</v>
      </c>
      <c r="M21" s="1037" t="s">
        <v>860</v>
      </c>
      <c r="N21" s="1037" t="s">
        <v>1186</v>
      </c>
      <c r="O21" s="1037" t="s">
        <v>861</v>
      </c>
      <c r="P21" s="1037" t="s">
        <v>857</v>
      </c>
      <c r="Q21" s="1037" t="s">
        <v>1187</v>
      </c>
      <c r="R21" s="470" t="s">
        <v>1247</v>
      </c>
      <c r="S21" s="98" t="s">
        <v>1188</v>
      </c>
      <c r="T21" s="399" t="s">
        <v>1184</v>
      </c>
      <c r="U21" s="1037" t="s">
        <v>1189</v>
      </c>
      <c r="V21" s="610" t="s">
        <v>1190</v>
      </c>
      <c r="W21" s="1037" t="s">
        <v>1100</v>
      </c>
      <c r="X21" s="459"/>
      <c r="Y21" s="459"/>
      <c r="Z21" s="459"/>
      <c r="AA21" s="1686" t="s">
        <v>40</v>
      </c>
      <c r="AB21" s="1687"/>
      <c r="AC21" s="454"/>
      <c r="AF21" s="159"/>
    </row>
    <row r="22" spans="1:42" s="113" customFormat="1" ht="15" hidden="1" customHeight="1">
      <c r="A22" s="1040" t="s">
        <v>1110</v>
      </c>
      <c r="B22" s="1679" t="s">
        <v>1111</v>
      </c>
      <c r="C22" s="1679"/>
      <c r="D22" s="1040"/>
      <c r="E22" s="438"/>
      <c r="F22" s="438"/>
      <c r="G22" s="1040" t="s">
        <v>1112</v>
      </c>
      <c r="H22" s="1040" t="s">
        <v>1113</v>
      </c>
      <c r="I22" s="1040" t="s">
        <v>1114</v>
      </c>
      <c r="J22" s="1040" t="s">
        <v>1115</v>
      </c>
      <c r="K22" s="77" t="s">
        <v>1112</v>
      </c>
      <c r="L22" s="365" t="s">
        <v>1117</v>
      </c>
      <c r="M22" s="1040" t="s">
        <v>1113</v>
      </c>
      <c r="N22" s="1040" t="s">
        <v>1114</v>
      </c>
      <c r="O22" s="1040" t="s">
        <v>1115</v>
      </c>
      <c r="P22" s="1040" t="s">
        <v>1116</v>
      </c>
      <c r="Q22" s="1040" t="s">
        <v>1117</v>
      </c>
      <c r="R22" s="471" t="s">
        <v>1125</v>
      </c>
      <c r="S22" s="1040" t="s">
        <v>1118</v>
      </c>
      <c r="T22" s="400" t="s">
        <v>1127</v>
      </c>
      <c r="U22" s="1040">
        <v>10</v>
      </c>
      <c r="V22" s="611" t="s">
        <v>2022</v>
      </c>
      <c r="W22" s="1040">
        <v>11</v>
      </c>
      <c r="X22" s="1041"/>
      <c r="Y22" s="1041"/>
      <c r="Z22" s="1041"/>
      <c r="AA22" s="1688">
        <v>12</v>
      </c>
      <c r="AB22" s="1689"/>
      <c r="AC22" s="455"/>
      <c r="AF22" s="160"/>
    </row>
    <row r="23" spans="1:42" s="387" customFormat="1" ht="24.75" customHeight="1">
      <c r="A23" s="394">
        <f>_xlfn.AGGREGATE(4,7,A$22:A22)+1</f>
        <v>1</v>
      </c>
      <c r="B23" s="1054" t="s">
        <v>1433</v>
      </c>
      <c r="C23" s="1055" t="s">
        <v>1434</v>
      </c>
      <c r="D23" s="411" t="s">
        <v>1613</v>
      </c>
      <c r="E23" s="496" t="s">
        <v>1435</v>
      </c>
      <c r="F23" s="1056"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8">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9">
        <f>W23/Y23</f>
        <v>10.656000000000001</v>
      </c>
      <c r="Y23" s="714">
        <v>1800000</v>
      </c>
      <c r="Z23" s="715">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7" t="s">
        <v>1439</v>
      </c>
      <c r="D24" s="423" t="s">
        <v>1614</v>
      </c>
      <c r="E24" s="439" t="s">
        <v>1442</v>
      </c>
      <c r="F24" s="1058"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80">
        <f>W24/Y24</f>
        <v>9.6457600000000028</v>
      </c>
      <c r="Y24" s="509">
        <v>1800000</v>
      </c>
      <c r="Z24" s="715">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7" t="s">
        <v>867</v>
      </c>
      <c r="D25" s="451" t="s">
        <v>1615</v>
      </c>
      <c r="E25" s="440" t="s">
        <v>1255</v>
      </c>
      <c r="F25" s="1058"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0">
        <f t="shared" ref="X25:X88" si="10">W25/Y25</f>
        <v>9.7254400000000008</v>
      </c>
      <c r="Y25" s="509">
        <v>1800000</v>
      </c>
      <c r="Z25" s="715">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7"/>
      <c r="D26" s="451" t="s">
        <v>1954</v>
      </c>
      <c r="E26" s="107" t="s">
        <v>1937</v>
      </c>
      <c r="F26" s="1058"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80">
        <f t="shared" si="10"/>
        <v>8.5600000000000023</v>
      </c>
      <c r="Y26" s="509">
        <v>1800000</v>
      </c>
      <c r="Z26" s="715">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7" t="s">
        <v>891</v>
      </c>
      <c r="D27" s="33" t="s">
        <v>1995</v>
      </c>
      <c r="E27" s="449" t="s">
        <v>1577</v>
      </c>
      <c r="F27" s="1058"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80">
        <f t="shared" si="10"/>
        <v>9.0863999999999994</v>
      </c>
      <c r="Y27" s="509">
        <v>1800000</v>
      </c>
      <c r="Z27" s="715">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9" t="s">
        <v>1596</v>
      </c>
      <c r="C28" s="1059" t="s">
        <v>979</v>
      </c>
      <c r="D28" s="435" t="s">
        <v>1623</v>
      </c>
      <c r="E28" s="443">
        <v>1603205353720</v>
      </c>
      <c r="F28" s="1058"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80">
        <f t="shared" si="10"/>
        <v>5.8879999999999999</v>
      </c>
      <c r="Y28" s="509">
        <v>1800000</v>
      </c>
      <c r="Z28" s="715">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7" t="s">
        <v>266</v>
      </c>
      <c r="D29" s="451" t="s">
        <v>1660</v>
      </c>
      <c r="E29" s="445">
        <v>1603205185719</v>
      </c>
      <c r="F29" s="1058"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80">
        <f t="shared" si="10"/>
        <v>5.36</v>
      </c>
      <c r="Y29" s="509">
        <v>1800000</v>
      </c>
      <c r="Z29" s="715">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7" t="s">
        <v>996</v>
      </c>
      <c r="D30" s="451" t="s">
        <v>1618</v>
      </c>
      <c r="E30" s="440" t="s">
        <v>1264</v>
      </c>
      <c r="F30" s="1058"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80">
        <f t="shared" si="10"/>
        <v>5.1239999999999997</v>
      </c>
      <c r="Y30" s="509">
        <v>1800000</v>
      </c>
      <c r="Z30" s="715">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7" t="s">
        <v>1169</v>
      </c>
      <c r="D31" s="451" t="s">
        <v>1619</v>
      </c>
      <c r="E31" s="440" t="s">
        <v>1265</v>
      </c>
      <c r="F31" s="1058"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80">
        <f t="shared" si="10"/>
        <v>4.7880000000000003</v>
      </c>
      <c r="Y31" s="509">
        <v>1800000</v>
      </c>
      <c r="Z31" s="715">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7" t="s">
        <v>951</v>
      </c>
      <c r="D32" s="451" t="s">
        <v>1620</v>
      </c>
      <c r="E32" s="443" t="s">
        <v>1574</v>
      </c>
      <c r="F32" s="1058"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80">
        <f t="shared" si="10"/>
        <v>4.8440000000000003</v>
      </c>
      <c r="Y32" s="509">
        <v>1800000</v>
      </c>
      <c r="Z32" s="715">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7" t="s">
        <v>1436</v>
      </c>
      <c r="D33" s="423" t="s">
        <v>1621</v>
      </c>
      <c r="E33" s="444">
        <v>1603205280047</v>
      </c>
      <c r="F33" s="1058"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80">
        <f t="shared" si="10"/>
        <v>4.3920000000000003</v>
      </c>
      <c r="Y33" s="509">
        <v>1800000</v>
      </c>
      <c r="Z33" s="715">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7" t="s">
        <v>996</v>
      </c>
      <c r="D34" s="451" t="s">
        <v>1622</v>
      </c>
      <c r="E34" s="445" t="s">
        <v>385</v>
      </c>
      <c r="F34" s="1058"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80">
        <f t="shared" si="10"/>
        <v>4.3920000000000003</v>
      </c>
      <c r="Y34" s="509">
        <v>1800000</v>
      </c>
      <c r="Z34" s="715">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7" t="s">
        <v>1094</v>
      </c>
      <c r="D35" s="423" t="s">
        <v>1643</v>
      </c>
      <c r="E35" s="440" t="s">
        <v>8</v>
      </c>
      <c r="F35" s="1058"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80">
        <f t="shared" si="10"/>
        <v>4.3920000000000003</v>
      </c>
      <c r="Y35" s="509">
        <v>1800000</v>
      </c>
      <c r="Z35" s="715">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7" t="s">
        <v>1431</v>
      </c>
      <c r="D36" s="451" t="s">
        <v>1644</v>
      </c>
      <c r="E36" s="443">
        <v>1603205360856</v>
      </c>
      <c r="F36" s="1058"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80">
        <f t="shared" si="10"/>
        <v>4.6619999999999999</v>
      </c>
      <c r="Y36" s="509">
        <v>1800000</v>
      </c>
      <c r="Z36" s="715">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9" t="s">
        <v>1603</v>
      </c>
      <c r="C37" s="1059" t="s">
        <v>1602</v>
      </c>
      <c r="D37" s="435" t="s">
        <v>1624</v>
      </c>
      <c r="E37" s="443">
        <v>1603205545491</v>
      </c>
      <c r="F37" s="1058"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80">
        <f t="shared" si="10"/>
        <v>3.1320000000000001</v>
      </c>
      <c r="Y37" s="509">
        <v>1800000</v>
      </c>
      <c r="Z37" s="715">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7" t="s">
        <v>1440</v>
      </c>
      <c r="D38" s="423" t="s">
        <v>1625</v>
      </c>
      <c r="E38" s="439" t="s">
        <v>1441</v>
      </c>
      <c r="F38" s="1058"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80">
        <f t="shared" si="10"/>
        <v>9.0863999999999994</v>
      </c>
      <c r="Y38" s="509">
        <v>1800000</v>
      </c>
      <c r="Z38" s="715">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7" t="s">
        <v>1028</v>
      </c>
      <c r="D39" s="423" t="s">
        <v>1626</v>
      </c>
      <c r="E39" s="440" t="s">
        <v>1393</v>
      </c>
      <c r="F39" s="1058"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80">
        <f t="shared" si="10"/>
        <v>9.0857600000000005</v>
      </c>
      <c r="Y39" s="509">
        <v>1800000</v>
      </c>
      <c r="Z39" s="715">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0" t="s">
        <v>1172</v>
      </c>
      <c r="D40" s="423" t="s">
        <v>1627</v>
      </c>
      <c r="E40" s="441" t="s">
        <v>1267</v>
      </c>
      <c r="F40" s="1058"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80">
        <f t="shared" si="10"/>
        <v>5.46</v>
      </c>
      <c r="Y40" s="509">
        <v>1800000</v>
      </c>
      <c r="Z40" s="715">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7" t="s">
        <v>1035</v>
      </c>
      <c r="D41" s="451" t="s">
        <v>1628</v>
      </c>
      <c r="E41" s="440" t="s">
        <v>1268</v>
      </c>
      <c r="F41" s="1058"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80">
        <f t="shared" si="10"/>
        <v>4.1520000000000001</v>
      </c>
      <c r="Y41" s="509">
        <v>1800000</v>
      </c>
      <c r="Z41" s="715">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0" t="s">
        <v>1087</v>
      </c>
      <c r="D42" s="423" t="s">
        <v>1629</v>
      </c>
      <c r="E42" s="448" t="s">
        <v>367</v>
      </c>
      <c r="F42" s="1058"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80">
        <f t="shared" si="10"/>
        <v>4.8440000000000003</v>
      </c>
      <c r="Y42" s="509">
        <v>1800000</v>
      </c>
      <c r="Z42" s="715">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7" t="s">
        <v>876</v>
      </c>
      <c r="D43" s="451" t="s">
        <v>1630</v>
      </c>
      <c r="E43" s="443">
        <v>1603205348129</v>
      </c>
      <c r="F43" s="1058"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80">
        <f t="shared" si="10"/>
        <v>4.6760000000000002</v>
      </c>
      <c r="Y43" s="509">
        <v>1800000</v>
      </c>
      <c r="Z43" s="715">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0" t="s">
        <v>939</v>
      </c>
      <c r="D44" s="423" t="s">
        <v>1631</v>
      </c>
      <c r="E44" s="448" t="s">
        <v>384</v>
      </c>
      <c r="F44" s="1058"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80">
        <f t="shared" si="10"/>
        <v>3.4936363636363641</v>
      </c>
      <c r="Y44" s="509">
        <v>1800000</v>
      </c>
      <c r="Z44" s="715">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1" t="s">
        <v>891</v>
      </c>
      <c r="D45" s="451" t="s">
        <v>1633</v>
      </c>
      <c r="E45" s="447">
        <v>1603205357238</v>
      </c>
      <c r="F45" s="1058"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80">
        <f t="shared" si="10"/>
        <v>4.2419999999999991</v>
      </c>
      <c r="Y45" s="509">
        <v>1800000</v>
      </c>
      <c r="Z45" s="715">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1" t="s">
        <v>876</v>
      </c>
      <c r="D46" s="451" t="s">
        <v>1634</v>
      </c>
      <c r="E46" s="443">
        <v>1603205302590</v>
      </c>
      <c r="F46" s="1058"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80">
        <f t="shared" si="10"/>
        <v>5.3440000000000003</v>
      </c>
      <c r="Y46" s="509">
        <v>1800000</v>
      </c>
      <c r="Z46" s="715">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9" t="s">
        <v>1606</v>
      </c>
      <c r="C47" s="1059" t="s">
        <v>1605</v>
      </c>
      <c r="D47" s="435" t="s">
        <v>1635</v>
      </c>
      <c r="E47" s="394" t="s">
        <v>1604</v>
      </c>
      <c r="F47" s="1058"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80">
        <f t="shared" si="10"/>
        <v>5.36</v>
      </c>
      <c r="Y47" s="509">
        <v>1800000</v>
      </c>
      <c r="Z47" s="715">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9" t="s">
        <v>1843</v>
      </c>
      <c r="C48" s="1059"/>
      <c r="D48" s="435" t="s">
        <v>1955</v>
      </c>
      <c r="E48" s="497" t="s">
        <v>1936</v>
      </c>
      <c r="F48" s="1058"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80">
        <f t="shared" si="10"/>
        <v>4.2720000000000002</v>
      </c>
      <c r="Y48" s="509">
        <v>1800000</v>
      </c>
      <c r="Z48" s="715">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0" t="s">
        <v>880</v>
      </c>
      <c r="D49" s="423" t="s">
        <v>1652</v>
      </c>
      <c r="E49" s="441" t="s">
        <v>1293</v>
      </c>
      <c r="F49" s="1058"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80">
        <f t="shared" si="10"/>
        <v>7.6706000000000003</v>
      </c>
      <c r="Y49" s="509">
        <v>1800000</v>
      </c>
      <c r="Z49" s="715">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7" t="s">
        <v>962</v>
      </c>
      <c r="D50" s="451" t="s">
        <v>1654</v>
      </c>
      <c r="E50" s="445">
        <v>1603205182619</v>
      </c>
      <c r="F50" s="1058"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0">
        <f t="shared" si="10"/>
        <v>4.3920000000000003</v>
      </c>
      <c r="Y50" s="509">
        <v>1800000</v>
      </c>
      <c r="Z50" s="715">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7"/>
      <c r="D51" s="451"/>
      <c r="E51" s="445"/>
      <c r="F51" s="1058"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80">
        <f t="shared" si="10"/>
        <v>7.7055999999999987</v>
      </c>
      <c r="Y51" s="509">
        <v>1800000</v>
      </c>
      <c r="Z51" s="715">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0" t="s">
        <v>900</v>
      </c>
      <c r="D52" s="423" t="s">
        <v>1636</v>
      </c>
      <c r="E52" s="441" t="s">
        <v>1258</v>
      </c>
      <c r="F52" s="1058"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80">
        <f t="shared" si="10"/>
        <v>8.1600000000000019</v>
      </c>
      <c r="Y52" s="509">
        <v>1800000</v>
      </c>
      <c r="Z52" s="715">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0" t="s">
        <v>885</v>
      </c>
      <c r="D53" s="423" t="s">
        <v>1637</v>
      </c>
      <c r="E53" s="448">
        <v>1603205247426</v>
      </c>
      <c r="F53" s="1058"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80">
        <f t="shared" si="10"/>
        <v>4.3920000000000003</v>
      </c>
      <c r="Y53" s="509">
        <v>1800000</v>
      </c>
      <c r="Z53" s="715">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7" t="s">
        <v>1443</v>
      </c>
      <c r="D54" s="423" t="s">
        <v>1638</v>
      </c>
      <c r="E54" s="439" t="s">
        <v>1576</v>
      </c>
      <c r="F54" s="1058"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80">
        <f t="shared" si="10"/>
        <v>11.636160000000002</v>
      </c>
      <c r="Y54" s="509">
        <v>1800000</v>
      </c>
      <c r="Z54" s="715">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0" t="s">
        <v>912</v>
      </c>
      <c r="D55" s="423" t="s">
        <v>1640</v>
      </c>
      <c r="E55" s="441" t="s">
        <v>368</v>
      </c>
      <c r="F55" s="1058"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80">
        <f t="shared" si="10"/>
        <v>6.3840000000000003</v>
      </c>
      <c r="Y55" s="509">
        <v>1800000</v>
      </c>
      <c r="Z55" s="715">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7" t="s">
        <v>494</v>
      </c>
      <c r="D56" s="451" t="s">
        <v>1641</v>
      </c>
      <c r="E56" s="445">
        <v>1603205178873</v>
      </c>
      <c r="F56" s="1058"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80">
        <f t="shared" si="10"/>
        <v>5.1239999999999997</v>
      </c>
      <c r="Y56" s="509">
        <v>1800000</v>
      </c>
      <c r="Z56" s="715">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7" t="s">
        <v>1178</v>
      </c>
      <c r="D57" s="451" t="s">
        <v>1642</v>
      </c>
      <c r="E57" s="443">
        <v>1603205372861</v>
      </c>
      <c r="F57" s="1058"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80">
        <f t="shared" si="10"/>
        <v>4.2720000000000002</v>
      </c>
      <c r="Y57" s="509">
        <v>1800000</v>
      </c>
      <c r="Z57" s="715">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7" t="s">
        <v>986</v>
      </c>
      <c r="D58" s="451" t="s">
        <v>1665</v>
      </c>
      <c r="E58" s="447">
        <v>1603205185357</v>
      </c>
      <c r="F58" s="1058"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80">
        <f t="shared" si="10"/>
        <v>5.8559999999999999</v>
      </c>
      <c r="Y58" s="509">
        <v>1800000</v>
      </c>
      <c r="Z58" s="715">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7" t="s">
        <v>1437</v>
      </c>
      <c r="D59" s="451" t="s">
        <v>1645</v>
      </c>
      <c r="E59" s="443" t="s">
        <v>1578</v>
      </c>
      <c r="F59" s="1058"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80">
        <f t="shared" si="10"/>
        <v>6.6779999999999999</v>
      </c>
      <c r="Y59" s="509">
        <v>1800000</v>
      </c>
      <c r="Z59" s="715">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2" t="s">
        <v>962</v>
      </c>
      <c r="D60" s="451" t="s">
        <v>1802</v>
      </c>
      <c r="E60" s="443">
        <v>1603205356140</v>
      </c>
      <c r="F60" s="1058"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80">
        <f t="shared" si="10"/>
        <v>3.99</v>
      </c>
      <c r="Y60" s="509">
        <v>1800000</v>
      </c>
      <c r="Z60" s="715">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2" t="s">
        <v>885</v>
      </c>
      <c r="D61" s="451" t="s">
        <v>1648</v>
      </c>
      <c r="E61" s="447">
        <v>1603205182727</v>
      </c>
      <c r="F61" s="1058"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80">
        <f t="shared" si="10"/>
        <v>5.58</v>
      </c>
      <c r="Y61" s="509">
        <v>1800000</v>
      </c>
      <c r="Z61" s="715">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7" t="s">
        <v>903</v>
      </c>
      <c r="D62" s="423" t="s">
        <v>1616</v>
      </c>
      <c r="E62" s="440" t="s">
        <v>1260</v>
      </c>
      <c r="F62" s="1058"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80">
        <f t="shared" si="10"/>
        <v>6.6191236363636374</v>
      </c>
      <c r="Y62" s="509">
        <v>1800000</v>
      </c>
      <c r="Z62" s="715">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7" t="s">
        <v>885</v>
      </c>
      <c r="D63" s="451" t="s">
        <v>1650</v>
      </c>
      <c r="E63" s="445">
        <v>1603205189653</v>
      </c>
      <c r="F63" s="1058"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80">
        <f t="shared" si="10"/>
        <v>3.99</v>
      </c>
      <c r="Y63" s="509">
        <v>1800000</v>
      </c>
      <c r="Z63" s="715">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7" t="s">
        <v>270</v>
      </c>
      <c r="D64" s="451" t="s">
        <v>1653</v>
      </c>
      <c r="E64" s="440" t="s">
        <v>370</v>
      </c>
      <c r="F64" s="1058"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80">
        <f t="shared" si="10"/>
        <v>3.66</v>
      </c>
      <c r="Y64" s="509">
        <v>1800000</v>
      </c>
      <c r="Z64" s="715">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7" t="s">
        <v>883</v>
      </c>
      <c r="D65" s="451" t="s">
        <v>1655</v>
      </c>
      <c r="E65" s="440" t="s">
        <v>1263</v>
      </c>
      <c r="F65" s="1058"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80">
        <f t="shared" si="10"/>
        <v>5.1840000000000002</v>
      </c>
      <c r="Y65" s="509">
        <v>1800000</v>
      </c>
      <c r="Z65" s="715">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7" t="s">
        <v>942</v>
      </c>
      <c r="D66" s="451" t="s">
        <v>1656</v>
      </c>
      <c r="E66" s="445" t="s">
        <v>1358</v>
      </c>
      <c r="F66" s="1058"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80">
        <f t="shared" si="10"/>
        <v>4.32</v>
      </c>
      <c r="Y66" s="509">
        <v>1800000</v>
      </c>
      <c r="Z66" s="715">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7" t="s">
        <v>886</v>
      </c>
      <c r="D67" s="423" t="s">
        <v>1632</v>
      </c>
      <c r="E67" s="446" t="s">
        <v>1575</v>
      </c>
      <c r="F67" s="1058"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80">
        <f t="shared" si="10"/>
        <v>3.66</v>
      </c>
      <c r="Y67" s="509">
        <v>1800000</v>
      </c>
      <c r="Z67" s="715">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7" t="s">
        <v>915</v>
      </c>
      <c r="D68" s="451" t="s">
        <v>1657</v>
      </c>
      <c r="E68" s="439" t="s">
        <v>1562</v>
      </c>
      <c r="F68" s="1058"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80">
        <f t="shared" si="10"/>
        <v>4.3920000000000003</v>
      </c>
      <c r="Y68" s="509">
        <v>1800000</v>
      </c>
      <c r="Z68" s="715">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7" t="s">
        <v>1030</v>
      </c>
      <c r="D69" s="451" t="s">
        <v>1617</v>
      </c>
      <c r="E69" s="440" t="s">
        <v>1573</v>
      </c>
      <c r="F69" s="1058"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80">
        <f t="shared" si="10"/>
        <v>8.3040000000000003</v>
      </c>
      <c r="Y69" s="509">
        <v>1800000</v>
      </c>
      <c r="Z69" s="715">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3" t="s">
        <v>1056</v>
      </c>
      <c r="D70" s="423" t="s">
        <v>1785</v>
      </c>
      <c r="E70" s="441" t="s">
        <v>1391</v>
      </c>
      <c r="F70" s="1058"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80">
        <f t="shared" si="10"/>
        <v>6.5380000000000003</v>
      </c>
      <c r="Y70" s="509">
        <v>1800000</v>
      </c>
      <c r="Z70" s="715">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7" t="s">
        <v>929</v>
      </c>
      <c r="D71" s="451" t="s">
        <v>1659</v>
      </c>
      <c r="E71" s="440" t="s">
        <v>1285</v>
      </c>
      <c r="F71" s="1058"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80">
        <f t="shared" si="10"/>
        <v>6.51</v>
      </c>
      <c r="Y71" s="509">
        <v>1800000</v>
      </c>
      <c r="Z71" s="715">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7" t="s">
        <v>1103</v>
      </c>
      <c r="D72" s="451" t="s">
        <v>1661</v>
      </c>
      <c r="E72" s="445">
        <v>1603205182394</v>
      </c>
      <c r="F72" s="1058"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80">
        <f t="shared" si="10"/>
        <v>5.5860000000000003</v>
      </c>
      <c r="Y72" s="509">
        <v>1800000</v>
      </c>
      <c r="Z72" s="715">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7" t="s">
        <v>267</v>
      </c>
      <c r="D73" s="451" t="s">
        <v>1662</v>
      </c>
      <c r="E73" s="445" t="s">
        <v>369</v>
      </c>
      <c r="F73" s="1058"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80">
        <f t="shared" si="10"/>
        <v>4.6619999999999999</v>
      </c>
      <c r="Y73" s="509">
        <v>1800000</v>
      </c>
      <c r="Z73" s="715">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2" t="s">
        <v>272</v>
      </c>
      <c r="D74" s="451" t="s">
        <v>1664</v>
      </c>
      <c r="E74" s="447">
        <v>1603205182762</v>
      </c>
      <c r="F74" s="1058"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80">
        <f t="shared" si="10"/>
        <v>6.3360000000000003</v>
      </c>
      <c r="Y74" s="509">
        <v>1800000</v>
      </c>
      <c r="Z74" s="715">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7" t="s">
        <v>883</v>
      </c>
      <c r="D75" s="451" t="s">
        <v>1666</v>
      </c>
      <c r="E75" s="445">
        <v>1603205182178</v>
      </c>
      <c r="F75" s="1058"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80">
        <f t="shared" si="10"/>
        <v>4.3920000000000003</v>
      </c>
      <c r="Y75" s="509">
        <v>1800000</v>
      </c>
      <c r="Z75" s="715">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9" t="s">
        <v>1860</v>
      </c>
      <c r="C76" s="1059" t="s">
        <v>1601</v>
      </c>
      <c r="D76" s="435" t="s">
        <v>1667</v>
      </c>
      <c r="E76" s="443">
        <v>1603205351697</v>
      </c>
      <c r="F76" s="1058"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80">
        <f t="shared" si="10"/>
        <v>5.3280000000000003</v>
      </c>
      <c r="Y76" s="509">
        <v>1800000</v>
      </c>
      <c r="Z76" s="715">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1" t="s">
        <v>979</v>
      </c>
      <c r="D77" s="451" t="s">
        <v>1649</v>
      </c>
      <c r="E77" s="443">
        <v>1603205357194</v>
      </c>
      <c r="F77" s="1058"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80">
        <f t="shared" si="10"/>
        <v>3.996</v>
      </c>
      <c r="Y77" s="509">
        <v>1800000</v>
      </c>
      <c r="Z77" s="715">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0" t="s">
        <v>1026</v>
      </c>
      <c r="D78" s="423" t="s">
        <v>1668</v>
      </c>
      <c r="E78" s="441" t="s">
        <v>1361</v>
      </c>
      <c r="F78" s="1058"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80">
        <f t="shared" si="10"/>
        <v>7.1400000000000015</v>
      </c>
      <c r="Y78" s="509">
        <v>1800000</v>
      </c>
      <c r="Z78" s="715">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0" t="s">
        <v>912</v>
      </c>
      <c r="D79" s="423" t="s">
        <v>1639</v>
      </c>
      <c r="E79" s="441" t="s">
        <v>1271</v>
      </c>
      <c r="F79" s="1058"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80">
        <f t="shared" si="10"/>
        <v>6.5380000000000003</v>
      </c>
      <c r="Y79" s="509">
        <v>1800000</v>
      </c>
      <c r="Z79" s="715">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7" t="s">
        <v>499</v>
      </c>
      <c r="D80" s="451" t="s">
        <v>1669</v>
      </c>
      <c r="E80" s="440" t="s">
        <v>497</v>
      </c>
      <c r="F80" s="1058"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80">
        <f t="shared" si="10"/>
        <v>7.1712000000000007</v>
      </c>
      <c r="Y80" s="509">
        <v>1800000</v>
      </c>
      <c r="Z80" s="715">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7" t="s">
        <v>874</v>
      </c>
      <c r="D81" s="451" t="s">
        <v>1671</v>
      </c>
      <c r="E81" s="440" t="s">
        <v>396</v>
      </c>
      <c r="F81" s="1058"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80">
        <f t="shared" si="10"/>
        <v>4.3920000000000003</v>
      </c>
      <c r="Y81" s="509">
        <v>1800000</v>
      </c>
      <c r="Z81" s="715">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7" t="s">
        <v>896</v>
      </c>
      <c r="D82" s="423" t="s">
        <v>1672</v>
      </c>
      <c r="E82" s="447">
        <v>1603205182756</v>
      </c>
      <c r="F82" s="1058"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80">
        <f t="shared" si="10"/>
        <v>4.1923636363636358</v>
      </c>
      <c r="Y82" s="509">
        <v>1800000</v>
      </c>
      <c r="Z82" s="715">
        <f t="shared" si="8"/>
        <v>7546254.5454545449</v>
      </c>
      <c r="AA82" s="593">
        <f t="shared" si="7"/>
        <v>60</v>
      </c>
      <c r="AB82" s="511" t="str">
        <f>IFERROR(INDEX('[14]CN BC'!$M$10:$M$276,MATCH(B82,'[14]CN BC'!$H$10:$H$276,0)),"")</f>
        <v>Trừ 2 ngày nghỉ phép 27+30/5</v>
      </c>
      <c r="AC82" s="147" t="str">
        <f>VLOOKUP(B82,TH.T4!B80:AC410,28,FALSE)</f>
        <v>KTĐBCL</v>
      </c>
      <c r="AD82" s="113"/>
      <c r="AE82" s="1043"/>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1" t="s">
        <v>891</v>
      </c>
      <c r="D83" s="423" t="s">
        <v>1673</v>
      </c>
      <c r="E83" s="446">
        <v>1603205286752</v>
      </c>
      <c r="F83" s="1058"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80">
        <f t="shared" si="10"/>
        <v>5.1239999999999997</v>
      </c>
      <c r="Y83" s="509">
        <v>1800000</v>
      </c>
      <c r="Z83" s="715">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2"/>
      <c r="D84" s="451" t="s">
        <v>1956</v>
      </c>
      <c r="E84" s="498" t="s">
        <v>1931</v>
      </c>
      <c r="F84" s="1058"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80">
        <f t="shared" si="10"/>
        <v>5.36</v>
      </c>
      <c r="Y84" s="509">
        <v>1800000</v>
      </c>
      <c r="Z84" s="715">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0" t="s">
        <v>903</v>
      </c>
      <c r="D85" s="423" t="s">
        <v>1675</v>
      </c>
      <c r="E85" s="441" t="s">
        <v>1357</v>
      </c>
      <c r="F85" s="1058"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80">
        <f t="shared" si="10"/>
        <v>6.5760000000000014</v>
      </c>
      <c r="Y85" s="509">
        <v>1800000</v>
      </c>
      <c r="Z85" s="715">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1" t="s">
        <v>1434</v>
      </c>
      <c r="D86" s="423" t="s">
        <v>1679</v>
      </c>
      <c r="E86" s="443" t="s">
        <v>1438</v>
      </c>
      <c r="F86" s="1058"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80">
        <f t="shared" si="10"/>
        <v>5.8559999999999999</v>
      </c>
      <c r="Y86" s="509">
        <v>1800000</v>
      </c>
      <c r="Z86" s="715">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7" t="s">
        <v>1211</v>
      </c>
      <c r="D87" s="451" t="s">
        <v>1663</v>
      </c>
      <c r="E87" s="443" t="s">
        <v>1579</v>
      </c>
      <c r="F87" s="1058"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80">
        <f t="shared" si="10"/>
        <v>5.2160000000000002</v>
      </c>
      <c r="Y87" s="509">
        <v>1800000</v>
      </c>
      <c r="Z87" s="715">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2"/>
      <c r="D88" s="451" t="s">
        <v>1967</v>
      </c>
      <c r="E88" s="498">
        <v>1603215005599</v>
      </c>
      <c r="F88" s="1058"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80">
        <f t="shared" si="10"/>
        <v>6.5760000000000014</v>
      </c>
      <c r="Y88" s="509">
        <v>1800000</v>
      </c>
      <c r="Z88" s="715">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7" t="s">
        <v>883</v>
      </c>
      <c r="D89" s="451" t="s">
        <v>1676</v>
      </c>
      <c r="E89" s="443" t="s">
        <v>1580</v>
      </c>
      <c r="F89" s="1058"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80">
        <f t="shared" ref="X89:X152" si="25">W89/Y89</f>
        <v>4.6619999999999999</v>
      </c>
      <c r="Y89" s="509">
        <v>1800000</v>
      </c>
      <c r="Z89" s="715">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7" t="s">
        <v>49</v>
      </c>
      <c r="D90" s="451" t="s">
        <v>1677</v>
      </c>
      <c r="E90" s="447">
        <v>1603205185623</v>
      </c>
      <c r="F90" s="1058"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80">
        <f t="shared" si="25"/>
        <v>3.996</v>
      </c>
      <c r="Y90" s="509">
        <v>1800000</v>
      </c>
      <c r="Z90" s="715">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1" t="s">
        <v>1066</v>
      </c>
      <c r="D91" s="451" t="s">
        <v>1678</v>
      </c>
      <c r="E91" s="440" t="s">
        <v>1402</v>
      </c>
      <c r="F91" s="1058"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0">
        <f t="shared" si="25"/>
        <v>5.2290000000000001</v>
      </c>
      <c r="Y91" s="509">
        <v>1800000</v>
      </c>
      <c r="Z91" s="715">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2" t="s">
        <v>1060</v>
      </c>
      <c r="D92" s="451" t="s">
        <v>1680</v>
      </c>
      <c r="E92" s="443" t="s">
        <v>1581</v>
      </c>
      <c r="F92" s="1058"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80">
        <f t="shared" si="25"/>
        <v>7.6020000000000012</v>
      </c>
      <c r="Y92" s="509">
        <v>1800000</v>
      </c>
      <c r="Z92" s="715">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9" t="s">
        <v>2009</v>
      </c>
      <c r="C93" s="1059"/>
      <c r="D93" s="435"/>
      <c r="E93" s="443"/>
      <c r="F93" s="1058"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80">
        <f t="shared" si="25"/>
        <v>5.1239999999999997</v>
      </c>
      <c r="Y93" s="509">
        <v>1800000</v>
      </c>
      <c r="Z93" s="715">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9" t="s">
        <v>1830</v>
      </c>
      <c r="C94" s="1059" t="s">
        <v>1087</v>
      </c>
      <c r="D94" s="435" t="s">
        <v>1829</v>
      </c>
      <c r="E94" s="654">
        <v>1603205354978</v>
      </c>
      <c r="F94" s="1058"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80">
        <f t="shared" si="25"/>
        <v>4.992</v>
      </c>
      <c r="Y94" s="509">
        <v>1800000</v>
      </c>
      <c r="Z94" s="715">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0" t="s">
        <v>987</v>
      </c>
      <c r="D95" s="67" t="s">
        <v>1826</v>
      </c>
      <c r="E95" s="80" t="s">
        <v>12</v>
      </c>
      <c r="F95" s="1058"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80">
        <f t="shared" si="25"/>
        <v>3.34</v>
      </c>
      <c r="Y95" s="509">
        <v>1800000</v>
      </c>
      <c r="Z95" s="715">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9" t="s">
        <v>1607</v>
      </c>
      <c r="C96" s="1059" t="s">
        <v>1009</v>
      </c>
      <c r="D96" s="435" t="s">
        <v>1957</v>
      </c>
      <c r="E96" s="497">
        <v>1603215003961</v>
      </c>
      <c r="F96" s="1058"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0">
        <f t="shared" si="25"/>
        <v>4.1100000000000003</v>
      </c>
      <c r="Y96" s="509">
        <v>1800000</v>
      </c>
      <c r="Z96" s="715">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2"/>
      <c r="D97" s="451" t="s">
        <v>1958</v>
      </c>
      <c r="E97" s="498" t="s">
        <v>1935</v>
      </c>
      <c r="F97" s="1058"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0">
        <f t="shared" si="25"/>
        <v>3</v>
      </c>
      <c r="Y97" s="509">
        <v>1800000</v>
      </c>
      <c r="Z97" s="715">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2"/>
      <c r="D98" s="451" t="s">
        <v>1959</v>
      </c>
      <c r="E98" s="497"/>
      <c r="F98" s="1058"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0">
        <f t="shared" si="25"/>
        <v>2.8079999999999998</v>
      </c>
      <c r="Y98" s="509">
        <v>1800000</v>
      </c>
      <c r="Z98" s="715">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2" t="s">
        <v>939</v>
      </c>
      <c r="D99" s="423" t="s">
        <v>1682</v>
      </c>
      <c r="E99" s="443" t="s">
        <v>1582</v>
      </c>
      <c r="F99" s="1058"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80">
        <f t="shared" si="25"/>
        <v>7.104000000000001</v>
      </c>
      <c r="Y99" s="509">
        <v>1800000</v>
      </c>
      <c r="Z99" s="715">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2"/>
      <c r="D100" s="451" t="s">
        <v>1681</v>
      </c>
      <c r="E100" s="452" t="s">
        <v>1567</v>
      </c>
      <c r="F100" s="1058"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80">
        <f t="shared" si="25"/>
        <v>4.1999999999999993</v>
      </c>
      <c r="Y100" s="509">
        <v>1800000</v>
      </c>
      <c r="Z100" s="715">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2"/>
      <c r="D101" s="451" t="s">
        <v>1960</v>
      </c>
      <c r="E101" s="499">
        <v>1603215005603</v>
      </c>
      <c r="F101" s="1058"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80">
        <f t="shared" si="25"/>
        <v>3.6</v>
      </c>
      <c r="Y101" s="509">
        <v>1800000</v>
      </c>
      <c r="Z101" s="715">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2" t="s">
        <v>1444</v>
      </c>
      <c r="D102" s="451" t="s">
        <v>1683</v>
      </c>
      <c r="E102" s="443" t="s">
        <v>1583</v>
      </c>
      <c r="F102" s="1058"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80">
        <f t="shared" si="25"/>
        <v>5.6139999999999999</v>
      </c>
      <c r="Y102" s="509">
        <v>1800000</v>
      </c>
      <c r="Z102" s="715">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2"/>
      <c r="D103" s="451" t="s">
        <v>1961</v>
      </c>
      <c r="E103" s="497" t="s">
        <v>1934</v>
      </c>
      <c r="F103" s="1058"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80">
        <f t="shared" si="25"/>
        <v>2.8079999999999998</v>
      </c>
      <c r="Y103" s="509">
        <v>1800000</v>
      </c>
      <c r="Z103" s="715">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2" t="s">
        <v>1103</v>
      </c>
      <c r="D104" s="451" t="s">
        <v>1684</v>
      </c>
      <c r="E104" s="443" t="s">
        <v>1584</v>
      </c>
      <c r="F104" s="1058"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80">
        <f t="shared" si="25"/>
        <v>3.996</v>
      </c>
      <c r="Y104" s="509">
        <v>1800000</v>
      </c>
      <c r="Z104" s="715">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2"/>
      <c r="D105" s="451" t="s">
        <v>1685</v>
      </c>
      <c r="E105" s="452" t="s">
        <v>1572</v>
      </c>
      <c r="F105" s="1058"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80">
        <f t="shared" si="25"/>
        <v>3.6</v>
      </c>
      <c r="Y105" s="509">
        <v>1800000</v>
      </c>
      <c r="Z105" s="715">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2" t="s">
        <v>49</v>
      </c>
      <c r="D106" s="451" t="s">
        <v>1686</v>
      </c>
      <c r="E106" s="443" t="s">
        <v>1585</v>
      </c>
      <c r="F106" s="1058"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80">
        <f t="shared" si="25"/>
        <v>4.3920000000000003</v>
      </c>
      <c r="Y106" s="509">
        <v>1800000</v>
      </c>
      <c r="Z106" s="715">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2" t="s">
        <v>1209</v>
      </c>
      <c r="D107" s="451" t="s">
        <v>1687</v>
      </c>
      <c r="E107" s="443" t="s">
        <v>1586</v>
      </c>
      <c r="F107" s="1058"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80">
        <f t="shared" si="25"/>
        <v>3.6</v>
      </c>
      <c r="Y107" s="509">
        <v>1800000</v>
      </c>
      <c r="Z107" s="715">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2" t="s">
        <v>920</v>
      </c>
      <c r="D108" s="451" t="s">
        <v>1688</v>
      </c>
      <c r="E108" s="443" t="s">
        <v>1587</v>
      </c>
      <c r="F108" s="1058"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80">
        <f t="shared" si="25"/>
        <v>5.4740000000000002</v>
      </c>
      <c r="Y108" s="509">
        <v>1800000</v>
      </c>
      <c r="Z108" s="715">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2"/>
      <c r="D109" s="451" t="s">
        <v>1962</v>
      </c>
      <c r="E109" s="497" t="s">
        <v>1933</v>
      </c>
      <c r="F109" s="1058"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80">
        <f t="shared" si="25"/>
        <v>4.8</v>
      </c>
      <c r="Y109" s="509">
        <v>1800000</v>
      </c>
      <c r="Z109" s="715">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2"/>
      <c r="D110" s="394" t="s">
        <v>1950</v>
      </c>
      <c r="E110" s="497" t="s">
        <v>1951</v>
      </c>
      <c r="F110" s="1058"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80">
        <f t="shared" si="25"/>
        <v>4.992</v>
      </c>
      <c r="Y110" s="509">
        <v>1800000</v>
      </c>
      <c r="Z110" s="715">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4" t="s">
        <v>1947</v>
      </c>
      <c r="C111" s="1065"/>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2">
        <f t="shared" si="25"/>
        <v>0</v>
      </c>
      <c r="Y111" s="909">
        <v>1800000</v>
      </c>
      <c r="Z111" s="758">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2"/>
      <c r="D112" s="394"/>
      <c r="E112" s="497"/>
      <c r="F112" s="1058"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80">
        <f t="shared" si="25"/>
        <v>3.2759999999999998</v>
      </c>
      <c r="Y112" s="509">
        <v>1800000</v>
      </c>
      <c r="Z112" s="715">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2"/>
      <c r="D113" s="394"/>
      <c r="E113" s="497"/>
      <c r="F113" s="1058"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80">
        <f t="shared" si="25"/>
        <v>3.996</v>
      </c>
      <c r="Y113" s="509">
        <v>1800000</v>
      </c>
      <c r="Z113" s="715">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2"/>
      <c r="D114" s="394"/>
      <c r="E114" s="497"/>
      <c r="F114" s="1058"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80">
        <f t="shared" si="25"/>
        <v>4.3920000000000003</v>
      </c>
      <c r="Y114" s="509">
        <v>1800000</v>
      </c>
      <c r="Z114" s="715">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2"/>
      <c r="D115" s="394"/>
      <c r="E115" s="497"/>
      <c r="F115" s="1058"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80">
        <f t="shared" si="25"/>
        <v>3.6</v>
      </c>
      <c r="Y115" s="509">
        <v>1800000</v>
      </c>
      <c r="Z115" s="715">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2"/>
      <c r="D116" s="394"/>
      <c r="E116" s="497"/>
      <c r="F116" s="1058"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80">
        <f t="shared" si="25"/>
        <v>4.3920000000000003</v>
      </c>
      <c r="Y116" s="509">
        <v>1800000</v>
      </c>
      <c r="Z116" s="715">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2" t="s">
        <v>272</v>
      </c>
      <c r="D117" s="451" t="s">
        <v>1689</v>
      </c>
      <c r="E117" s="440" t="s">
        <v>371</v>
      </c>
      <c r="F117" s="1058"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80">
        <f t="shared" si="25"/>
        <v>4.3920000000000003</v>
      </c>
      <c r="Y117" s="509">
        <v>1800000</v>
      </c>
      <c r="Z117" s="715">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3" t="s">
        <v>912</v>
      </c>
      <c r="D118" s="423" t="s">
        <v>1690</v>
      </c>
      <c r="E118" s="441" t="s">
        <v>372</v>
      </c>
      <c r="F118" s="1058"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80">
        <f t="shared" si="25"/>
        <v>3.66</v>
      </c>
      <c r="Y118" s="509">
        <v>1800000</v>
      </c>
      <c r="Z118" s="715">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2" t="s">
        <v>733</v>
      </c>
      <c r="D119" s="423" t="s">
        <v>1691</v>
      </c>
      <c r="E119" s="443" t="s">
        <v>735</v>
      </c>
      <c r="F119" s="1058"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80">
        <f t="shared" si="25"/>
        <v>4.5359999999999996</v>
      </c>
      <c r="Y119" s="509">
        <v>1800000</v>
      </c>
      <c r="Z119" s="715">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2" t="s">
        <v>736</v>
      </c>
      <c r="D120" s="451" t="s">
        <v>1692</v>
      </c>
      <c r="E120" s="443">
        <v>1603205353742</v>
      </c>
      <c r="F120" s="1058"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80">
        <f t="shared" si="25"/>
        <v>3.33</v>
      </c>
      <c r="Y120" s="509">
        <v>1800000</v>
      </c>
      <c r="Z120" s="715">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2" t="s">
        <v>737</v>
      </c>
      <c r="D121" s="423" t="s">
        <v>1693</v>
      </c>
      <c r="E121" s="443">
        <v>1603205357136</v>
      </c>
      <c r="F121" s="1058"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80">
        <f t="shared" si="25"/>
        <v>3.33</v>
      </c>
      <c r="Y121" s="509">
        <v>1800000</v>
      </c>
      <c r="Z121" s="715">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2" t="s">
        <v>1421</v>
      </c>
      <c r="D122" s="423" t="s">
        <v>1694</v>
      </c>
      <c r="E122" s="439" t="s">
        <v>1422</v>
      </c>
      <c r="F122" s="1058"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80">
        <f t="shared" si="25"/>
        <v>3.996</v>
      </c>
      <c r="Y122" s="509">
        <v>1800000</v>
      </c>
      <c r="Z122" s="715">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2" t="s">
        <v>49</v>
      </c>
      <c r="D123" s="423" t="s">
        <v>1695</v>
      </c>
      <c r="E123" s="439" t="s">
        <v>1432</v>
      </c>
      <c r="F123" s="1058"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80">
        <f t="shared" si="25"/>
        <v>6.5747999999999998</v>
      </c>
      <c r="Y123" s="509">
        <v>1800000</v>
      </c>
      <c r="Z123" s="715">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3"/>
      <c r="D124" s="423" t="s">
        <v>1696</v>
      </c>
      <c r="E124" s="449" t="s">
        <v>1569</v>
      </c>
      <c r="F124" s="1058"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80">
        <f t="shared" si="25"/>
        <v>3.33</v>
      </c>
      <c r="Y124" s="509">
        <v>1800000</v>
      </c>
      <c r="Z124" s="715">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2"/>
      <c r="D125" s="451" t="s">
        <v>1963</v>
      </c>
      <c r="E125" s="203">
        <v>1603215005610</v>
      </c>
      <c r="F125" s="1058"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80">
        <f t="shared" si="25"/>
        <v>3</v>
      </c>
      <c r="Y125" s="509">
        <v>1800000</v>
      </c>
      <c r="Z125" s="715">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0" t="s">
        <v>1105</v>
      </c>
      <c r="D126" s="423" t="s">
        <v>1658</v>
      </c>
      <c r="E126" s="441" t="s">
        <v>1278</v>
      </c>
      <c r="F126" s="1058"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80">
        <f t="shared" si="25"/>
        <v>6.5160000000000009</v>
      </c>
      <c r="Y126" s="509">
        <v>1800000</v>
      </c>
      <c r="Z126" s="715">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2" t="s">
        <v>873</v>
      </c>
      <c r="D127" s="451" t="s">
        <v>1697</v>
      </c>
      <c r="E127" s="440" t="s">
        <v>1300</v>
      </c>
      <c r="F127" s="1058"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80">
        <f t="shared" si="25"/>
        <v>6.6345599999999996</v>
      </c>
      <c r="Y127" s="509">
        <v>1800000</v>
      </c>
      <c r="Z127" s="715">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3" t="s">
        <v>883</v>
      </c>
      <c r="D128" s="423" t="s">
        <v>1698</v>
      </c>
      <c r="E128" s="441" t="s">
        <v>1299</v>
      </c>
      <c r="F128" s="1058"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80">
        <f t="shared" si="25"/>
        <v>4.32</v>
      </c>
      <c r="Y128" s="509">
        <v>1800000</v>
      </c>
      <c r="Z128" s="715">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2" t="s">
        <v>1009</v>
      </c>
      <c r="D129" s="423" t="s">
        <v>1699</v>
      </c>
      <c r="E129" s="440" t="s">
        <v>373</v>
      </c>
      <c r="F129" s="1058"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80">
        <f t="shared" si="25"/>
        <v>3.99</v>
      </c>
      <c r="Y129" s="509">
        <v>1800000</v>
      </c>
      <c r="Z129" s="715">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7"/>
      <c r="D130" s="423" t="s">
        <v>1647</v>
      </c>
      <c r="E130" s="440" t="s">
        <v>406</v>
      </c>
      <c r="F130" s="1058"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80">
        <f t="shared" si="25"/>
        <v>3.66</v>
      </c>
      <c r="Y130" s="509">
        <v>1800000</v>
      </c>
      <c r="Z130" s="715">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2" t="s">
        <v>956</v>
      </c>
      <c r="D131" s="451" t="s">
        <v>1700</v>
      </c>
      <c r="E131" s="440" t="s">
        <v>1303</v>
      </c>
      <c r="F131" s="1058"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80">
        <f t="shared" si="25"/>
        <v>4.6500000000000004</v>
      </c>
      <c r="Y131" s="509">
        <v>1800000</v>
      </c>
      <c r="Z131" s="715">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2" t="s">
        <v>958</v>
      </c>
      <c r="D132" s="423" t="s">
        <v>1701</v>
      </c>
      <c r="E132" s="440" t="s">
        <v>1304</v>
      </c>
      <c r="F132" s="1058"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80">
        <f t="shared" si="25"/>
        <v>5.1840000000000002</v>
      </c>
      <c r="Y132" s="509">
        <v>1800000</v>
      </c>
      <c r="Z132" s="715">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2" t="s">
        <v>967</v>
      </c>
      <c r="D133" s="451" t="s">
        <v>1702</v>
      </c>
      <c r="E133" s="440" t="s">
        <v>1306</v>
      </c>
      <c r="F133" s="1058"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80">
        <f t="shared" si="25"/>
        <v>6.4540800000000003</v>
      </c>
      <c r="Y133" s="509">
        <v>1800000</v>
      </c>
      <c r="Z133" s="694">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2" t="s">
        <v>896</v>
      </c>
      <c r="D134" s="451" t="s">
        <v>1703</v>
      </c>
      <c r="E134" s="440" t="s">
        <v>1307</v>
      </c>
      <c r="F134" s="1058"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0">
        <f t="shared" si="25"/>
        <v>4.7880000000000003</v>
      </c>
      <c r="Y134" s="509">
        <v>1800000</v>
      </c>
      <c r="Z134" s="819">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2" t="s">
        <v>1218</v>
      </c>
      <c r="D135" s="423" t="s">
        <v>1704</v>
      </c>
      <c r="E135" s="443" t="s">
        <v>1588</v>
      </c>
      <c r="F135" s="1058"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80">
        <f t="shared" si="25"/>
        <v>3.66</v>
      </c>
      <c r="Y135" s="509">
        <v>1800000</v>
      </c>
      <c r="Z135" s="819">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2" t="s">
        <v>873</v>
      </c>
      <c r="D136" s="451" t="s">
        <v>1705</v>
      </c>
      <c r="E136" s="440" t="s">
        <v>1309</v>
      </c>
      <c r="F136" s="1058"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80">
        <f t="shared" si="25"/>
        <v>6.3959999999999999</v>
      </c>
      <c r="Y136" s="509">
        <v>1800000</v>
      </c>
      <c r="Z136" s="819">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2" t="s">
        <v>966</v>
      </c>
      <c r="D137" s="451" t="s">
        <v>1706</v>
      </c>
      <c r="E137" s="440" t="s">
        <v>1311</v>
      </c>
      <c r="F137" s="1058"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80">
        <f t="shared" si="25"/>
        <v>5.2290000000000001</v>
      </c>
      <c r="Y137" s="509">
        <v>1800000</v>
      </c>
      <c r="Z137" s="819">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2" t="s">
        <v>917</v>
      </c>
      <c r="D138" s="451" t="s">
        <v>1707</v>
      </c>
      <c r="E138" s="440" t="s">
        <v>1312</v>
      </c>
      <c r="F138" s="1058"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80">
        <f t="shared" si="25"/>
        <v>3.99</v>
      </c>
      <c r="Y138" s="509">
        <v>1800000</v>
      </c>
      <c r="Z138" s="819">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2" t="s">
        <v>874</v>
      </c>
      <c r="D139" s="451" t="s">
        <v>1708</v>
      </c>
      <c r="E139" s="440" t="s">
        <v>374</v>
      </c>
      <c r="F139" s="1058"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80">
        <f t="shared" si="25"/>
        <v>3.66</v>
      </c>
      <c r="Y139" s="509">
        <v>1800000</v>
      </c>
      <c r="Z139" s="715">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2" t="s">
        <v>1423</v>
      </c>
      <c r="D140" s="451" t="s">
        <v>1709</v>
      </c>
      <c r="E140" s="439" t="s">
        <v>1424</v>
      </c>
      <c r="F140" s="1058"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80">
        <f t="shared" si="25"/>
        <v>3.996</v>
      </c>
      <c r="Y140" s="509">
        <v>1800000</v>
      </c>
      <c r="Z140" s="715">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2" t="s">
        <v>960</v>
      </c>
      <c r="D141" s="451" t="s">
        <v>1710</v>
      </c>
      <c r="E141" s="439" t="s">
        <v>1425</v>
      </c>
      <c r="F141" s="1058"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0">
        <f t="shared" si="25"/>
        <v>3.33</v>
      </c>
      <c r="Y141" s="509">
        <v>1800000</v>
      </c>
      <c r="Z141" s="715">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2" t="s">
        <v>889</v>
      </c>
      <c r="D142" s="423" t="s">
        <v>1711</v>
      </c>
      <c r="E142" s="440" t="s">
        <v>1322</v>
      </c>
      <c r="F142" s="1058"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80">
        <f t="shared" si="25"/>
        <v>5.0880000000000001</v>
      </c>
      <c r="Y142" s="509">
        <v>1800000</v>
      </c>
      <c r="Z142" s="715">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2" t="s">
        <v>1206</v>
      </c>
      <c r="D143" s="451" t="s">
        <v>1712</v>
      </c>
      <c r="E143" s="440" t="s">
        <v>1323</v>
      </c>
      <c r="F143" s="1058"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80">
        <f t="shared" si="25"/>
        <v>5.1840000000000002</v>
      </c>
      <c r="Y143" s="509">
        <v>1800000</v>
      </c>
      <c r="Z143" s="715">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2" t="s">
        <v>992</v>
      </c>
      <c r="D144" s="451" t="s">
        <v>1713</v>
      </c>
      <c r="E144" s="440" t="s">
        <v>1324</v>
      </c>
      <c r="F144" s="1058"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80">
        <f t="shared" si="25"/>
        <v>5.5860000000000003</v>
      </c>
      <c r="Y144" s="509">
        <v>1800000</v>
      </c>
      <c r="Z144" s="715">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2" t="s">
        <v>889</v>
      </c>
      <c r="D145" s="423" t="s">
        <v>1714</v>
      </c>
      <c r="E145" s="202" t="s">
        <v>1938</v>
      </c>
      <c r="F145" s="1058"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80">
        <f t="shared" si="25"/>
        <v>5.5860000000000003</v>
      </c>
      <c r="Y145" s="509">
        <v>1800000</v>
      </c>
      <c r="Z145" s="715">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2"/>
      <c r="D146" s="451" t="s">
        <v>1715</v>
      </c>
      <c r="E146" s="440" t="s">
        <v>21</v>
      </c>
      <c r="F146" s="1058"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80">
        <f t="shared" si="25"/>
        <v>5.1840000000000002</v>
      </c>
      <c r="Y146" s="509">
        <v>1800000</v>
      </c>
      <c r="Z146" s="715">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2" t="s">
        <v>874</v>
      </c>
      <c r="D147" s="451" t="s">
        <v>1716</v>
      </c>
      <c r="E147" s="440" t="s">
        <v>1330</v>
      </c>
      <c r="F147" s="1058"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80">
        <f t="shared" si="25"/>
        <v>5.58</v>
      </c>
      <c r="Y147" s="509">
        <v>1800000</v>
      </c>
      <c r="Z147" s="715">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2" t="s">
        <v>986</v>
      </c>
      <c r="D148" s="451" t="s">
        <v>1717</v>
      </c>
      <c r="E148" s="440" t="s">
        <v>1331</v>
      </c>
      <c r="F148" s="1058"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80">
        <f t="shared" si="25"/>
        <v>4.6500000000000004</v>
      </c>
      <c r="Y148" s="509">
        <v>1800000</v>
      </c>
      <c r="Z148" s="715">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2" t="s">
        <v>987</v>
      </c>
      <c r="D149" s="451" t="s">
        <v>1718</v>
      </c>
      <c r="E149" s="440" t="s">
        <v>1332</v>
      </c>
      <c r="F149" s="1058"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80">
        <f t="shared" si="25"/>
        <v>6.51</v>
      </c>
      <c r="Y149" s="509">
        <v>1800000</v>
      </c>
      <c r="Z149" s="715">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2" t="s">
        <v>967</v>
      </c>
      <c r="D150" s="451" t="s">
        <v>1719</v>
      </c>
      <c r="E150" s="440" t="s">
        <v>1333</v>
      </c>
      <c r="F150" s="1058"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80">
        <f t="shared" si="25"/>
        <v>3.99</v>
      </c>
      <c r="Y150" s="509">
        <v>1800000</v>
      </c>
      <c r="Z150" s="715">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2" t="s">
        <v>1200</v>
      </c>
      <c r="D151" s="451" t="s">
        <v>1720</v>
      </c>
      <c r="E151" s="440" t="s">
        <v>1335</v>
      </c>
      <c r="F151" s="1058"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80">
        <f t="shared" si="25"/>
        <v>5.976</v>
      </c>
      <c r="Y151" s="509">
        <v>1800000</v>
      </c>
      <c r="Z151" s="715">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2" t="s">
        <v>448</v>
      </c>
      <c r="D152" s="451" t="s">
        <v>1721</v>
      </c>
      <c r="E152" s="440" t="s">
        <v>504</v>
      </c>
      <c r="F152" s="1058"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80">
        <f t="shared" si="25"/>
        <v>4.7880000000000003</v>
      </c>
      <c r="Y152" s="509">
        <v>1800000</v>
      </c>
      <c r="Z152" s="715">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2" t="s">
        <v>883</v>
      </c>
      <c r="D153" s="451" t="s">
        <v>1722</v>
      </c>
      <c r="E153" s="439" t="s">
        <v>1589</v>
      </c>
      <c r="F153" s="1058"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80">
        <f t="shared" ref="X153:X216" si="36">W153/Y153</f>
        <v>4.5359999999999996</v>
      </c>
      <c r="Y153" s="509">
        <v>1800000</v>
      </c>
      <c r="Z153" s="715">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2" t="s">
        <v>1078</v>
      </c>
      <c r="D154" s="451" t="s">
        <v>1723</v>
      </c>
      <c r="E154" s="439" t="s">
        <v>1590</v>
      </c>
      <c r="F154" s="1058"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80">
        <f t="shared" si="36"/>
        <v>4.1999999999999993</v>
      </c>
      <c r="Y154" s="509">
        <v>1800000</v>
      </c>
      <c r="Z154" s="715">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2"/>
      <c r="D155" s="451" t="s">
        <v>1964</v>
      </c>
      <c r="E155" s="498" t="s">
        <v>1932</v>
      </c>
      <c r="F155" s="1058"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80">
        <f t="shared" si="36"/>
        <v>2.34</v>
      </c>
      <c r="Y155" s="509">
        <v>1800000</v>
      </c>
      <c r="Z155" s="715">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2" t="s">
        <v>958</v>
      </c>
      <c r="D156" s="451" t="s">
        <v>1724</v>
      </c>
      <c r="E156" s="439" t="s">
        <v>1591</v>
      </c>
      <c r="F156" s="1058"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80">
        <f t="shared" si="36"/>
        <v>3.6</v>
      </c>
      <c r="Y156" s="509">
        <v>1800000</v>
      </c>
      <c r="Z156" s="715">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2"/>
      <c r="D157" s="451" t="s">
        <v>1965</v>
      </c>
      <c r="E157" s="537" t="s">
        <v>1930</v>
      </c>
      <c r="F157" s="1058"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80">
        <f t="shared" si="36"/>
        <v>2.67</v>
      </c>
      <c r="Y157" s="509">
        <v>1800000</v>
      </c>
      <c r="Z157" s="715">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2">
        <f>_xlfn.AGGREGATE(4,7,A$22:A157)+1</f>
        <v>136</v>
      </c>
      <c r="B158" s="1066" t="s">
        <v>2018</v>
      </c>
      <c r="C158" s="1067"/>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6">
        <v>22</v>
      </c>
      <c r="P158" s="584">
        <f>IFERROR(INDEX('[14]CN BC'!$J$10:$J$276,MATCH(B158,'[14]CN BC'!$H$10:$H$276,0)),"")</f>
        <v>0</v>
      </c>
      <c r="Q158" s="583">
        <f t="shared" si="37"/>
        <v>0</v>
      </c>
      <c r="R158" s="585"/>
      <c r="S158" s="581">
        <f t="shared" si="29"/>
        <v>0</v>
      </c>
      <c r="T158" s="586"/>
      <c r="U158" s="581">
        <f t="shared" si="39"/>
        <v>0</v>
      </c>
      <c r="V158" s="581" t="str">
        <f t="shared" si="33"/>
        <v>0</v>
      </c>
      <c r="W158" s="697">
        <f t="shared" si="38"/>
        <v>0</v>
      </c>
      <c r="X158" s="1083">
        <f t="shared" si="36"/>
        <v>0</v>
      </c>
      <c r="Y158" s="910">
        <v>1800000</v>
      </c>
      <c r="Z158" s="755">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2"/>
      <c r="D159" s="451"/>
      <c r="E159" s="537"/>
      <c r="F159" s="1058"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0">
        <f t="shared" si="36"/>
        <v>2.3868</v>
      </c>
      <c r="Y159" s="509">
        <v>1800000</v>
      </c>
      <c r="Z159" s="715">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2"/>
      <c r="D160" s="451"/>
      <c r="E160" s="537"/>
      <c r="F160" s="1058"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0">
        <f t="shared" si="36"/>
        <v>2.3868</v>
      </c>
      <c r="Y160" s="509">
        <v>1800000</v>
      </c>
      <c r="Z160" s="715">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8" t="s">
        <v>365</v>
      </c>
      <c r="D161" s="451" t="s">
        <v>1725</v>
      </c>
      <c r="E161" s="440" t="s">
        <v>378</v>
      </c>
      <c r="F161" s="1058"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80">
        <f t="shared" si="36"/>
        <v>5.2080000000000002</v>
      </c>
      <c r="Y161" s="509">
        <v>1800000</v>
      </c>
      <c r="Z161" s="715">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3" t="s">
        <v>865</v>
      </c>
      <c r="D162" s="423" t="s">
        <v>1726</v>
      </c>
      <c r="E162" s="441" t="s">
        <v>1316</v>
      </c>
      <c r="F162" s="1058"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80">
        <f t="shared" si="36"/>
        <v>7.104000000000001</v>
      </c>
      <c r="Y162" s="509">
        <v>1800000</v>
      </c>
      <c r="Z162" s="715">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2" t="s">
        <v>920</v>
      </c>
      <c r="D163" s="423" t="s">
        <v>1727</v>
      </c>
      <c r="E163" s="440" t="s">
        <v>1317</v>
      </c>
      <c r="F163" s="1058"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80">
        <f t="shared" si="36"/>
        <v>6.7839999999999998</v>
      </c>
      <c r="Y163" s="509">
        <v>1800000</v>
      </c>
      <c r="Z163" s="715">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2" t="s">
        <v>277</v>
      </c>
      <c r="D164" s="451" t="s">
        <v>1728</v>
      </c>
      <c r="E164" s="440" t="s">
        <v>377</v>
      </c>
      <c r="F164" s="1058"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80">
        <f t="shared" si="36"/>
        <v>4.7880000000000003</v>
      </c>
      <c r="Y164" s="509">
        <v>1800000</v>
      </c>
      <c r="Z164" s="715">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2" t="s">
        <v>973</v>
      </c>
      <c r="D165" s="451" t="s">
        <v>1729</v>
      </c>
      <c r="E165" s="440" t="s">
        <v>1320</v>
      </c>
      <c r="F165" s="1058"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80">
        <f t="shared" si="36"/>
        <v>5.58</v>
      </c>
      <c r="Y165" s="509">
        <v>1800000</v>
      </c>
      <c r="Z165" s="715">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2" t="s">
        <v>313</v>
      </c>
      <c r="D166" s="451" t="s">
        <v>1730</v>
      </c>
      <c r="E166" s="439" t="s">
        <v>314</v>
      </c>
      <c r="F166" s="1058"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80">
        <f t="shared" si="36"/>
        <v>4.3920000000000003</v>
      </c>
      <c r="Y166" s="509">
        <v>1800000</v>
      </c>
      <c r="Z166" s="715">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2" t="s">
        <v>970</v>
      </c>
      <c r="D167" s="451" t="s">
        <v>1731</v>
      </c>
      <c r="E167" s="440" t="s">
        <v>1314</v>
      </c>
      <c r="F167" s="1058"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80">
        <f t="shared" si="36"/>
        <v>4.32</v>
      </c>
      <c r="Y167" s="509">
        <v>1800000</v>
      </c>
      <c r="Z167" s="715">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2" t="s">
        <v>927</v>
      </c>
      <c r="D168" s="451" t="s">
        <v>1732</v>
      </c>
      <c r="E168" s="440" t="s">
        <v>1315</v>
      </c>
      <c r="F168" s="1058"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80">
        <f t="shared" si="36"/>
        <v>6.9120000000000008</v>
      </c>
      <c r="Y168" s="509">
        <v>1800000</v>
      </c>
      <c r="Z168" s="715">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2" t="s">
        <v>1205</v>
      </c>
      <c r="D169" s="451" t="s">
        <v>1733</v>
      </c>
      <c r="E169" s="440" t="s">
        <v>1318</v>
      </c>
      <c r="F169" s="1058"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80">
        <f t="shared" si="36"/>
        <v>5.1239999999999997</v>
      </c>
      <c r="Y169" s="509">
        <v>1800000</v>
      </c>
      <c r="Z169" s="715">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2">
        <f>_xlfn.AGGREGATE(4,7,A$22:A169)+1</f>
        <v>148</v>
      </c>
      <c r="B170" s="1066" t="s">
        <v>1880</v>
      </c>
      <c r="C170" s="1067"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6">
        <v>22</v>
      </c>
      <c r="P170" s="584">
        <f>IFERROR(INDEX('[14]CN BC'!$J$10:$J$276,MATCH(B170,'[14]CN BC'!$H$10:$H$276,0)),"")</f>
        <v>0</v>
      </c>
      <c r="Q170" s="583">
        <f t="shared" si="37"/>
        <v>0</v>
      </c>
      <c r="R170" s="585"/>
      <c r="S170" s="581">
        <f t="shared" si="29"/>
        <v>0</v>
      </c>
      <c r="T170" s="586"/>
      <c r="U170" s="581">
        <f t="shared" si="39"/>
        <v>0</v>
      </c>
      <c r="V170" s="581">
        <v>0</v>
      </c>
      <c r="W170" s="697">
        <f t="shared" si="38"/>
        <v>0</v>
      </c>
      <c r="X170" s="1083">
        <f t="shared" si="36"/>
        <v>0</v>
      </c>
      <c r="Y170" s="910">
        <v>1800000</v>
      </c>
      <c r="Z170" s="755">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2" t="s">
        <v>276</v>
      </c>
      <c r="D171" s="451" t="s">
        <v>1735</v>
      </c>
      <c r="E171" s="440" t="s">
        <v>376</v>
      </c>
      <c r="F171" s="1058"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80">
        <f t="shared" si="36"/>
        <v>5.8559999999999999</v>
      </c>
      <c r="Y171" s="509">
        <v>1800000</v>
      </c>
      <c r="Z171" s="715">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2" t="s">
        <v>1041</v>
      </c>
      <c r="D172" s="451" t="s">
        <v>1736</v>
      </c>
      <c r="E172" s="451" t="s">
        <v>503</v>
      </c>
      <c r="F172" s="1058"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80">
        <f t="shared" si="36"/>
        <v>5.1840000000000002</v>
      </c>
      <c r="Y172" s="509">
        <v>1800000</v>
      </c>
      <c r="Z172" s="715">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2" t="s">
        <v>920</v>
      </c>
      <c r="D173" s="451" t="s">
        <v>1737</v>
      </c>
      <c r="E173" s="439" t="s">
        <v>1592</v>
      </c>
      <c r="F173" s="1058"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80">
        <f t="shared" si="36"/>
        <v>4.6619999999999999</v>
      </c>
      <c r="Y173" s="509">
        <v>1800000</v>
      </c>
      <c r="Z173" s="715">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2" t="s">
        <v>891</v>
      </c>
      <c r="D174" s="451" t="s">
        <v>1738</v>
      </c>
      <c r="E174" s="440" t="s">
        <v>379</v>
      </c>
      <c r="F174" s="1058"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80">
        <f t="shared" si="36"/>
        <v>4.3920000000000003</v>
      </c>
      <c r="Y174" s="509">
        <v>1800000</v>
      </c>
      <c r="Z174" s="715">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9" t="s">
        <v>1506</v>
      </c>
      <c r="C175" s="1070" t="s">
        <v>1426</v>
      </c>
      <c r="D175" s="451" t="s">
        <v>1739</v>
      </c>
      <c r="E175" s="439" t="s">
        <v>1427</v>
      </c>
      <c r="F175" s="1058"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80">
        <f t="shared" si="36"/>
        <v>3.33</v>
      </c>
      <c r="Y175" s="509">
        <v>1800000</v>
      </c>
      <c r="Z175" s="715">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2" t="s">
        <v>947</v>
      </c>
      <c r="D176" s="451" t="s">
        <v>1741</v>
      </c>
      <c r="E176" s="440" t="s">
        <v>1341</v>
      </c>
      <c r="F176" s="1058"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80">
        <f t="shared" si="36"/>
        <v>4.32</v>
      </c>
      <c r="Y176" s="509">
        <v>1800000</v>
      </c>
      <c r="Z176" s="715">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3" t="s">
        <v>1019</v>
      </c>
      <c r="D177" s="423" t="s">
        <v>1742</v>
      </c>
      <c r="E177" s="441" t="s">
        <v>1342</v>
      </c>
      <c r="F177" s="1058"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80">
        <f t="shared" si="36"/>
        <v>3.99</v>
      </c>
      <c r="Y177" s="509">
        <v>1800000</v>
      </c>
      <c r="Z177" s="715">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3" t="s">
        <v>1023</v>
      </c>
      <c r="D178" s="423" t="s">
        <v>1743</v>
      </c>
      <c r="E178" s="441" t="s">
        <v>1344</v>
      </c>
      <c r="F178" s="1058"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80">
        <f t="shared" si="36"/>
        <v>3.99</v>
      </c>
      <c r="Y178" s="509">
        <v>1800000</v>
      </c>
      <c r="Z178" s="715">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4" t="s">
        <v>1510</v>
      </c>
      <c r="C179" s="1065"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2">
        <f t="shared" si="36"/>
        <v>1.83</v>
      </c>
      <c r="Y179" s="909">
        <v>1800000</v>
      </c>
      <c r="Z179" s="758">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9" t="s">
        <v>1511</v>
      </c>
      <c r="C180" s="1062" t="s">
        <v>867</v>
      </c>
      <c r="D180" s="451" t="s">
        <v>1745</v>
      </c>
      <c r="E180" s="440" t="s">
        <v>1349</v>
      </c>
      <c r="F180" s="1058"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80">
        <f t="shared" si="36"/>
        <v>4.7880000000000003</v>
      </c>
      <c r="Y180" s="509">
        <v>1800000</v>
      </c>
      <c r="Z180" s="715">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2" t="s">
        <v>1209</v>
      </c>
      <c r="D181" s="451" t="s">
        <v>1746</v>
      </c>
      <c r="E181" s="440" t="s">
        <v>1350</v>
      </c>
      <c r="F181" s="1058"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80">
        <f t="shared" si="36"/>
        <v>3.99</v>
      </c>
      <c r="Y181" s="509">
        <v>1800000</v>
      </c>
      <c r="Z181" s="715">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3" t="s">
        <v>1211</v>
      </c>
      <c r="D182" s="423" t="s">
        <v>1747</v>
      </c>
      <c r="E182" s="441" t="s">
        <v>1353</v>
      </c>
      <c r="F182" s="1058"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80">
        <f t="shared" si="36"/>
        <v>5.3280000000000003</v>
      </c>
      <c r="Y182" s="509">
        <v>1800000</v>
      </c>
      <c r="Z182" s="715">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2" t="s">
        <v>979</v>
      </c>
      <c r="D183" s="451" t="s">
        <v>1748</v>
      </c>
      <c r="E183" s="440" t="s">
        <v>1354</v>
      </c>
      <c r="F183" s="1058"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80">
        <f t="shared" si="36"/>
        <v>3.66</v>
      </c>
      <c r="Y183" s="509">
        <v>1800000</v>
      </c>
      <c r="Z183" s="715">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2" t="s">
        <v>1212</v>
      </c>
      <c r="D184" s="451" t="s">
        <v>1749</v>
      </c>
      <c r="E184" s="440" t="s">
        <v>1355</v>
      </c>
      <c r="F184" s="1058"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80">
        <f t="shared" si="36"/>
        <v>3.66</v>
      </c>
      <c r="Y184" s="509">
        <v>1800000</v>
      </c>
      <c r="Z184" s="715">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3" t="s">
        <v>1213</v>
      </c>
      <c r="D185" s="423" t="s">
        <v>1750</v>
      </c>
      <c r="E185" s="441" t="s">
        <v>1356</v>
      </c>
      <c r="F185" s="1058"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80">
        <f t="shared" si="36"/>
        <v>3.66</v>
      </c>
      <c r="Y185" s="509">
        <v>1800000</v>
      </c>
      <c r="Z185" s="715">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3" t="s">
        <v>282</v>
      </c>
      <c r="D186" s="423" t="s">
        <v>1751</v>
      </c>
      <c r="E186" s="441" t="s">
        <v>381</v>
      </c>
      <c r="F186" s="1058"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80">
        <f t="shared" si="36"/>
        <v>4.34</v>
      </c>
      <c r="Y186" s="509">
        <v>1800000</v>
      </c>
      <c r="Z186" s="715">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2"/>
      <c r="D187" s="451" t="s">
        <v>1966</v>
      </c>
      <c r="E187" s="504">
        <v>1603215005649</v>
      </c>
      <c r="F187" s="1058"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80">
        <f t="shared" si="36"/>
        <v>4.3920000000000003</v>
      </c>
      <c r="Y187" s="509">
        <v>1800000</v>
      </c>
      <c r="Z187" s="715">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2" t="s">
        <v>1175</v>
      </c>
      <c r="D188" s="423" t="s">
        <v>1752</v>
      </c>
      <c r="E188" s="440" t="s">
        <v>1345</v>
      </c>
      <c r="F188" s="1058"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80">
        <f t="shared" si="36"/>
        <v>4.24</v>
      </c>
      <c r="Y188" s="509">
        <v>1800000</v>
      </c>
      <c r="Z188" s="715">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2" t="s">
        <v>731</v>
      </c>
      <c r="D189" s="451" t="s">
        <v>1753</v>
      </c>
      <c r="E189" s="443">
        <v>1603205286594</v>
      </c>
      <c r="F189" s="1058"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80">
        <f t="shared" si="36"/>
        <v>3.33</v>
      </c>
      <c r="Y189" s="509">
        <v>1800000</v>
      </c>
      <c r="Z189" s="715">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2" t="s">
        <v>1207</v>
      </c>
      <c r="D190" s="423" t="s">
        <v>1754</v>
      </c>
      <c r="E190" s="440" t="s">
        <v>1346</v>
      </c>
      <c r="F190" s="1058"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80">
        <f t="shared" si="36"/>
        <v>3.99</v>
      </c>
      <c r="Y190" s="509">
        <v>1800000</v>
      </c>
      <c r="Z190" s="715">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2" t="s">
        <v>728</v>
      </c>
      <c r="D191" s="423" t="s">
        <v>1755</v>
      </c>
      <c r="E191" s="440" t="s">
        <v>771</v>
      </c>
      <c r="F191" s="1058"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80">
        <f t="shared" si="36"/>
        <v>3.66</v>
      </c>
      <c r="Y191" s="509">
        <v>1800000</v>
      </c>
      <c r="Z191" s="715">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2" t="s">
        <v>876</v>
      </c>
      <c r="D192" s="451" t="s">
        <v>1756</v>
      </c>
      <c r="E192" s="380" t="s">
        <v>1593</v>
      </c>
      <c r="F192" s="1058"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0">
        <f t="shared" si="36"/>
        <v>5.0880000000000001</v>
      </c>
      <c r="Y192" s="509">
        <v>1800000</v>
      </c>
      <c r="Z192" s="715">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7" t="s">
        <v>1021</v>
      </c>
      <c r="D193" s="451" t="s">
        <v>1674</v>
      </c>
      <c r="E193" s="440" t="s">
        <v>1343</v>
      </c>
      <c r="F193" s="1058"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80">
        <f t="shared" si="36"/>
        <v>4.32</v>
      </c>
      <c r="Y193" s="509">
        <v>1800000</v>
      </c>
      <c r="Z193" s="715">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7"/>
      <c r="D194" s="451"/>
      <c r="E194" s="440"/>
      <c r="F194" s="1058"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80">
        <f t="shared" si="36"/>
        <v>2.7227999999999999</v>
      </c>
      <c r="Y194" s="509">
        <v>1800000</v>
      </c>
      <c r="Z194" s="715">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7"/>
      <c r="D195" s="451"/>
      <c r="E195" s="440"/>
      <c r="F195" s="1058"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80">
        <f t="shared" si="36"/>
        <v>2.7846000000000002</v>
      </c>
      <c r="Y195" s="509">
        <v>1800000</v>
      </c>
      <c r="Z195" s="715">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2" t="s">
        <v>1041</v>
      </c>
      <c r="D196" s="451" t="s">
        <v>1757</v>
      </c>
      <c r="E196" s="440" t="s">
        <v>1368</v>
      </c>
      <c r="F196" s="1058"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80">
        <f t="shared" si="36"/>
        <v>6.120000000000001</v>
      </c>
      <c r="Y196" s="509">
        <v>1800000</v>
      </c>
      <c r="Z196" s="715">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3" t="s">
        <v>1032</v>
      </c>
      <c r="D197" s="423" t="s">
        <v>1758</v>
      </c>
      <c r="E197" s="441" t="s">
        <v>1363</v>
      </c>
      <c r="F197" s="1058"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80">
        <f t="shared" si="36"/>
        <v>6.3943200000000013</v>
      </c>
      <c r="Y197" s="509">
        <v>1800000</v>
      </c>
      <c r="Z197" s="715">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2" t="s">
        <v>884</v>
      </c>
      <c r="D198" s="451" t="s">
        <v>1759</v>
      </c>
      <c r="E198" s="440" t="s">
        <v>1364</v>
      </c>
      <c r="F198" s="1058"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80">
        <f t="shared" si="36"/>
        <v>8.5257600000000018</v>
      </c>
      <c r="Y198" s="509">
        <v>1800000</v>
      </c>
      <c r="Z198" s="715">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2" t="s">
        <v>1043</v>
      </c>
      <c r="D199" s="451" t="s">
        <v>1760</v>
      </c>
      <c r="E199" s="440" t="s">
        <v>1369</v>
      </c>
      <c r="F199" s="1058"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80">
        <f t="shared" si="36"/>
        <v>4.32</v>
      </c>
      <c r="Y199" s="509">
        <v>1800000</v>
      </c>
      <c r="Z199" s="715">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2" t="s">
        <v>1028</v>
      </c>
      <c r="D200" s="451" t="s">
        <v>1761</v>
      </c>
      <c r="E200" s="440" t="s">
        <v>42</v>
      </c>
      <c r="F200" s="1058"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80">
        <f t="shared" si="36"/>
        <v>5.7270000000000003</v>
      </c>
      <c r="Y200" s="509">
        <v>1800000</v>
      </c>
      <c r="Z200" s="715">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2" t="s">
        <v>1039</v>
      </c>
      <c r="D201" s="451" t="s">
        <v>1762</v>
      </c>
      <c r="E201" s="440" t="s">
        <v>1367</v>
      </c>
      <c r="F201" s="1058"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80">
        <f t="shared" si="36"/>
        <v>6.86</v>
      </c>
      <c r="Y201" s="509">
        <v>1800000</v>
      </c>
      <c r="Z201" s="715">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2" t="s">
        <v>1000</v>
      </c>
      <c r="D202" s="451" t="s">
        <v>1763</v>
      </c>
      <c r="E202" s="440" t="s">
        <v>1377</v>
      </c>
      <c r="F202" s="1058"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80">
        <f t="shared" si="36"/>
        <v>6.6345599999999996</v>
      </c>
      <c r="Y202" s="509">
        <v>1800000</v>
      </c>
      <c r="Z202" s="715">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2" t="s">
        <v>1009</v>
      </c>
      <c r="D203" s="451" t="s">
        <v>1764</v>
      </c>
      <c r="E203" s="440" t="s">
        <v>1372</v>
      </c>
      <c r="F203" s="1058"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80">
        <f t="shared" si="36"/>
        <v>4.7880000000000003</v>
      </c>
      <c r="Y203" s="509">
        <v>1800000</v>
      </c>
      <c r="Z203" s="715">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2" t="s">
        <v>920</v>
      </c>
      <c r="D204" s="423" t="s">
        <v>1765</v>
      </c>
      <c r="E204" s="440" t="s">
        <v>1374</v>
      </c>
      <c r="F204" s="1058"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80">
        <f t="shared" si="36"/>
        <v>5.2290000000000001</v>
      </c>
      <c r="Y204" s="509">
        <v>1800000</v>
      </c>
      <c r="Z204" s="715">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2" t="s">
        <v>1214</v>
      </c>
      <c r="D205" s="451" t="s">
        <v>1766</v>
      </c>
      <c r="E205" s="202" t="s">
        <v>1939</v>
      </c>
      <c r="F205" s="1058"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80">
        <f t="shared" si="36"/>
        <v>4.8120000000000003</v>
      </c>
      <c r="Y205" s="509">
        <v>1800000</v>
      </c>
      <c r="Z205" s="715">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2" t="s">
        <v>1009</v>
      </c>
      <c r="D206" s="451" t="s">
        <v>1767</v>
      </c>
      <c r="E206" s="440" t="s">
        <v>1379</v>
      </c>
      <c r="F206" s="1058"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80">
        <f t="shared" si="36"/>
        <v>4.3920000000000003</v>
      </c>
      <c r="Y206" s="509">
        <v>1800000</v>
      </c>
      <c r="Z206" s="715">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2" t="s">
        <v>891</v>
      </c>
      <c r="D207" s="451" t="s">
        <v>1768</v>
      </c>
      <c r="E207" s="440" t="s">
        <v>387</v>
      </c>
      <c r="F207" s="1058"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80">
        <f t="shared" si="36"/>
        <v>5.1239999999999997</v>
      </c>
      <c r="Y207" s="509">
        <v>1800000</v>
      </c>
      <c r="Z207" s="715">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2" t="s">
        <v>880</v>
      </c>
      <c r="D208" s="451" t="s">
        <v>1769</v>
      </c>
      <c r="E208" s="440" t="s">
        <v>388</v>
      </c>
      <c r="F208" s="1058"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80">
        <f t="shared" si="36"/>
        <v>3.66</v>
      </c>
      <c r="Y208" s="509">
        <v>1800000</v>
      </c>
      <c r="Z208" s="715">
        <f t="shared" si="35"/>
        <v>6588000</v>
      </c>
      <c r="AA208" s="593">
        <f t="shared" si="34"/>
        <v>186</v>
      </c>
      <c r="AB208" s="511">
        <f>IFERROR(INDEX('[14]CN BC'!$M$10:$M$276,MATCH(B208,'[14]CN BC'!$H$10:$H$276,0)),"")</f>
        <v>0</v>
      </c>
      <c r="AC208" s="1026"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1" t="s">
        <v>364</v>
      </c>
      <c r="D209" s="451" t="s">
        <v>1770</v>
      </c>
      <c r="E209" s="440" t="s">
        <v>386</v>
      </c>
      <c r="F209" s="1058"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0">
        <f t="shared" si="36"/>
        <v>3.66</v>
      </c>
      <c r="Y209" s="509">
        <v>1800000</v>
      </c>
      <c r="Z209" s="715">
        <f t="shared" si="35"/>
        <v>6588000</v>
      </c>
      <c r="AA209" s="593">
        <f t="shared" si="34"/>
        <v>187</v>
      </c>
      <c r="AB209" s="511">
        <f>IFERROR(INDEX('[14]CN BC'!$M$10:$M$276,MATCH(B209,'[14]CN BC'!$H$10:$H$276,0)),"")</f>
        <v>0</v>
      </c>
      <c r="AC209" s="1026" t="str">
        <f>VLOOKUP(B209,TH.T4!B207:AC537,28,FALSE)</f>
        <v>CK</v>
      </c>
      <c r="AD209" s="560"/>
      <c r="AF209" s="505"/>
    </row>
    <row r="210" spans="1:42" s="387" customFormat="1" ht="27.75" customHeight="1">
      <c r="A210" s="394">
        <f>_xlfn.AGGREGATE(4,7,A$22:A209)+1</f>
        <v>188</v>
      </c>
      <c r="B210" s="389" t="s">
        <v>1528</v>
      </c>
      <c r="C210" s="1062" t="s">
        <v>455</v>
      </c>
      <c r="D210" s="423" t="s">
        <v>1771</v>
      </c>
      <c r="E210" s="440" t="s">
        <v>456</v>
      </c>
      <c r="F210" s="1058"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80">
        <f t="shared" si="36"/>
        <v>3.66</v>
      </c>
      <c r="Y210" s="509">
        <v>1800000</v>
      </c>
      <c r="Z210" s="715">
        <f t="shared" si="35"/>
        <v>6588000</v>
      </c>
      <c r="AA210" s="593">
        <f t="shared" si="34"/>
        <v>188</v>
      </c>
      <c r="AB210" s="511">
        <f>IFERROR(INDEX('[14]CN BC'!$M$10:$M$276,MATCH(B210,'[14]CN BC'!$H$10:$H$276,0)),"")</f>
        <v>0</v>
      </c>
      <c r="AC210" s="1026"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2" t="s">
        <v>876</v>
      </c>
      <c r="D211" s="423" t="s">
        <v>1772</v>
      </c>
      <c r="E211" s="440" t="s">
        <v>743</v>
      </c>
      <c r="F211" s="1058"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80">
        <f t="shared" si="36"/>
        <v>4.2960000000000003</v>
      </c>
      <c r="Y211" s="509">
        <v>1800000</v>
      </c>
      <c r="Z211" s="715">
        <f t="shared" si="35"/>
        <v>7732800.0000000009</v>
      </c>
      <c r="AA211" s="593">
        <f t="shared" si="34"/>
        <v>189</v>
      </c>
      <c r="AB211" s="511">
        <f>IFERROR(INDEX('[14]CN BC'!$M$10:$M$276,MATCH(B211,'[14]CN BC'!$H$10:$H$276,0)),"")</f>
        <v>0</v>
      </c>
      <c r="AC211" s="1026"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2" t="s">
        <v>886</v>
      </c>
      <c r="D212" s="451" t="s">
        <v>1773</v>
      </c>
      <c r="E212" s="447">
        <v>1603205357641</v>
      </c>
      <c r="F212" s="1058"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80">
        <f t="shared" si="36"/>
        <v>3.66</v>
      </c>
      <c r="Y212" s="509">
        <v>1800000</v>
      </c>
      <c r="Z212" s="715">
        <f t="shared" si="35"/>
        <v>6588000</v>
      </c>
      <c r="AA212" s="593">
        <f t="shared" si="34"/>
        <v>190</v>
      </c>
      <c r="AB212" s="511">
        <f>IFERROR(INDEX('[14]CN BC'!$M$10:$M$276,MATCH(B212,'[14]CN BC'!$H$10:$H$276,0)),"")</f>
        <v>0</v>
      </c>
      <c r="AC212" s="1026" t="str">
        <f>VLOOKUP(B212,TH.T4!B210:AC540,28,FALSE)</f>
        <v>CK</v>
      </c>
      <c r="AD212" s="565"/>
      <c r="AF212" s="505"/>
    </row>
    <row r="213" spans="1:42" s="387" customFormat="1" ht="25.9" customHeight="1">
      <c r="A213" s="394">
        <f>_xlfn.AGGREGATE(4,7,A$22:A212)+1</f>
        <v>191</v>
      </c>
      <c r="B213" s="389" t="s">
        <v>1531</v>
      </c>
      <c r="C213" s="1062" t="s">
        <v>746</v>
      </c>
      <c r="D213" s="423" t="s">
        <v>1774</v>
      </c>
      <c r="E213" s="447">
        <v>1603205357120</v>
      </c>
      <c r="F213" s="1058"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80">
        <f t="shared" si="36"/>
        <v>4.6619999999999999</v>
      </c>
      <c r="Y213" s="509">
        <v>1800000</v>
      </c>
      <c r="Z213" s="715">
        <f t="shared" si="35"/>
        <v>8391600</v>
      </c>
      <c r="AA213" s="593">
        <f t="shared" si="34"/>
        <v>191</v>
      </c>
      <c r="AB213" s="511">
        <f>IFERROR(INDEX('[14]CN BC'!$M$10:$M$276,MATCH(B213,'[14]CN BC'!$H$10:$H$276,0)),"")</f>
        <v>0</v>
      </c>
      <c r="AC213" s="1026"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2" t="s">
        <v>905</v>
      </c>
      <c r="D214" s="451" t="s">
        <v>1775</v>
      </c>
      <c r="E214" s="440" t="s">
        <v>1261</v>
      </c>
      <c r="F214" s="1058"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80">
        <f t="shared" si="36"/>
        <v>6.3943200000000013</v>
      </c>
      <c r="Y214" s="509">
        <v>1800000</v>
      </c>
      <c r="Z214" s="715">
        <f t="shared" si="35"/>
        <v>11509776.000000002</v>
      </c>
      <c r="AA214" s="593">
        <f t="shared" si="34"/>
        <v>192</v>
      </c>
      <c r="AB214" s="511">
        <f>IFERROR(INDEX('[14]CN BC'!$M$10:$M$276,MATCH(B214,'[14]CN BC'!$H$10:$H$276,0)),"")</f>
        <v>0</v>
      </c>
      <c r="AC214" s="1026"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2" t="s">
        <v>1035</v>
      </c>
      <c r="D215" s="451" t="s">
        <v>1776</v>
      </c>
      <c r="E215" s="440" t="s">
        <v>1365</v>
      </c>
      <c r="F215" s="1058"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80">
        <f t="shared" si="36"/>
        <v>5.5278000000000009</v>
      </c>
      <c r="Y215" s="509">
        <v>1800000</v>
      </c>
      <c r="Z215" s="715">
        <f t="shared" si="35"/>
        <v>9950040.0000000019</v>
      </c>
      <c r="AA215" s="593">
        <f t="shared" ref="AA215:AA285" si="46">A215</f>
        <v>193</v>
      </c>
      <c r="AB215" s="511">
        <f>IFERROR(INDEX('[14]CN BC'!$M$10:$M$276,MATCH(B215,'[14]CN BC'!$H$10:$H$276,0)),"")</f>
        <v>0</v>
      </c>
      <c r="AC215" s="1026"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2" t="s">
        <v>884</v>
      </c>
      <c r="D216" s="423" t="s">
        <v>1777</v>
      </c>
      <c r="E216" s="439" t="s">
        <v>1594</v>
      </c>
      <c r="F216" s="1058"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80">
        <f t="shared" si="36"/>
        <v>3.996</v>
      </c>
      <c r="Y216" s="509">
        <v>1800000</v>
      </c>
      <c r="Z216" s="715">
        <f t="shared" ref="Z216:Z279" si="47">X216*Y216</f>
        <v>7192800</v>
      </c>
      <c r="AA216" s="593">
        <f t="shared" si="46"/>
        <v>194</v>
      </c>
      <c r="AB216" s="511">
        <f>IFERROR(INDEX('[14]CN BC'!$M$10:$M$276,MATCH(B216,'[14]CN BC'!$H$10:$H$276,0)),"")</f>
        <v>0</v>
      </c>
      <c r="AC216" s="1026"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7" t="s">
        <v>1011</v>
      </c>
      <c r="D217" s="500" t="s">
        <v>1968</v>
      </c>
      <c r="E217" s="107">
        <v>1603215003955</v>
      </c>
      <c r="F217" s="1058"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80">
        <f t="shared" ref="X217:X280" si="48">W217/Y217</f>
        <v>4.1999999999999993</v>
      </c>
      <c r="Y217" s="509">
        <v>1800000</v>
      </c>
      <c r="Z217" s="715">
        <f t="shared" si="47"/>
        <v>7559999.9999999991</v>
      </c>
      <c r="AA217" s="593">
        <f t="shared" si="46"/>
        <v>195</v>
      </c>
      <c r="AB217" s="511">
        <f>IFERROR(INDEX('[14]CN BC'!$M$10:$M$276,MATCH(B217,'[14]CN BC'!$H$10:$H$276,0)),"")</f>
        <v>0</v>
      </c>
      <c r="AC217" s="1026"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7"/>
      <c r="D218" s="451" t="s">
        <v>1970</v>
      </c>
      <c r="E218" s="495" t="s">
        <v>1969</v>
      </c>
      <c r="F218" s="1058"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80">
        <f t="shared" si="48"/>
        <v>4.1999999999999993</v>
      </c>
      <c r="Y218" s="509">
        <v>1800000</v>
      </c>
      <c r="Z218" s="715">
        <f t="shared" si="47"/>
        <v>7559999.9999999991</v>
      </c>
      <c r="AA218" s="593">
        <f t="shared" si="46"/>
        <v>196</v>
      </c>
      <c r="AB218" s="511">
        <f>IFERROR(INDEX('[14]CN BC'!$M$10:$M$276,MATCH(B218,'[14]CN BC'!$H$10:$H$276,0)),"")</f>
        <v>0</v>
      </c>
      <c r="AC218" s="1026"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7" t="s">
        <v>868</v>
      </c>
      <c r="D219" s="451" t="s">
        <v>1670</v>
      </c>
      <c r="E219" s="440" t="s">
        <v>1286</v>
      </c>
      <c r="F219" s="1058"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80">
        <f t="shared" si="48"/>
        <v>5.5776000000000003</v>
      </c>
      <c r="Y219" s="509">
        <v>1800000</v>
      </c>
      <c r="Z219" s="715">
        <f t="shared" si="47"/>
        <v>10039680</v>
      </c>
      <c r="AA219" s="593">
        <f t="shared" si="46"/>
        <v>197</v>
      </c>
      <c r="AB219" s="511">
        <f>IFERROR(INDEX('[14]CN BC'!$M$10:$M$276,MATCH(B219,'[14]CN BC'!$H$10:$H$276,0)),"")</f>
        <v>0</v>
      </c>
      <c r="AC219" s="1026" t="str">
        <f>VLOOKUP(B219,TH.T4!B217:AC547,28,FALSE)</f>
        <v>CK</v>
      </c>
      <c r="AD219" s="560"/>
      <c r="AF219" s="505"/>
    </row>
    <row r="220" spans="1:42" s="387" customFormat="1" ht="25.5" customHeight="1">
      <c r="A220" s="394">
        <f>_xlfn.AGGREGATE(4,7,A$22:A219)+1</f>
        <v>198</v>
      </c>
      <c r="B220" s="389" t="s">
        <v>1840</v>
      </c>
      <c r="C220" s="1057"/>
      <c r="D220" s="451" t="s">
        <v>1971</v>
      </c>
      <c r="E220" s="107">
        <v>1603205596180</v>
      </c>
      <c r="F220" s="1058"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80">
        <f t="shared" si="48"/>
        <v>3.738</v>
      </c>
      <c r="Y220" s="509">
        <v>1800000</v>
      </c>
      <c r="Z220" s="715">
        <f t="shared" si="47"/>
        <v>6728400</v>
      </c>
      <c r="AA220" s="593">
        <f t="shared" si="46"/>
        <v>198</v>
      </c>
      <c r="AB220" s="511">
        <f>IFERROR(INDEX('[14]CN BC'!$M$10:$M$276,MATCH(B220,'[14]CN BC'!$H$10:$H$276,0)),"")</f>
        <v>0</v>
      </c>
      <c r="AC220" s="1026"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7"/>
      <c r="D221" s="451" t="s">
        <v>1972</v>
      </c>
      <c r="E221" s="440"/>
      <c r="F221" s="1058"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80">
        <f t="shared" si="48"/>
        <v>4.1999999999999993</v>
      </c>
      <c r="Y221" s="509">
        <v>1800000</v>
      </c>
      <c r="Z221" s="715">
        <f t="shared" si="47"/>
        <v>7559999.9999999991</v>
      </c>
      <c r="AA221" s="593">
        <f t="shared" si="46"/>
        <v>199</v>
      </c>
      <c r="AB221" s="511">
        <f>IFERROR(INDEX('[14]CN BC'!$M$10:$M$276,MATCH(B221,'[14]CN BC'!$H$10:$H$276,0)),"")</f>
        <v>0</v>
      </c>
      <c r="AC221" s="1026" t="str">
        <f>VLOOKUP(B221,TH.T4!B219:AC549,28,FALSE)</f>
        <v>CK</v>
      </c>
      <c r="AD221" s="113"/>
      <c r="AE221" s="114"/>
      <c r="AF221" s="505"/>
    </row>
    <row r="222" spans="1:42" s="387" customFormat="1" ht="36" customHeight="1">
      <c r="A222" s="394">
        <f>_xlfn.AGGREGATE(4,7,A$22:A221)+1</f>
        <v>200</v>
      </c>
      <c r="B222" s="389" t="s">
        <v>1994</v>
      </c>
      <c r="C222" s="1057"/>
      <c r="D222" s="451"/>
      <c r="E222" s="440"/>
      <c r="F222" s="1058"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80">
        <f t="shared" si="48"/>
        <v>4.32</v>
      </c>
      <c r="Y222" s="509">
        <v>1800000</v>
      </c>
      <c r="Z222" s="715">
        <f t="shared" si="47"/>
        <v>7776000.0000000009</v>
      </c>
      <c r="AA222" s="593">
        <f t="shared" si="46"/>
        <v>200</v>
      </c>
      <c r="AB222" s="511">
        <f>IFERROR(INDEX('[14]CN BC'!$M$10:$M$276,MATCH(B222,'[14]CN BC'!$H$10:$H$276,0)),"")</f>
        <v>0</v>
      </c>
      <c r="AC222" s="1026"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7"/>
      <c r="D223" s="451"/>
      <c r="E223" s="440"/>
      <c r="F223" s="1058"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80">
        <f t="shared" si="48"/>
        <v>2.67</v>
      </c>
      <c r="Y223" s="509">
        <v>1800000</v>
      </c>
      <c r="Z223" s="715">
        <f t="shared" si="47"/>
        <v>4806000</v>
      </c>
      <c r="AA223" s="593">
        <f>A223</f>
        <v>201</v>
      </c>
      <c r="AB223" s="511">
        <f>IFERROR(INDEX('[14]CN BC'!$M$10:$M$276,MATCH(B223,'[14]CN BC'!$H$10:$H$276,0)),"")</f>
        <v>0</v>
      </c>
      <c r="AC223" s="1026" t="str">
        <f>VLOOKUP(B223,TH.T4!B221:AC551,28,FALSE)</f>
        <v>CK</v>
      </c>
      <c r="AD223" s="113"/>
      <c r="AE223" s="114"/>
      <c r="AF223" s="505"/>
    </row>
    <row r="224" spans="1:42" s="387" customFormat="1" ht="27" customHeight="1">
      <c r="A224" s="394">
        <f>_xlfn.AGGREGATE(4,7,A$22:A223)+1</f>
        <v>202</v>
      </c>
      <c r="B224" s="389" t="s">
        <v>1855</v>
      </c>
      <c r="C224" s="1057" t="s">
        <v>939</v>
      </c>
      <c r="D224" s="451" t="s">
        <v>1651</v>
      </c>
      <c r="E224" s="440" t="s">
        <v>1292</v>
      </c>
      <c r="F224" s="1058"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80">
        <f t="shared" si="48"/>
        <v>6.8143200000000004</v>
      </c>
      <c r="Y224" s="509">
        <v>1800000</v>
      </c>
      <c r="Z224" s="715">
        <f t="shared" si="47"/>
        <v>12265776</v>
      </c>
      <c r="AA224" s="593">
        <f>A224</f>
        <v>202</v>
      </c>
      <c r="AB224" s="511">
        <f>IFERROR(INDEX('[14]CN BC'!$M$10:$M$276,MATCH(B224,'[14]CN BC'!$H$10:$H$276,0)),"")</f>
        <v>0</v>
      </c>
      <c r="AC224" s="1026" t="str">
        <f>VLOOKUP(B224,TH.T4!B222:AC552,28,FALSE)</f>
        <v>CK</v>
      </c>
      <c r="AD224" s="113"/>
      <c r="AE224" s="114"/>
      <c r="AF224" s="161"/>
    </row>
    <row r="225" spans="1:42" s="114" customFormat="1" ht="32.25" customHeight="1">
      <c r="A225" s="394">
        <f>_xlfn.AGGREGATE(4,7,A$22:A224)+1</f>
        <v>203</v>
      </c>
      <c r="B225" s="50" t="s">
        <v>1898</v>
      </c>
      <c r="C225" s="1063" t="s">
        <v>1019</v>
      </c>
      <c r="D225" s="423" t="s">
        <v>1781</v>
      </c>
      <c r="E225" s="441" t="s">
        <v>1386</v>
      </c>
      <c r="F225" s="1058"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80">
        <f t="shared" si="48"/>
        <v>8.1600000000000019</v>
      </c>
      <c r="Y225" s="509">
        <v>1800000</v>
      </c>
      <c r="Z225" s="715">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7" t="s">
        <v>1060</v>
      </c>
      <c r="D226" s="423" t="s">
        <v>1646</v>
      </c>
      <c r="E226" s="440" t="s">
        <v>1398</v>
      </c>
      <c r="F226" s="1058"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80">
        <f t="shared" si="48"/>
        <v>9.80288</v>
      </c>
      <c r="Y226" s="509">
        <v>1800000</v>
      </c>
      <c r="Z226" s="715">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2" t="s">
        <v>1046</v>
      </c>
      <c r="D227" s="423" t="s">
        <v>1778</v>
      </c>
      <c r="E227" s="450" t="s">
        <v>1381</v>
      </c>
      <c r="F227" s="1058"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80">
        <f t="shared" si="48"/>
        <v>6.3345599999999997</v>
      </c>
      <c r="Y227" s="509">
        <v>1800000</v>
      </c>
      <c r="Z227" s="715">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2" t="s">
        <v>1185</v>
      </c>
      <c r="D228" s="451" t="s">
        <v>1779</v>
      </c>
      <c r="E228" s="440" t="s">
        <v>1384</v>
      </c>
      <c r="F228" s="1058"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80">
        <f t="shared" si="48"/>
        <v>6.3345599999999997</v>
      </c>
      <c r="Y228" s="509">
        <v>1800000</v>
      </c>
      <c r="Z228" s="715">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3" t="s">
        <v>1049</v>
      </c>
      <c r="D229" s="423" t="s">
        <v>1780</v>
      </c>
      <c r="E229" s="441" t="s">
        <v>1385</v>
      </c>
      <c r="F229" s="1058"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80">
        <f t="shared" si="48"/>
        <v>5.58</v>
      </c>
      <c r="Y229" s="509">
        <v>1800000</v>
      </c>
      <c r="Z229" s="715">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3" t="s">
        <v>1051</v>
      </c>
      <c r="D230" s="423" t="s">
        <v>1782</v>
      </c>
      <c r="E230" s="441" t="s">
        <v>1387</v>
      </c>
      <c r="F230" s="1058"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80">
        <f t="shared" si="48"/>
        <v>5.1840000000000002</v>
      </c>
      <c r="Y230" s="509">
        <v>1800000</v>
      </c>
      <c r="Z230" s="715">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3" t="s">
        <v>1053</v>
      </c>
      <c r="D231" s="423" t="s">
        <v>1783</v>
      </c>
      <c r="E231" s="441" t="s">
        <v>1388</v>
      </c>
      <c r="F231" s="1058"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80">
        <f t="shared" si="48"/>
        <v>5.1840000000000002</v>
      </c>
      <c r="Y231" s="509">
        <v>1800000</v>
      </c>
      <c r="Z231" s="715">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2" t="s">
        <v>986</v>
      </c>
      <c r="D232" s="451" t="s">
        <v>1784</v>
      </c>
      <c r="E232" s="439" t="s">
        <v>1595</v>
      </c>
      <c r="F232" s="1058"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80">
        <f t="shared" si="48"/>
        <v>5.0119999999999996</v>
      </c>
      <c r="Y232" s="509">
        <v>1800000</v>
      </c>
      <c r="Z232" s="715">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9" t="s">
        <v>1903</v>
      </c>
      <c r="C233" s="1062" t="s">
        <v>1058</v>
      </c>
      <c r="D233" s="451" t="s">
        <v>1786</v>
      </c>
      <c r="E233" s="440" t="s">
        <v>1392</v>
      </c>
      <c r="F233" s="1058"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80">
        <f t="shared" si="48"/>
        <v>5.1840000000000002</v>
      </c>
      <c r="Y233" s="509">
        <v>1800000</v>
      </c>
      <c r="Z233" s="715">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2" t="s">
        <v>885</v>
      </c>
      <c r="D234" s="423" t="s">
        <v>1787</v>
      </c>
      <c r="E234" s="440" t="s">
        <v>1396</v>
      </c>
      <c r="F234" s="1058"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80">
        <f t="shared" si="48"/>
        <v>5.58</v>
      </c>
      <c r="Y234" s="509">
        <v>1800000</v>
      </c>
      <c r="Z234" s="715">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2" t="s">
        <v>947</v>
      </c>
      <c r="D235" s="451" t="s">
        <v>1788</v>
      </c>
      <c r="E235" s="440" t="s">
        <v>389</v>
      </c>
      <c r="F235" s="1058"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80">
        <f t="shared" si="48"/>
        <v>4.3920000000000003</v>
      </c>
      <c r="Y235" s="509">
        <v>1800000</v>
      </c>
      <c r="Z235" s="715">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2" t="s">
        <v>1199</v>
      </c>
      <c r="D236" s="423" t="s">
        <v>1789</v>
      </c>
      <c r="E236" s="440" t="s">
        <v>1334</v>
      </c>
      <c r="F236" s="1058"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80">
        <f t="shared" si="48"/>
        <v>4.7880000000000003</v>
      </c>
      <c r="Y236" s="509">
        <v>1800000</v>
      </c>
      <c r="Z236" s="715">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2" t="s">
        <v>1207</v>
      </c>
      <c r="D237" s="423" t="s">
        <v>1790</v>
      </c>
      <c r="E237" s="445" t="s">
        <v>463</v>
      </c>
      <c r="F237" s="1058"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80">
        <f t="shared" si="48"/>
        <v>4.3920000000000003</v>
      </c>
      <c r="Y237" s="509">
        <v>1800000</v>
      </c>
      <c r="Z237" s="715">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2" t="s">
        <v>1019</v>
      </c>
      <c r="D238" s="423" t="s">
        <v>1791</v>
      </c>
      <c r="E238" s="445" t="s">
        <v>510</v>
      </c>
      <c r="F238" s="1058"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80">
        <f t="shared" si="48"/>
        <v>5.8559999999999999</v>
      </c>
      <c r="Y238" s="509">
        <v>1800000</v>
      </c>
      <c r="Z238" s="715">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2" t="s">
        <v>917</v>
      </c>
      <c r="D239" s="451" t="s">
        <v>1792</v>
      </c>
      <c r="E239" s="440" t="s">
        <v>1399</v>
      </c>
      <c r="F239" s="1058"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80">
        <f t="shared" si="48"/>
        <v>8.08948</v>
      </c>
      <c r="Y239" s="509">
        <v>1800000</v>
      </c>
      <c r="Z239" s="715">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2" t="s">
        <v>878</v>
      </c>
      <c r="D240" s="451" t="s">
        <v>1793</v>
      </c>
      <c r="E240" s="440" t="s">
        <v>1400</v>
      </c>
      <c r="F240" s="1058"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80">
        <f t="shared" si="48"/>
        <v>5.5776000000000003</v>
      </c>
      <c r="Y240" s="509">
        <v>1800000</v>
      </c>
      <c r="Z240" s="715">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2" t="s">
        <v>1064</v>
      </c>
      <c r="D241" s="451" t="s">
        <v>1794</v>
      </c>
      <c r="E241" s="440" t="s">
        <v>1401</v>
      </c>
      <c r="F241" s="1058"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80">
        <f t="shared" si="48"/>
        <v>6.5138400000000001</v>
      </c>
      <c r="Y241" s="509">
        <v>1800000</v>
      </c>
      <c r="Z241" s="715">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3" t="s">
        <v>1069</v>
      </c>
      <c r="D242" s="424" t="s">
        <v>1795</v>
      </c>
      <c r="E242" s="442" t="s">
        <v>1404</v>
      </c>
      <c r="F242" s="1058"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80">
        <f t="shared" si="48"/>
        <v>4.32</v>
      </c>
      <c r="Y242" s="509">
        <v>1800000</v>
      </c>
      <c r="Z242" s="715">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3" t="s">
        <v>910</v>
      </c>
      <c r="D243" s="423" t="s">
        <v>1796</v>
      </c>
      <c r="E243" s="441" t="s">
        <v>1405</v>
      </c>
      <c r="F243" s="1058"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80">
        <f t="shared" si="48"/>
        <v>5.1840000000000002</v>
      </c>
      <c r="Y243" s="509">
        <v>1800000</v>
      </c>
      <c r="Z243" s="715">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2" t="s">
        <v>1072</v>
      </c>
      <c r="D244" s="423" t="s">
        <v>1797</v>
      </c>
      <c r="E244" s="440" t="s">
        <v>1406</v>
      </c>
      <c r="F244" s="1058"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80">
        <f t="shared" si="48"/>
        <v>5.58</v>
      </c>
      <c r="Y244" s="509">
        <v>1800000</v>
      </c>
      <c r="Z244" s="715">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2" t="s">
        <v>873</v>
      </c>
      <c r="D245" s="451" t="s">
        <v>1798</v>
      </c>
      <c r="E245" s="440" t="s">
        <v>1407</v>
      </c>
      <c r="F245" s="1058"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80">
        <f t="shared" si="48"/>
        <v>5.58</v>
      </c>
      <c r="Y245" s="509">
        <v>1800000</v>
      </c>
      <c r="Z245" s="715">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3" t="s">
        <v>867</v>
      </c>
      <c r="D246" s="423" t="s">
        <v>1799</v>
      </c>
      <c r="E246" s="441" t="s">
        <v>1409</v>
      </c>
      <c r="F246" s="1058"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80">
        <f t="shared" si="48"/>
        <v>5.58</v>
      </c>
      <c r="Y246" s="509">
        <v>1800000</v>
      </c>
      <c r="Z246" s="715">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3" t="s">
        <v>1078</v>
      </c>
      <c r="D247" s="423" t="s">
        <v>1800</v>
      </c>
      <c r="E247" s="441" t="s">
        <v>1410</v>
      </c>
      <c r="F247" s="1058"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80">
        <f t="shared" si="48"/>
        <v>4.6500000000000004</v>
      </c>
      <c r="Y247" s="509">
        <v>1800000</v>
      </c>
      <c r="Z247" s="715">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3" t="s">
        <v>1019</v>
      </c>
      <c r="D248" s="423" t="s">
        <v>1801</v>
      </c>
      <c r="E248" s="441" t="s">
        <v>1412</v>
      </c>
      <c r="F248" s="1058"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80">
        <f t="shared" si="48"/>
        <v>5.5860000000000003</v>
      </c>
      <c r="Y248" s="509">
        <v>1800000</v>
      </c>
      <c r="Z248" s="715">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2" t="s">
        <v>876</v>
      </c>
      <c r="D249" s="451" t="s">
        <v>1973</v>
      </c>
      <c r="E249" s="443" t="s">
        <v>1611</v>
      </c>
      <c r="F249" s="1058"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80">
        <f t="shared" si="48"/>
        <v>3.996</v>
      </c>
      <c r="Y249" s="509">
        <v>1800000</v>
      </c>
      <c r="Z249" s="715">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2" t="s">
        <v>885</v>
      </c>
      <c r="D250" s="451" t="s">
        <v>1974</v>
      </c>
      <c r="E250" s="443" t="s">
        <v>1612</v>
      </c>
      <c r="F250" s="1058"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80">
        <f t="shared" si="48"/>
        <v>3.504</v>
      </c>
      <c r="Y250" s="509">
        <v>1800000</v>
      </c>
      <c r="Z250" s="715">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9" t="s">
        <v>1838</v>
      </c>
      <c r="C251" s="1062"/>
      <c r="D251" s="451" t="s">
        <v>1975</v>
      </c>
      <c r="E251" s="107">
        <v>1603205590132</v>
      </c>
      <c r="F251" s="1058"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80">
        <f t="shared" si="48"/>
        <v>3.504</v>
      </c>
      <c r="Y251" s="509">
        <v>1800000</v>
      </c>
      <c r="Z251" s="715">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9" t="s">
        <v>1993</v>
      </c>
      <c r="C252" s="1062"/>
      <c r="D252" s="451"/>
      <c r="E252" s="504"/>
      <c r="F252" s="1058"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80">
        <f t="shared" si="48"/>
        <v>4.7880000000000003</v>
      </c>
      <c r="Y252" s="509">
        <v>1800000</v>
      </c>
      <c r="Z252" s="715">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9" t="s">
        <v>2002</v>
      </c>
      <c r="C253" s="1062"/>
      <c r="D253" s="451"/>
      <c r="E253" s="504"/>
      <c r="F253" s="1058"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80">
        <f t="shared" si="48"/>
        <v>3.2040000000000002</v>
      </c>
      <c r="Y253" s="509">
        <v>1800000</v>
      </c>
      <c r="Z253" s="715">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9" t="s">
        <v>2004</v>
      </c>
      <c r="C254" s="1062"/>
      <c r="D254" s="451"/>
      <c r="E254" s="504"/>
      <c r="F254" s="1058"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80">
        <f t="shared" si="48"/>
        <v>3.7440000000000002</v>
      </c>
      <c r="Y254" s="509">
        <v>1800000</v>
      </c>
      <c r="Z254" s="715">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2" t="s">
        <v>876</v>
      </c>
      <c r="D255" s="451" t="s">
        <v>1803</v>
      </c>
      <c r="E255" s="440" t="s">
        <v>0</v>
      </c>
      <c r="F255" s="1058"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80">
        <f t="shared" si="48"/>
        <v>5.1000000000000014</v>
      </c>
      <c r="Y255" s="509">
        <v>1800000</v>
      </c>
      <c r="Z255" s="715">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2" t="s">
        <v>1087</v>
      </c>
      <c r="D256" s="451" t="s">
        <v>1804</v>
      </c>
      <c r="E256" s="440" t="s">
        <v>1420</v>
      </c>
      <c r="F256" s="1058"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80">
        <f t="shared" si="48"/>
        <v>6.3959999999999999</v>
      </c>
      <c r="Y256" s="509">
        <v>1800000</v>
      </c>
      <c r="Z256" s="715">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2" t="s">
        <v>1090</v>
      </c>
      <c r="D257" s="451" t="s">
        <v>1805</v>
      </c>
      <c r="E257" s="440" t="s">
        <v>1</v>
      </c>
      <c r="F257" s="1058"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80">
        <f t="shared" si="48"/>
        <v>4.57</v>
      </c>
      <c r="Y257" s="509">
        <v>1800000</v>
      </c>
      <c r="Z257" s="715">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2" t="s">
        <v>970</v>
      </c>
      <c r="D258" s="451" t="s">
        <v>1806</v>
      </c>
      <c r="E258" s="440" t="s">
        <v>3</v>
      </c>
      <c r="F258" s="1058"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80">
        <f t="shared" si="48"/>
        <v>3.99</v>
      </c>
      <c r="Y258" s="509">
        <v>1800000</v>
      </c>
      <c r="Z258" s="715">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2" t="s">
        <v>1215</v>
      </c>
      <c r="D259" s="451" t="s">
        <v>1807</v>
      </c>
      <c r="E259" s="440" t="s">
        <v>4</v>
      </c>
      <c r="F259" s="1058"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80">
        <f t="shared" si="48"/>
        <v>4.24</v>
      </c>
      <c r="Y259" s="509">
        <v>1800000</v>
      </c>
      <c r="Z259" s="715">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2" t="s">
        <v>878</v>
      </c>
      <c r="D260" s="451" t="s">
        <v>1808</v>
      </c>
      <c r="E260" s="440" t="s">
        <v>5</v>
      </c>
      <c r="F260" s="1058"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80">
        <f t="shared" si="48"/>
        <v>3.66</v>
      </c>
      <c r="Y260" s="509">
        <v>1800000</v>
      </c>
      <c r="Z260" s="715">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2" t="s">
        <v>1212</v>
      </c>
      <c r="D261" s="451" t="s">
        <v>1809</v>
      </c>
      <c r="E261" s="440" t="s">
        <v>394</v>
      </c>
      <c r="F261" s="1058"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80">
        <f t="shared" si="48"/>
        <v>3.66</v>
      </c>
      <c r="Y261" s="509">
        <v>1800000</v>
      </c>
      <c r="Z261" s="715">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9" t="s">
        <v>1918</v>
      </c>
      <c r="C262" s="1074" t="s">
        <v>868</v>
      </c>
      <c r="D262" s="451" t="s">
        <v>1810</v>
      </c>
      <c r="E262" s="440" t="s">
        <v>393</v>
      </c>
      <c r="F262" s="1058"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80">
        <f t="shared" si="48"/>
        <v>3.99</v>
      </c>
      <c r="Y262" s="509">
        <v>1800000</v>
      </c>
      <c r="Z262" s="715">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2" t="s">
        <v>1218</v>
      </c>
      <c r="D263" s="451" t="s">
        <v>1811</v>
      </c>
      <c r="E263" s="440" t="s">
        <v>395</v>
      </c>
      <c r="F263" s="1058"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80">
        <f t="shared" si="48"/>
        <v>3.66</v>
      </c>
      <c r="Y263" s="509">
        <v>1800000</v>
      </c>
      <c r="Z263" s="715">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2" t="s">
        <v>469</v>
      </c>
      <c r="D264" s="451" t="s">
        <v>1812</v>
      </c>
      <c r="E264" s="440" t="s">
        <v>473</v>
      </c>
      <c r="F264" s="1058"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80">
        <f t="shared" si="48"/>
        <v>3.66</v>
      </c>
      <c r="Y264" s="509">
        <v>1800000</v>
      </c>
      <c r="Z264" s="715">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2" t="s">
        <v>1196</v>
      </c>
      <c r="D265" s="451" t="s">
        <v>1813</v>
      </c>
      <c r="E265" s="380" t="s">
        <v>490</v>
      </c>
      <c r="F265" s="1058"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80">
        <f t="shared" si="48"/>
        <v>3.66</v>
      </c>
      <c r="Y265" s="509">
        <v>1800000</v>
      </c>
      <c r="Z265" s="715">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2" t="s">
        <v>755</v>
      </c>
      <c r="D266" s="451" t="s">
        <v>1814</v>
      </c>
      <c r="E266" s="440" t="s">
        <v>750</v>
      </c>
      <c r="F266" s="1058"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80">
        <f t="shared" si="48"/>
        <v>3.66</v>
      </c>
      <c r="Y266" s="509">
        <v>1800000</v>
      </c>
      <c r="Z266" s="715">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2" t="s">
        <v>889</v>
      </c>
      <c r="D267" s="451" t="s">
        <v>1815</v>
      </c>
      <c r="E267" s="440" t="s">
        <v>752</v>
      </c>
      <c r="F267" s="1058"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80">
        <f t="shared" si="48"/>
        <v>3.66</v>
      </c>
      <c r="Y267" s="509">
        <v>1800000</v>
      </c>
      <c r="Z267" s="715">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2" t="s">
        <v>1428</v>
      </c>
      <c r="D268" s="451" t="s">
        <v>1816</v>
      </c>
      <c r="E268" s="439" t="s">
        <v>1429</v>
      </c>
      <c r="F268" s="1058"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80">
        <f t="shared" si="48"/>
        <v>3.58</v>
      </c>
      <c r="Y268" s="509">
        <v>1800000</v>
      </c>
      <c r="Z268" s="715">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2" t="s">
        <v>1428</v>
      </c>
      <c r="D269" s="451" t="s">
        <v>1817</v>
      </c>
      <c r="E269" s="439" t="s">
        <v>1430</v>
      </c>
      <c r="F269" s="1058"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80">
        <f t="shared" si="48"/>
        <v>3.33</v>
      </c>
      <c r="Y269" s="509">
        <v>1800000</v>
      </c>
      <c r="Z269" s="715">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2"/>
      <c r="D270" s="451" t="s">
        <v>1976</v>
      </c>
      <c r="E270" s="499" t="s">
        <v>1977</v>
      </c>
      <c r="F270" s="1058"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80">
        <f t="shared" si="48"/>
        <v>2.67</v>
      </c>
      <c r="Y270" s="509">
        <v>1800000</v>
      </c>
      <c r="Z270" s="715">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2"/>
      <c r="D271" s="451" t="s">
        <v>1978</v>
      </c>
      <c r="E271" s="499" t="s">
        <v>1979</v>
      </c>
      <c r="F271" s="1058"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80">
        <f t="shared" si="48"/>
        <v>2.67</v>
      </c>
      <c r="Y271" s="509">
        <v>1800000</v>
      </c>
      <c r="Z271" s="715">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9" t="s">
        <v>1839</v>
      </c>
      <c r="C272" s="1062"/>
      <c r="D272" s="451" t="s">
        <v>1980</v>
      </c>
      <c r="E272" s="499" t="s">
        <v>1981</v>
      </c>
      <c r="F272" s="1058"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80">
        <f t="shared" si="48"/>
        <v>3</v>
      </c>
      <c r="Y272" s="509">
        <v>1800000</v>
      </c>
      <c r="Z272" s="715">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9" t="s">
        <v>1844</v>
      </c>
      <c r="C273" s="1062"/>
      <c r="D273" s="451" t="s">
        <v>1982</v>
      </c>
      <c r="E273" s="499" t="s">
        <v>1983</v>
      </c>
      <c r="F273" s="1058"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80">
        <f t="shared" si="48"/>
        <v>3.66</v>
      </c>
      <c r="Y273" s="509">
        <v>1800000</v>
      </c>
      <c r="Z273" s="715">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9" t="s">
        <v>1926</v>
      </c>
      <c r="C274" s="1062"/>
      <c r="D274" s="451" t="s">
        <v>1984</v>
      </c>
      <c r="E274" s="495" t="s">
        <v>1985</v>
      </c>
      <c r="F274" s="1058"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80">
        <f t="shared" si="48"/>
        <v>2.67</v>
      </c>
      <c r="Y274" s="509">
        <v>1800000</v>
      </c>
      <c r="Z274" s="715">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9" t="s">
        <v>1941</v>
      </c>
      <c r="C275" s="1062"/>
      <c r="D275" s="451" t="s">
        <v>1989</v>
      </c>
      <c r="E275" s="495" t="s">
        <v>1988</v>
      </c>
      <c r="F275" s="1058"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80">
        <f t="shared" si="48"/>
        <v>2.34</v>
      </c>
      <c r="Y275" s="509">
        <v>1800000</v>
      </c>
      <c r="Z275" s="715">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9" t="s">
        <v>1942</v>
      </c>
      <c r="C276" s="1062"/>
      <c r="D276" s="451" t="s">
        <v>1990</v>
      </c>
      <c r="E276" s="439"/>
      <c r="F276" s="1058"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80">
        <f t="shared" si="48"/>
        <v>2.34</v>
      </c>
      <c r="Y276" s="509">
        <v>1800000</v>
      </c>
      <c r="Z276" s="715">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9" t="s">
        <v>1945</v>
      </c>
      <c r="C277" s="1062"/>
      <c r="D277" s="394" t="s">
        <v>1948</v>
      </c>
      <c r="E277" s="439" t="s">
        <v>1949</v>
      </c>
      <c r="F277" s="1058"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80">
        <f t="shared" si="48"/>
        <v>3.66</v>
      </c>
      <c r="Y277" s="509">
        <v>1800000</v>
      </c>
      <c r="Z277" s="715">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9" t="s">
        <v>2003</v>
      </c>
      <c r="C278" s="1062"/>
      <c r="D278" s="394"/>
      <c r="E278" s="439"/>
      <c r="F278" s="1058"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80">
        <f t="shared" si="48"/>
        <v>3.33</v>
      </c>
      <c r="Y278" s="509">
        <v>1800000</v>
      </c>
      <c r="Z278" s="715">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9" t="s">
        <v>2010</v>
      </c>
      <c r="C279" s="1062"/>
      <c r="D279" s="394"/>
      <c r="E279" s="439"/>
      <c r="F279" s="1058"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80">
        <f t="shared" si="48"/>
        <v>1.9890000000000001</v>
      </c>
      <c r="Y279" s="509">
        <v>1800000</v>
      </c>
      <c r="Z279" s="715">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2" t="s">
        <v>1197</v>
      </c>
      <c r="D280" s="451" t="s">
        <v>1818</v>
      </c>
      <c r="E280" s="452" t="s">
        <v>1570</v>
      </c>
      <c r="F280" s="1058"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80">
        <f t="shared" si="48"/>
        <v>4.1100000000000003</v>
      </c>
      <c r="Y280" s="509">
        <v>1800000</v>
      </c>
      <c r="Z280" s="715">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2" t="s">
        <v>1051</v>
      </c>
      <c r="D281" s="451" t="s">
        <v>1819</v>
      </c>
      <c r="E281" s="440" t="s">
        <v>1414</v>
      </c>
      <c r="F281" s="1058"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80">
        <f t="shared" ref="X281:X344" si="58">W281/Y281</f>
        <v>4.9000000000000004</v>
      </c>
      <c r="Y281" s="509">
        <v>1800000</v>
      </c>
      <c r="Z281" s="715">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2" t="s">
        <v>1083</v>
      </c>
      <c r="D282" s="423" t="s">
        <v>1820</v>
      </c>
      <c r="E282" s="440" t="s">
        <v>1415</v>
      </c>
      <c r="F282" s="1058"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80">
        <f t="shared" si="58"/>
        <v>4.9000000000000004</v>
      </c>
      <c r="Y282" s="509">
        <v>1800000</v>
      </c>
      <c r="Z282" s="715">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2" t="s">
        <v>863</v>
      </c>
      <c r="D283" s="451" t="s">
        <v>1821</v>
      </c>
      <c r="E283" s="440" t="s">
        <v>392</v>
      </c>
      <c r="F283" s="1058"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0">
        <f t="shared" si="58"/>
        <v>3.66</v>
      </c>
      <c r="Y283" s="509">
        <v>1800000</v>
      </c>
      <c r="Z283" s="715">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2" t="s">
        <v>1013</v>
      </c>
      <c r="D284" s="451" t="s">
        <v>1822</v>
      </c>
      <c r="E284" s="445" t="s">
        <v>511</v>
      </c>
      <c r="F284" s="1058"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80">
        <f t="shared" si="58"/>
        <v>3.66</v>
      </c>
      <c r="Y284" s="509">
        <v>1800000</v>
      </c>
      <c r="Z284" s="715">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2" t="s">
        <v>981</v>
      </c>
      <c r="D285" s="451" t="s">
        <v>1823</v>
      </c>
      <c r="E285" s="440" t="s">
        <v>1418</v>
      </c>
      <c r="F285" s="1058"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80">
        <f t="shared" si="58"/>
        <v>4.32</v>
      </c>
      <c r="Y285" s="509">
        <v>1800000</v>
      </c>
      <c r="Z285" s="715">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2"/>
      <c r="D286" s="451" t="s">
        <v>1991</v>
      </c>
      <c r="E286" s="440" t="s">
        <v>1992</v>
      </c>
      <c r="F286" s="1058"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80">
        <f t="shared" si="58"/>
        <v>3.33</v>
      </c>
      <c r="Y286" s="509">
        <v>1800000</v>
      </c>
      <c r="Z286" s="715">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2" t="s">
        <v>501</v>
      </c>
      <c r="D287" s="423" t="s">
        <v>1824</v>
      </c>
      <c r="E287" s="453">
        <v>1603205246186</v>
      </c>
      <c r="F287" s="1058"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80">
        <f t="shared" si="58"/>
        <v>4.9800000000000004</v>
      </c>
      <c r="Y287" s="509">
        <v>1800000</v>
      </c>
      <c r="Z287" s="715">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2"/>
      <c r="D288" s="423" t="s">
        <v>1825</v>
      </c>
      <c r="E288" s="446">
        <v>1603215002692</v>
      </c>
      <c r="F288" s="1058"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80">
        <f t="shared" si="58"/>
        <v>4.4160000000000004</v>
      </c>
      <c r="Y288" s="509">
        <v>1800000</v>
      </c>
      <c r="Z288" s="715">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9" t="s">
        <v>2029</v>
      </c>
      <c r="C289" s="1059" t="s">
        <v>1106</v>
      </c>
      <c r="D289" s="435" t="s">
        <v>2030</v>
      </c>
      <c r="E289" s="634">
        <v>1603205359393</v>
      </c>
      <c r="F289" s="1058" t="str">
        <f>VLOOKUP(B289,TH.T4!B287:J617,9,FALSE)</f>
        <v xml:space="preserve">NV Bảo vệ </v>
      </c>
      <c r="G289" s="634"/>
      <c r="H289" s="634"/>
      <c r="I289" s="383" t="s">
        <v>2031</v>
      </c>
      <c r="J289" s="635">
        <v>6914491</v>
      </c>
      <c r="K289" s="484">
        <f t="shared" ref="K289:K352" si="62">IF(I289="D.03",J289*30%,J289*70%)</f>
        <v>2074347.2999999998</v>
      </c>
      <c r="L289" s="636" t="str">
        <f>VLOOKUP(B289,'[13]Gui chi Quynh'!$B$11:$E$400,4,FALSE)</f>
        <v>A4</v>
      </c>
      <c r="M289" s="484">
        <f>ROUND(IF(AND(L289="A1",K289*1.6),K289*1.6,IF(AND(L289="A2",K289*1.4),K289*1.4,IF(AND(L289="A3",K289*1.2),K289*1.2,IF(AND(L289="A4",K289*1),K289*1,IF(AND(L289="B1",K289*0.7),K289*0.7,IF(AND(L289="B2",K289*0.5),K289*0.5,IF(AND(L289="C1",K289*0.3),K289*0.3,0))))))),)</f>
        <v>2074347</v>
      </c>
      <c r="N289" s="636">
        <v>26</v>
      </c>
      <c r="O289" s="637">
        <f>IFERROR(INDEX('[14]CN HĐ'!$J$10:$J$72,MATCH(B289,'[14]CN HĐ'!$H$10:$H$74,0)),"")</f>
        <v>24</v>
      </c>
      <c r="P289" s="638" t="e">
        <f>IF(M289&gt;#REF!,M289,#REF!)</f>
        <v>#REF!</v>
      </c>
      <c r="Q289" s="484">
        <f t="shared" ref="Q289:Q352" si="63">ROUND(IF(O289&gt;=N289,M289,M289/N289*O289),)</f>
        <v>1914782</v>
      </c>
      <c r="R289" s="639"/>
      <c r="S289" s="484">
        <v>0</v>
      </c>
      <c r="T289" s="640"/>
      <c r="U289" s="484">
        <v>0</v>
      </c>
      <c r="V289" s="679">
        <f t="shared" ref="V289:V352" si="64">J289*1%</f>
        <v>69144.91</v>
      </c>
      <c r="W289" s="641">
        <f>(Q289+S289+U289)</f>
        <v>1914782</v>
      </c>
      <c r="X289" s="1080">
        <f t="shared" si="58"/>
        <v>1.0637677777777779</v>
      </c>
      <c r="Y289" s="509">
        <v>1800000</v>
      </c>
      <c r="Z289" s="715">
        <f t="shared" si="57"/>
        <v>1914782.0000000002</v>
      </c>
      <c r="AA289" s="642">
        <f t="shared" si="60"/>
        <v>267</v>
      </c>
      <c r="AB289" s="643"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9" t="s">
        <v>2032</v>
      </c>
      <c r="C290" s="1059" t="s">
        <v>868</v>
      </c>
      <c r="D290" s="435" t="s">
        <v>2033</v>
      </c>
      <c r="E290" s="634" t="s">
        <v>2034</v>
      </c>
      <c r="F290" s="1058" t="str">
        <f>VLOOKUP(B290,TH.T4!B288:J618,9,FALSE)</f>
        <v>NV Bảo vệ</v>
      </c>
      <c r="G290" s="634"/>
      <c r="H290" s="634"/>
      <c r="I290" s="383" t="s">
        <v>2031</v>
      </c>
      <c r="J290" s="635">
        <v>5417685</v>
      </c>
      <c r="K290" s="484">
        <f t="shared" si="62"/>
        <v>1625305.5</v>
      </c>
      <c r="L290" s="636" t="str">
        <f>VLOOKUP(B290,'[13]Gui chi Quynh'!$B$11:$E$400,4,FALSE)</f>
        <v>A4</v>
      </c>
      <c r="M290" s="484">
        <f>ROUND(IF(AND(L290="A1",K290*1.6),K290*1.6,IF(AND(L290="A2",K290*1.4),K290*1.4,IF(AND(L290="A3",K290*1.2),K290*1.2,IF(AND(L290="A4",K290*1),K290*1,IF(AND(L290="B1",K290*0.7),K290*0.7,IF(AND(L290="B2",K290*0.5),K290*0.5,IF(AND(L290="C1",K290*0.3),K290*0.3,0))))))),)</f>
        <v>1625306</v>
      </c>
      <c r="N290" s="636">
        <v>26</v>
      </c>
      <c r="O290" s="637">
        <f>IFERROR(INDEX('[14]CN HĐ'!$J$10:$J$72,MATCH(B290,'[14]CN HĐ'!$H$10:$H$74,0)),"")</f>
        <v>24</v>
      </c>
      <c r="P290" s="638" t="e">
        <f>IF(M290&gt;#REF!,M290,#REF!)</f>
        <v>#REF!</v>
      </c>
      <c r="Q290" s="484">
        <f t="shared" si="63"/>
        <v>1500282</v>
      </c>
      <c r="R290" s="639"/>
      <c r="S290" s="484">
        <v>0</v>
      </c>
      <c r="T290" s="640"/>
      <c r="U290" s="484">
        <v>0</v>
      </c>
      <c r="V290" s="679">
        <f t="shared" si="64"/>
        <v>54176.85</v>
      </c>
      <c r="W290" s="641">
        <f t="shared" ref="W290:W352" si="65">(Q290+S290+U290)</f>
        <v>1500282</v>
      </c>
      <c r="X290" s="1080">
        <f t="shared" si="58"/>
        <v>0.83348999999999995</v>
      </c>
      <c r="Y290" s="509">
        <v>1800000</v>
      </c>
      <c r="Z290" s="715">
        <f t="shared" si="57"/>
        <v>1500282</v>
      </c>
      <c r="AA290" s="642">
        <f t="shared" si="60"/>
        <v>268</v>
      </c>
      <c r="AB290" s="643"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9" t="s">
        <v>2035</v>
      </c>
      <c r="C291" s="1059"/>
      <c r="D291" s="435"/>
      <c r="E291" s="634" t="s">
        <v>2036</v>
      </c>
      <c r="F291" s="1058" t="str">
        <f>VLOOKUP(B291,TH.T4!B289:J619,9,FALSE)</f>
        <v>NV Bảo vệ</v>
      </c>
      <c r="G291" s="634"/>
      <c r="H291" s="634"/>
      <c r="I291" s="383" t="s">
        <v>2031</v>
      </c>
      <c r="J291" s="635">
        <v>5159700</v>
      </c>
      <c r="K291" s="484">
        <f t="shared" si="62"/>
        <v>1547910</v>
      </c>
      <c r="L291" s="636" t="str">
        <f>VLOOKUP(B291,'[13]Gui chi Quynh'!$B$11:$E$400,4,FALSE)</f>
        <v>A4</v>
      </c>
      <c r="M291" s="484">
        <f>ROUND(IF(AND(L291="A1",K291*1.6),K291*1.6,IF(AND(L291="A2",K291*1.4),K291*1.4,IF(AND(L291="A3",K291*1.2),K291*1.2,IF(AND(L291="A4",K291*1),K291*1,IF(AND(L291="B1",K291*0.7),K291*0.7,IF(AND(L291="B2",K291*0.5),K291*0.5,IF(AND(L291="C1",K291*0.3),K291*0.3,0))))))),)</f>
        <v>1547910</v>
      </c>
      <c r="N291" s="636">
        <v>26</v>
      </c>
      <c r="O291" s="637">
        <f>IFERROR(INDEX('[14]CN HĐ'!$J$10:$J$72,MATCH(B291,'[14]CN HĐ'!$H$10:$H$74,0)),"")</f>
        <v>24</v>
      </c>
      <c r="P291" s="638" t="e">
        <f>IF(M291&gt;#REF!,M291,#REF!)</f>
        <v>#REF!</v>
      </c>
      <c r="Q291" s="484">
        <f t="shared" si="63"/>
        <v>1428840</v>
      </c>
      <c r="R291" s="639"/>
      <c r="S291" s="484">
        <v>0</v>
      </c>
      <c r="T291" s="640"/>
      <c r="U291" s="484">
        <v>0</v>
      </c>
      <c r="V291" s="679">
        <f t="shared" si="64"/>
        <v>51597</v>
      </c>
      <c r="W291" s="641">
        <f t="shared" si="65"/>
        <v>1428840</v>
      </c>
      <c r="X291" s="1080">
        <f t="shared" si="58"/>
        <v>0.79379999999999995</v>
      </c>
      <c r="Y291" s="509">
        <v>1800000</v>
      </c>
      <c r="Z291" s="715">
        <f t="shared" si="57"/>
        <v>1428840</v>
      </c>
      <c r="AA291" s="642">
        <f>A291</f>
        <v>269</v>
      </c>
      <c r="AB291" s="643"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9" t="s">
        <v>2037</v>
      </c>
      <c r="C292" s="1059"/>
      <c r="D292" s="435"/>
      <c r="E292" s="644">
        <v>1603215005626</v>
      </c>
      <c r="F292" s="1058" t="str">
        <f>VLOOKUP(B292,TH.T4!B290:J620,9,FALSE)</f>
        <v>NV Bảo vệ</v>
      </c>
      <c r="G292" s="644"/>
      <c r="H292" s="644"/>
      <c r="I292" s="383" t="s">
        <v>2038</v>
      </c>
      <c r="J292" s="635">
        <v>5007600</v>
      </c>
      <c r="K292" s="484">
        <f t="shared" si="62"/>
        <v>3505320</v>
      </c>
      <c r="L292" s="636"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6">
        <v>26</v>
      </c>
      <c r="O292" s="637">
        <f>IFERROR(INDEX('[14]CN HĐ'!$J$10:$J$72,MATCH(B292,'[14]CN HĐ'!$H$10:$H$74,0)),"")</f>
        <v>26</v>
      </c>
      <c r="P292" s="638" t="e">
        <f>IF(M292&gt;#REF!,M292,#REF!)</f>
        <v>#REF!</v>
      </c>
      <c r="Q292" s="484">
        <f t="shared" si="63"/>
        <v>3505320</v>
      </c>
      <c r="R292" s="639"/>
      <c r="S292" s="484">
        <v>0</v>
      </c>
      <c r="T292" s="640"/>
      <c r="U292" s="484">
        <v>0</v>
      </c>
      <c r="V292" s="679">
        <f t="shared" si="64"/>
        <v>50076</v>
      </c>
      <c r="W292" s="641">
        <f t="shared" si="65"/>
        <v>3505320</v>
      </c>
      <c r="X292" s="1080">
        <f t="shared" si="58"/>
        <v>1.9474</v>
      </c>
      <c r="Y292" s="509">
        <v>1800000</v>
      </c>
      <c r="Z292" s="715">
        <f t="shared" si="57"/>
        <v>3505320</v>
      </c>
      <c r="AA292" s="642">
        <f t="shared" si="60"/>
        <v>270</v>
      </c>
      <c r="AB292" s="643">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7"/>
      <c r="D293" s="451" t="s">
        <v>2040</v>
      </c>
      <c r="E293" s="634">
        <v>1603205287913</v>
      </c>
      <c r="F293" s="1058" t="str">
        <f>VLOOKUP(B293,TH.T4!B291:J621,9,FALSE)</f>
        <v xml:space="preserve">NV Bảo vệ </v>
      </c>
      <c r="G293" s="634"/>
      <c r="H293" s="634"/>
      <c r="I293" s="383" t="s">
        <v>2031</v>
      </c>
      <c r="J293" s="635">
        <v>7206216</v>
      </c>
      <c r="K293" s="484">
        <f t="shared" si="62"/>
        <v>2161864.7999999998</v>
      </c>
      <c r="L293" s="636" t="str">
        <f>VLOOKUP(B293,'[13]Gui chi Quynh'!$B$11:$E$400,4,FALSE)</f>
        <v>A3</v>
      </c>
      <c r="M293" s="484">
        <f t="shared" si="66"/>
        <v>2594238</v>
      </c>
      <c r="N293" s="636">
        <v>26</v>
      </c>
      <c r="O293" s="637">
        <f>IFERROR(INDEX('[14]CN HĐ'!$J$10:$J$72,MATCH(B293,'[14]CN HĐ'!$H$10:$H$74,0)),"")</f>
        <v>27</v>
      </c>
      <c r="P293" s="638" t="e">
        <f>IF(M293&gt;#REF!,M293,#REF!)</f>
        <v>#REF!</v>
      </c>
      <c r="Q293" s="484">
        <f t="shared" si="63"/>
        <v>2594238</v>
      </c>
      <c r="R293" s="639"/>
      <c r="S293" s="484">
        <v>0</v>
      </c>
      <c r="T293" s="640"/>
      <c r="U293" s="484">
        <v>0</v>
      </c>
      <c r="V293" s="679">
        <f t="shared" si="64"/>
        <v>72062.16</v>
      </c>
      <c r="W293" s="641">
        <f t="shared" si="65"/>
        <v>2594238</v>
      </c>
      <c r="X293" s="1080">
        <f t="shared" si="58"/>
        <v>1.4412433333333334</v>
      </c>
      <c r="Y293" s="509">
        <v>1800000</v>
      </c>
      <c r="Z293" s="715">
        <f t="shared" si="57"/>
        <v>2594238</v>
      </c>
      <c r="AA293" s="642">
        <f t="shared" si="60"/>
        <v>271</v>
      </c>
      <c r="AB293" s="643">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7"/>
      <c r="D294" s="451"/>
      <c r="E294" s="644">
        <v>1603205447217</v>
      </c>
      <c r="F294" s="1058" t="str">
        <f>VLOOKUP(B294,TH.T4!B292:J622,9,FALSE)</f>
        <v>Nhân viên bảo vệ</v>
      </c>
      <c r="G294" s="644"/>
      <c r="H294" s="644"/>
      <c r="I294" s="86" t="s">
        <v>2042</v>
      </c>
      <c r="J294" s="635">
        <v>6134525</v>
      </c>
      <c r="K294" s="484">
        <f t="shared" si="62"/>
        <v>4294167.5</v>
      </c>
      <c r="L294" s="636" t="str">
        <f>VLOOKUP(B294,'[13]Gui chi Quynh'!$B$11:$E$400,4,FALSE)</f>
        <v>A2</v>
      </c>
      <c r="M294" s="484">
        <f t="shared" si="66"/>
        <v>6011835</v>
      </c>
      <c r="N294" s="636">
        <v>26</v>
      </c>
      <c r="O294" s="637">
        <f>IFERROR(INDEX('[14]CN HĐ'!$J$10:$J$72,MATCH(B294,'[14]CN HĐ'!$H$10:$H$74,0)),"")</f>
        <v>26</v>
      </c>
      <c r="P294" s="638" t="e">
        <f>IF(M294&gt;#REF!,M294,#REF!)</f>
        <v>#REF!</v>
      </c>
      <c r="Q294" s="484">
        <f t="shared" si="63"/>
        <v>6011835</v>
      </c>
      <c r="R294" s="639"/>
      <c r="S294" s="484">
        <v>0</v>
      </c>
      <c r="T294" s="640"/>
      <c r="U294" s="484">
        <v>0</v>
      </c>
      <c r="V294" s="679">
        <f t="shared" si="64"/>
        <v>61345.25</v>
      </c>
      <c r="W294" s="641">
        <f t="shared" si="65"/>
        <v>6011835</v>
      </c>
      <c r="X294" s="1080">
        <f t="shared" si="58"/>
        <v>3.3399083333333333</v>
      </c>
      <c r="Y294" s="509">
        <v>1800000</v>
      </c>
      <c r="Z294" s="715">
        <f t="shared" si="57"/>
        <v>6011835</v>
      </c>
      <c r="AA294" s="642">
        <f t="shared" si="60"/>
        <v>272</v>
      </c>
      <c r="AB294" s="643">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7"/>
      <c r="D295" s="451" t="s">
        <v>2044</v>
      </c>
      <c r="E295" s="646" t="s">
        <v>2045</v>
      </c>
      <c r="F295" s="1058" t="str">
        <f>VLOOKUP(B295,TH.T4!B293:J623,9,FALSE)</f>
        <v xml:space="preserve">NV Bảo vệ </v>
      </c>
      <c r="G295" s="646"/>
      <c r="H295" s="646"/>
      <c r="I295" s="86" t="s">
        <v>2031</v>
      </c>
      <c r="J295" s="635">
        <v>7623227</v>
      </c>
      <c r="K295" s="484">
        <f t="shared" si="62"/>
        <v>2286968.1</v>
      </c>
      <c r="L295" s="636" t="str">
        <f>VLOOKUP(B295,'[13]Gui chi Quynh'!$B$11:$E$400,4,FALSE)</f>
        <v>A4</v>
      </c>
      <c r="M295" s="484">
        <f t="shared" si="66"/>
        <v>2286968</v>
      </c>
      <c r="N295" s="636">
        <v>26</v>
      </c>
      <c r="O295" s="637">
        <f>IFERROR(INDEX('[14]CN HĐ'!$J$10:$J$72,MATCH(B295,'[14]CN HĐ'!$H$10:$H$74,0)),"")</f>
        <v>23</v>
      </c>
      <c r="P295" s="638" t="e">
        <f>IF(M295&gt;#REF!,M295,#REF!)</f>
        <v>#REF!</v>
      </c>
      <c r="Q295" s="484">
        <f t="shared" si="63"/>
        <v>2023087</v>
      </c>
      <c r="R295" s="639"/>
      <c r="S295" s="484">
        <v>0</v>
      </c>
      <c r="T295" s="640"/>
      <c r="U295" s="484">
        <v>0</v>
      </c>
      <c r="V295" s="679">
        <f t="shared" si="64"/>
        <v>76232.27</v>
      </c>
      <c r="W295" s="641">
        <f t="shared" si="65"/>
        <v>2023087</v>
      </c>
      <c r="X295" s="1080">
        <f t="shared" si="58"/>
        <v>1.1239372222222221</v>
      </c>
      <c r="Y295" s="509">
        <v>1800000</v>
      </c>
      <c r="Z295" s="715">
        <f t="shared" si="57"/>
        <v>2023086.9999999998</v>
      </c>
      <c r="AA295" s="642">
        <f t="shared" si="60"/>
        <v>273</v>
      </c>
      <c r="AB295" s="643"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7"/>
      <c r="D296" s="423" t="s">
        <v>2047</v>
      </c>
      <c r="E296" s="634" t="s">
        <v>2048</v>
      </c>
      <c r="F296" s="1058" t="str">
        <f>VLOOKUP(B296,TH.T4!B294:J624,9,FALSE)</f>
        <v>NV Bảo vệ</v>
      </c>
      <c r="G296" s="634"/>
      <c r="H296" s="634"/>
      <c r="I296" s="86" t="s">
        <v>2031</v>
      </c>
      <c r="J296" s="635">
        <v>5972998</v>
      </c>
      <c r="K296" s="484">
        <f t="shared" si="62"/>
        <v>1791899.4</v>
      </c>
      <c r="L296" s="636" t="str">
        <f>VLOOKUP(B296,'[13]Gui chi Quynh'!$B$11:$E$400,4,FALSE)</f>
        <v>A4</v>
      </c>
      <c r="M296" s="484">
        <f t="shared" si="66"/>
        <v>1791899</v>
      </c>
      <c r="N296" s="636">
        <v>26</v>
      </c>
      <c r="O296" s="637">
        <f>IFERROR(INDEX('[14]CN HĐ'!$J$10:$J$72,MATCH(B296,'[14]CN HĐ'!$H$10:$H$74,0)),"")</f>
        <v>26</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509">
        <v>1800000</v>
      </c>
      <c r="Z296" s="715">
        <f t="shared" si="57"/>
        <v>1791899</v>
      </c>
      <c r="AA296" s="642">
        <f t="shared" si="60"/>
        <v>274</v>
      </c>
      <c r="AB296" s="643">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7"/>
      <c r="D297" s="451" t="s">
        <v>2050</v>
      </c>
      <c r="E297" s="634" t="s">
        <v>2051</v>
      </c>
      <c r="F297" s="1058" t="str">
        <f>VLOOKUP(B297,TH.T4!B295:J625,9,FALSE)</f>
        <v>NV Bảo vệ</v>
      </c>
      <c r="G297" s="634"/>
      <c r="H297" s="634"/>
      <c r="I297" s="383" t="s">
        <v>2031</v>
      </c>
      <c r="J297" s="635">
        <v>5972998</v>
      </c>
      <c r="K297" s="484">
        <f t="shared" si="62"/>
        <v>1791899.4</v>
      </c>
      <c r="L297" s="636" t="str">
        <f>VLOOKUP(B297,'[13]Gui chi Quynh'!$B$11:$E$400,4,FALSE)</f>
        <v>A2</v>
      </c>
      <c r="M297" s="484">
        <f t="shared" si="66"/>
        <v>2508659</v>
      </c>
      <c r="N297" s="636">
        <v>26</v>
      </c>
      <c r="O297" s="637">
        <f>IFERROR(INDEX('[14]CN HĐ'!$J$10:$J$72,MATCH(B297,'[14]CN HĐ'!$H$10:$H$74,0)),"")</f>
        <v>25</v>
      </c>
      <c r="P297" s="638" t="e">
        <f>IF(M297&gt;#REF!,M297,#REF!)</f>
        <v>#REF!</v>
      </c>
      <c r="Q297" s="484">
        <f t="shared" si="63"/>
        <v>2412172</v>
      </c>
      <c r="R297" s="639"/>
      <c r="S297" s="484">
        <v>0</v>
      </c>
      <c r="T297" s="640"/>
      <c r="U297" s="484">
        <v>0</v>
      </c>
      <c r="V297" s="679">
        <f t="shared" si="64"/>
        <v>59729.98</v>
      </c>
      <c r="W297" s="641">
        <f t="shared" si="65"/>
        <v>2412172</v>
      </c>
      <c r="X297" s="1080">
        <f t="shared" si="58"/>
        <v>1.3400955555555556</v>
      </c>
      <c r="Y297" s="509">
        <v>1800000</v>
      </c>
      <c r="Z297" s="715">
        <f t="shared" si="57"/>
        <v>2412172</v>
      </c>
      <c r="AA297" s="642">
        <f t="shared" si="60"/>
        <v>275</v>
      </c>
      <c r="AB297" s="643"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7"/>
      <c r="D298" s="451"/>
      <c r="E298" s="634"/>
      <c r="F298" s="1058" t="str">
        <f>VLOOKUP(B298,TH.T4!B296:J626,9,FALSE)</f>
        <v>NV Bảo vệ</v>
      </c>
      <c r="G298" s="634"/>
      <c r="H298" s="634"/>
      <c r="I298" s="383" t="s">
        <v>2042</v>
      </c>
      <c r="J298" s="635">
        <v>5733201</v>
      </c>
      <c r="K298" s="484">
        <f t="shared" si="62"/>
        <v>4013240.6999999997</v>
      </c>
      <c r="L298" s="636" t="str">
        <f>VLOOKUP(B298,'[13]Gui chi Quynh'!$B$11:$E$400,4,FALSE)</f>
        <v>A3</v>
      </c>
      <c r="M298" s="484">
        <f t="shared" si="66"/>
        <v>4815889</v>
      </c>
      <c r="N298" s="636">
        <v>26</v>
      </c>
      <c r="O298" s="637">
        <f>IFERROR(INDEX('[14]CN HĐ'!$J$10:$J$72,MATCH(B298,'[14]CN HĐ'!$H$10:$H$74,0)),"")</f>
        <v>27</v>
      </c>
      <c r="P298" s="638" t="e">
        <f>IF(M298&gt;#REF!,M298,#REF!)</f>
        <v>#REF!</v>
      </c>
      <c r="Q298" s="484">
        <f t="shared" si="63"/>
        <v>4815889</v>
      </c>
      <c r="R298" s="639"/>
      <c r="S298" s="484">
        <v>0</v>
      </c>
      <c r="T298" s="640"/>
      <c r="U298" s="484">
        <v>0</v>
      </c>
      <c r="V298" s="484">
        <f t="shared" si="64"/>
        <v>57332.01</v>
      </c>
      <c r="W298" s="641">
        <f t="shared" si="65"/>
        <v>4815889</v>
      </c>
      <c r="X298" s="1080">
        <f t="shared" si="58"/>
        <v>2.6754938888888891</v>
      </c>
      <c r="Y298" s="509">
        <v>1800000</v>
      </c>
      <c r="Z298" s="715">
        <f t="shared" si="57"/>
        <v>4815889</v>
      </c>
      <c r="AA298" s="642">
        <f t="shared" si="60"/>
        <v>276</v>
      </c>
      <c r="AB298" s="643"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7"/>
      <c r="D299" s="451"/>
      <c r="E299" s="634"/>
      <c r="F299" s="1058" t="str">
        <f>VLOOKUP(B299,TH.T4!B297:J627,9,FALSE)</f>
        <v>NV Bảo vệ</v>
      </c>
      <c r="G299" s="634"/>
      <c r="H299" s="634"/>
      <c r="I299" s="383" t="s">
        <v>2031</v>
      </c>
      <c r="J299" s="635">
        <v>4680000</v>
      </c>
      <c r="K299" s="484">
        <f t="shared" si="62"/>
        <v>1404000</v>
      </c>
      <c r="L299" s="636" t="str">
        <f>VLOOKUP(B299,'[13]Gui chi Quynh'!$B$11:$E$400,4,FALSE)</f>
        <v>A4</v>
      </c>
      <c r="M299" s="484">
        <f t="shared" si="66"/>
        <v>1404000</v>
      </c>
      <c r="N299" s="636">
        <v>26</v>
      </c>
      <c r="O299" s="637">
        <f>IFERROR(INDEX('[14]CN HĐ'!$J$10:$J$72,MATCH(B299,'[14]CN HĐ'!$H$10:$H$74,0)),"")</f>
        <v>25</v>
      </c>
      <c r="P299" s="638"/>
      <c r="Q299" s="484">
        <f t="shared" si="63"/>
        <v>1350000</v>
      </c>
      <c r="R299" s="639"/>
      <c r="S299" s="484">
        <v>0</v>
      </c>
      <c r="T299" s="640"/>
      <c r="U299" s="484">
        <v>0</v>
      </c>
      <c r="V299" s="679">
        <f t="shared" si="64"/>
        <v>46800</v>
      </c>
      <c r="W299" s="641">
        <f t="shared" si="65"/>
        <v>1350000</v>
      </c>
      <c r="X299" s="1080">
        <f t="shared" si="58"/>
        <v>0.75</v>
      </c>
      <c r="Y299" s="509">
        <v>1800000</v>
      </c>
      <c r="Z299" s="715">
        <f t="shared" si="57"/>
        <v>1350000</v>
      </c>
      <c r="AA299" s="642">
        <f t="shared" si="60"/>
        <v>277</v>
      </c>
      <c r="AB299" s="643"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7"/>
      <c r="D300" s="451"/>
      <c r="E300" s="644">
        <v>1603205639357</v>
      </c>
      <c r="F300" s="1058" t="str">
        <f>VLOOKUP(B300,TH.T4!B298:J628,9,FALSE)</f>
        <v>NV Lái xe</v>
      </c>
      <c r="G300" s="644"/>
      <c r="H300" s="644"/>
      <c r="I300" s="383" t="s">
        <v>2038</v>
      </c>
      <c r="J300" s="635">
        <v>5257980</v>
      </c>
      <c r="K300" s="484">
        <f t="shared" si="62"/>
        <v>3680585.9999999995</v>
      </c>
      <c r="L300" s="636" t="str">
        <f>VLOOKUP(B300,'[13]Gui chi Quynh'!$B$11:$E$400,4,FALSE)</f>
        <v>A2</v>
      </c>
      <c r="M300" s="484">
        <f t="shared" si="66"/>
        <v>5152820</v>
      </c>
      <c r="N300" s="636">
        <v>26</v>
      </c>
      <c r="O300" s="637">
        <f>IFERROR(INDEX('[14]CN HĐ'!$J$10:$J$72,MATCH(B300,'[14]CN HĐ'!$H$10:$H$74,0)),"")</f>
        <v>27</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509">
        <v>1800000</v>
      </c>
      <c r="Z300" s="715">
        <f t="shared" si="57"/>
        <v>5152820</v>
      </c>
      <c r="AA300" s="642">
        <f t="shared" si="60"/>
        <v>278</v>
      </c>
      <c r="AB300" s="643">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7"/>
      <c r="D301" s="451"/>
      <c r="E301" s="646">
        <v>1603205641829</v>
      </c>
      <c r="F301" s="1058" t="str">
        <f>VLOOKUP(B301,TH.T4!B299:J629,9,FALSE)</f>
        <v>NV Phuc vụ Phòng TC - HC - TH</v>
      </c>
      <c r="G301" s="646"/>
      <c r="H301" s="646"/>
      <c r="I301" s="383" t="s">
        <v>2031</v>
      </c>
      <c r="J301" s="635">
        <v>5159700</v>
      </c>
      <c r="K301" s="484">
        <f t="shared" si="62"/>
        <v>1547910</v>
      </c>
      <c r="L301" s="636" t="str">
        <f>VLOOKUP(B301,'[13]Gui chi Quynh'!$B$11:$E$400,4,FALSE)</f>
        <v>A2</v>
      </c>
      <c r="M301" s="484">
        <f t="shared" si="66"/>
        <v>2167074</v>
      </c>
      <c r="N301" s="636">
        <v>26</v>
      </c>
      <c r="O301" s="637">
        <f>IFERROR(INDEX('[14]CN HĐ'!$J$10:$J$72,MATCH(B301,'[14]CN HĐ'!$H$10:$H$74,0)),"")</f>
        <v>26</v>
      </c>
      <c r="P301" s="638" t="e">
        <f>IF(M301&gt;#REF!,M301,#REF!)</f>
        <v>#REF!</v>
      </c>
      <c r="Q301" s="484">
        <f t="shared" si="63"/>
        <v>2167074</v>
      </c>
      <c r="R301" s="639"/>
      <c r="S301" s="484">
        <v>0</v>
      </c>
      <c r="T301" s="640"/>
      <c r="U301" s="484">
        <v>0</v>
      </c>
      <c r="V301" s="679">
        <f t="shared" si="64"/>
        <v>51597</v>
      </c>
      <c r="W301" s="641">
        <f t="shared" si="65"/>
        <v>2167074</v>
      </c>
      <c r="X301" s="1080">
        <f t="shared" si="58"/>
        <v>1.2039299999999999</v>
      </c>
      <c r="Y301" s="509">
        <v>1800000</v>
      </c>
      <c r="Z301" s="715">
        <f t="shared" si="57"/>
        <v>2167074</v>
      </c>
      <c r="AA301" s="642">
        <f t="shared" si="60"/>
        <v>279</v>
      </c>
      <c r="AB301" s="643">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4" t="s">
        <v>2056</v>
      </c>
      <c r="C302" s="1075"/>
      <c r="D302" s="601"/>
      <c r="E302" s="680"/>
      <c r="F302" s="490" t="str">
        <f>VLOOKUP(B302,TH.T4!B300:J630,9,FALSE)</f>
        <v>Nhân viên phòng Thanh tra GD - Công tác SV</v>
      </c>
      <c r="G302" s="680"/>
      <c r="H302" s="680"/>
      <c r="I302" s="490" t="s">
        <v>2042</v>
      </c>
      <c r="J302" s="658">
        <v>5733201</v>
      </c>
      <c r="K302" s="659">
        <f t="shared" si="62"/>
        <v>4013240.6999999997</v>
      </c>
      <c r="L302" s="660" t="str">
        <f>VLOOKUP(B302,'[13]Gui chi Quynh'!$B$11:$E$400,4,FALSE)</f>
        <v>B1</v>
      </c>
      <c r="M302" s="659">
        <f t="shared" si="66"/>
        <v>2809268</v>
      </c>
      <c r="N302" s="660">
        <v>26</v>
      </c>
      <c r="O302" s="661">
        <f>IFERROR(INDEX('[14]CN HĐ'!$J$10:$J$72,MATCH(B302,'[14]CN HĐ'!$H$10:$H$74,0)),"")</f>
        <v>24</v>
      </c>
      <c r="P302" s="662"/>
      <c r="Q302" s="659">
        <f t="shared" si="63"/>
        <v>2593170</v>
      </c>
      <c r="R302" s="663"/>
      <c r="S302" s="659">
        <v>0</v>
      </c>
      <c r="T302" s="664"/>
      <c r="U302" s="659">
        <v>0</v>
      </c>
      <c r="V302" s="659">
        <f t="shared" si="64"/>
        <v>57332.01</v>
      </c>
      <c r="W302" s="1033">
        <f t="shared" si="65"/>
        <v>2593170</v>
      </c>
      <c r="X302" s="1082">
        <f t="shared" si="58"/>
        <v>1.44065</v>
      </c>
      <c r="Y302" s="909">
        <v>1800000</v>
      </c>
      <c r="Z302" s="758">
        <f t="shared" si="57"/>
        <v>2593170</v>
      </c>
      <c r="AA302" s="665">
        <f t="shared" si="60"/>
        <v>280</v>
      </c>
      <c r="AB302" s="666" t="s">
        <v>2247</v>
      </c>
      <c r="AC302" s="114" t="str">
        <f>VLOOKUP(B302,TH.T4!B300:AC630,28,FALSE)</f>
        <v>TTrGD</v>
      </c>
      <c r="AD302" s="505"/>
    </row>
    <row r="303" spans="1:52" s="387" customFormat="1" ht="30.75" customHeight="1">
      <c r="A303" s="33">
        <f>_xlfn.AGGREGATE(4,7,A$22:A302)+1</f>
        <v>281</v>
      </c>
      <c r="B303" s="389" t="s">
        <v>2057</v>
      </c>
      <c r="C303" s="1057"/>
      <c r="D303" s="451" t="s">
        <v>2058</v>
      </c>
      <c r="E303" s="646" t="s">
        <v>1256</v>
      </c>
      <c r="F303" s="1058" t="str">
        <f>VLOOKUP(B303,TH.T4!B301:J631,9,FALSE)</f>
        <v>NV Phòng Tổ chức - Hành chính - Tổng hợp</v>
      </c>
      <c r="G303" s="646"/>
      <c r="H303" s="646"/>
      <c r="I303" s="383" t="s">
        <v>2038</v>
      </c>
      <c r="J303" s="635">
        <v>8992930</v>
      </c>
      <c r="K303" s="484">
        <f t="shared" si="62"/>
        <v>6295051</v>
      </c>
      <c r="L303" s="636" t="str">
        <f>VLOOKUP(B303,'[13]Gui chi Quynh'!$B$11:$E$400,4,FALSE)</f>
        <v>A3</v>
      </c>
      <c r="M303" s="484">
        <f t="shared" si="66"/>
        <v>7554061</v>
      </c>
      <c r="N303" s="636">
        <v>26</v>
      </c>
      <c r="O303" s="637">
        <f>IFERROR(INDEX('[14]CN HĐ'!$J$10:$J$72,MATCH(B303,'[14]CN HĐ'!$H$10:$H$74,0)),"")</f>
        <v>24</v>
      </c>
      <c r="P303" s="638"/>
      <c r="Q303" s="484">
        <f t="shared" si="63"/>
        <v>6972979</v>
      </c>
      <c r="R303" s="639"/>
      <c r="S303" s="484">
        <v>0</v>
      </c>
      <c r="T303" s="640"/>
      <c r="U303" s="484">
        <v>0</v>
      </c>
      <c r="V303" s="679">
        <f t="shared" si="64"/>
        <v>89929.3</v>
      </c>
      <c r="W303" s="641">
        <f t="shared" si="65"/>
        <v>6972979</v>
      </c>
      <c r="X303" s="1080">
        <f t="shared" si="58"/>
        <v>3.8738772222222222</v>
      </c>
      <c r="Y303" s="509">
        <v>1800000</v>
      </c>
      <c r="Z303" s="715">
        <f t="shared" si="57"/>
        <v>6972979</v>
      </c>
      <c r="AA303" s="642">
        <f t="shared" si="60"/>
        <v>281</v>
      </c>
      <c r="AB303" s="643"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7"/>
      <c r="D304" s="451"/>
      <c r="E304" s="646"/>
      <c r="F304" s="1058" t="str">
        <f>VLOOKUP(B304,TH.T4!B302:J632,9,FALSE)</f>
        <v>Nhân viên bảo vệ</v>
      </c>
      <c r="G304" s="646"/>
      <c r="H304" s="646"/>
      <c r="I304" s="383" t="s">
        <v>2031</v>
      </c>
      <c r="J304" s="635">
        <v>4680000</v>
      </c>
      <c r="K304" s="484">
        <f t="shared" si="62"/>
        <v>1404000</v>
      </c>
      <c r="L304" s="636" t="str">
        <f>VLOOKUP(B304,'[13]Gui chi Quynh'!$B$11:$E$400,4,FALSE)</f>
        <v>A3</v>
      </c>
      <c r="M304" s="484">
        <f t="shared" si="66"/>
        <v>1684800</v>
      </c>
      <c r="N304" s="636">
        <v>26</v>
      </c>
      <c r="O304" s="637">
        <f>IFERROR(INDEX('[14]CN HĐ'!$J$10:$J$72,MATCH(B304,'[14]CN HĐ'!$H$10:$H$74,0)),"")</f>
        <v>25</v>
      </c>
      <c r="P304" s="638"/>
      <c r="Q304" s="484">
        <f t="shared" si="63"/>
        <v>1620000</v>
      </c>
      <c r="R304" s="639"/>
      <c r="S304" s="484">
        <v>0</v>
      </c>
      <c r="T304" s="640"/>
      <c r="U304" s="484">
        <v>0</v>
      </c>
      <c r="V304" s="679">
        <f t="shared" si="64"/>
        <v>46800</v>
      </c>
      <c r="W304" s="641">
        <f t="shared" si="65"/>
        <v>1620000</v>
      </c>
      <c r="X304" s="1080">
        <f t="shared" si="58"/>
        <v>0.9</v>
      </c>
      <c r="Y304" s="509">
        <v>1800000</v>
      </c>
      <c r="Z304" s="715">
        <f t="shared" si="57"/>
        <v>1620000</v>
      </c>
      <c r="AA304" s="642">
        <f t="shared" si="60"/>
        <v>282</v>
      </c>
      <c r="AB304" s="643"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7"/>
      <c r="D305" s="451" t="s">
        <v>2061</v>
      </c>
      <c r="E305" s="646" t="s">
        <v>1275</v>
      </c>
      <c r="F305" s="1058" t="str">
        <f>VLOOKUP(B305,TH.T4!B303:J633,9,FALSE)</f>
        <v>NV Phòng Tổ chức - Hành chính - Tổng hợp</v>
      </c>
      <c r="G305" s="646"/>
      <c r="H305" s="646"/>
      <c r="I305" s="86" t="s">
        <v>2042</v>
      </c>
      <c r="J305" s="635">
        <v>8041111</v>
      </c>
      <c r="K305" s="484">
        <f t="shared" si="62"/>
        <v>5628777.6999999993</v>
      </c>
      <c r="L305" s="636" t="str">
        <f>VLOOKUP(B305,'[13]Gui chi Quynh'!$B$11:$E$400,4,FALSE)</f>
        <v>A2</v>
      </c>
      <c r="M305" s="484">
        <f t="shared" si="66"/>
        <v>7880289</v>
      </c>
      <c r="N305" s="636">
        <v>26</v>
      </c>
      <c r="O305" s="637">
        <f>IFERROR(INDEX('[14]CN HĐ'!$J$10:$J$72,MATCH(B305,'[14]CN HĐ'!$H$10:$H$74,0)),"")</f>
        <v>24.5</v>
      </c>
      <c r="P305" s="638"/>
      <c r="Q305" s="484">
        <f t="shared" si="63"/>
        <v>7425657</v>
      </c>
      <c r="R305" s="639"/>
      <c r="S305" s="484">
        <v>0</v>
      </c>
      <c r="T305" s="640"/>
      <c r="U305" s="484">
        <v>0</v>
      </c>
      <c r="V305" s="679">
        <f t="shared" si="64"/>
        <v>80411.11</v>
      </c>
      <c r="W305" s="641">
        <f t="shared" si="65"/>
        <v>7425657</v>
      </c>
      <c r="X305" s="1080">
        <f t="shared" si="58"/>
        <v>4.1253650000000004</v>
      </c>
      <c r="Y305" s="509">
        <v>1800000</v>
      </c>
      <c r="Z305" s="715">
        <f t="shared" si="57"/>
        <v>7425657.0000000009</v>
      </c>
      <c r="AA305" s="642">
        <f t="shared" si="60"/>
        <v>283</v>
      </c>
      <c r="AB305" s="643"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9" t="s">
        <v>2062</v>
      </c>
      <c r="C306" s="1059" t="s">
        <v>874</v>
      </c>
      <c r="D306" s="435" t="s">
        <v>2063</v>
      </c>
      <c r="E306" s="646" t="s">
        <v>2064</v>
      </c>
      <c r="F306" s="1058" t="str">
        <f>VLOOKUP(B306,TH.T4!B304:J634,9,FALSE)</f>
        <v>NV P. QT 
Dịch vụ</v>
      </c>
      <c r="G306" s="646"/>
      <c r="H306" s="646"/>
      <c r="I306" s="383" t="s">
        <v>2042</v>
      </c>
      <c r="J306" s="635">
        <v>7023418</v>
      </c>
      <c r="K306" s="484">
        <f t="shared" si="62"/>
        <v>4916392.5999999996</v>
      </c>
      <c r="L306" s="636" t="str">
        <f>VLOOKUP(B306,'[13]Gui chi Quynh'!$B$11:$E$400,4,FALSE)</f>
        <v>A1</v>
      </c>
      <c r="M306" s="484">
        <f t="shared" si="66"/>
        <v>7866228</v>
      </c>
      <c r="N306" s="636">
        <v>26</v>
      </c>
      <c r="O306" s="637">
        <f>IFERROR(INDEX('[14]CN HĐ'!$J$10:$J$72,MATCH(B306,'[14]CN HĐ'!$H$10:$H$74,0)),"")</f>
        <v>26</v>
      </c>
      <c r="P306" s="638" t="e">
        <f>IF(M306&gt;#REF!,M306,#REF!)</f>
        <v>#REF!</v>
      </c>
      <c r="Q306" s="484">
        <f t="shared" si="63"/>
        <v>7866228</v>
      </c>
      <c r="R306" s="639"/>
      <c r="S306" s="484">
        <v>0</v>
      </c>
      <c r="T306" s="640"/>
      <c r="U306" s="484">
        <v>0</v>
      </c>
      <c r="V306" s="679">
        <f t="shared" si="64"/>
        <v>70234.180000000008</v>
      </c>
      <c r="W306" s="641">
        <f t="shared" si="65"/>
        <v>7866228</v>
      </c>
      <c r="X306" s="1080">
        <f t="shared" si="58"/>
        <v>4.3701266666666667</v>
      </c>
      <c r="Y306" s="509">
        <v>1800000</v>
      </c>
      <c r="Z306" s="715">
        <f t="shared" si="57"/>
        <v>7866228</v>
      </c>
      <c r="AA306" s="642">
        <f t="shared" si="60"/>
        <v>284</v>
      </c>
      <c r="AB306" s="643">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9" t="s">
        <v>2065</v>
      </c>
      <c r="C307" s="1059" t="s">
        <v>921</v>
      </c>
      <c r="D307" s="435" t="s">
        <v>2066</v>
      </c>
      <c r="E307" s="646">
        <v>1603205186060</v>
      </c>
      <c r="F307" s="1058" t="str">
        <f>VLOOKUP(B307,TH.T4!B305:J635,9,FALSE)</f>
        <v>NV Phòng Quản trị - Dịch vụ</v>
      </c>
      <c r="G307" s="646"/>
      <c r="H307" s="646"/>
      <c r="I307" s="383" t="s">
        <v>2038</v>
      </c>
      <c r="J307" s="635">
        <v>6391108</v>
      </c>
      <c r="K307" s="484">
        <f t="shared" si="62"/>
        <v>4473775.5999999996</v>
      </c>
      <c r="L307" s="636" t="str">
        <f>VLOOKUP(B307,'[13]Gui chi Quynh'!$B$11:$E$400,4,FALSE)</f>
        <v>A3</v>
      </c>
      <c r="M307" s="484">
        <f t="shared" si="66"/>
        <v>5368531</v>
      </c>
      <c r="N307" s="636">
        <v>26</v>
      </c>
      <c r="O307" s="637">
        <f>IFERROR(INDEX('[14]CN HĐ'!$J$10:$J$72,MATCH(B307,'[14]CN HĐ'!$H$10:$H$74,0)),"")</f>
        <v>26</v>
      </c>
      <c r="P307" s="638" t="e">
        <f>IF(M307&gt;#REF!,M307,#REF!)</f>
        <v>#REF!</v>
      </c>
      <c r="Q307" s="484">
        <f t="shared" si="63"/>
        <v>5368531</v>
      </c>
      <c r="R307" s="639"/>
      <c r="S307" s="484">
        <v>0</v>
      </c>
      <c r="T307" s="640"/>
      <c r="U307" s="484">
        <v>0</v>
      </c>
      <c r="V307" s="679">
        <f t="shared" si="64"/>
        <v>63911.08</v>
      </c>
      <c r="W307" s="641">
        <f t="shared" si="65"/>
        <v>5368531</v>
      </c>
      <c r="X307" s="1080">
        <f t="shared" si="58"/>
        <v>2.982517222222222</v>
      </c>
      <c r="Y307" s="509">
        <v>1800000</v>
      </c>
      <c r="Z307" s="715">
        <f t="shared" si="57"/>
        <v>5368531</v>
      </c>
      <c r="AA307" s="642">
        <f t="shared" si="60"/>
        <v>285</v>
      </c>
      <c r="AB307" s="643">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9" t="s">
        <v>2067</v>
      </c>
      <c r="C308" s="1059" t="s">
        <v>882</v>
      </c>
      <c r="D308" s="435" t="s">
        <v>2068</v>
      </c>
      <c r="E308" s="646">
        <v>1603205327532</v>
      </c>
      <c r="F308" s="1058" t="str">
        <f>VLOOKUP(B308,TH.T4!B306:J636,9,FALSE)</f>
        <v>NV bảo trì</v>
      </c>
      <c r="G308" s="646"/>
      <c r="H308" s="646"/>
      <c r="I308" s="383" t="s">
        <v>2042</v>
      </c>
      <c r="J308" s="635">
        <v>8041111</v>
      </c>
      <c r="K308" s="484">
        <f t="shared" si="62"/>
        <v>5628777.6999999993</v>
      </c>
      <c r="L308" s="636" t="str">
        <f>VLOOKUP(B308,'[13]Gui chi Quynh'!$B$11:$E$400,4,FALSE)</f>
        <v>A2</v>
      </c>
      <c r="M308" s="484">
        <f t="shared" si="66"/>
        <v>7880289</v>
      </c>
      <c r="N308" s="636">
        <v>26</v>
      </c>
      <c r="O308" s="637">
        <f>IFERROR(INDEX('[14]CN HĐ'!$J$10:$J$72,MATCH(B308,'[14]CN HĐ'!$H$10:$H$74,0)),"")</f>
        <v>28</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509">
        <v>1800000</v>
      </c>
      <c r="Z308" s="715">
        <f t="shared" si="57"/>
        <v>7880289.0000000009</v>
      </c>
      <c r="AA308" s="642">
        <f t="shared" si="60"/>
        <v>286</v>
      </c>
      <c r="AB308" s="643">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9" t="s">
        <v>2069</v>
      </c>
      <c r="C309" s="1059" t="s">
        <v>2070</v>
      </c>
      <c r="D309" s="435" t="s">
        <v>2071</v>
      </c>
      <c r="E309" s="634" t="s">
        <v>2072</v>
      </c>
      <c r="F309" s="1058" t="str">
        <f>VLOOKUP(B309,TH.T4!B307:J637,9,FALSE)</f>
        <v>NV P. QT 
Dịch vụ</v>
      </c>
      <c r="G309" s="634"/>
      <c r="H309" s="634"/>
      <c r="I309" s="383" t="s">
        <v>2038</v>
      </c>
      <c r="J309" s="635">
        <v>5520879</v>
      </c>
      <c r="K309" s="484">
        <f t="shared" si="62"/>
        <v>3864615.3</v>
      </c>
      <c r="L309" s="636" t="str">
        <f>VLOOKUP(B309,'[13]Gui chi Quynh'!$B$11:$E$400,4,FALSE)</f>
        <v>A3</v>
      </c>
      <c r="M309" s="484">
        <f t="shared" si="66"/>
        <v>4637538</v>
      </c>
      <c r="N309" s="636">
        <v>26</v>
      </c>
      <c r="O309" s="637">
        <v>25</v>
      </c>
      <c r="P309" s="638" t="e">
        <f>IF(M309&gt;#REF!,M309,#REF!)</f>
        <v>#REF!</v>
      </c>
      <c r="Q309" s="484">
        <f t="shared" si="63"/>
        <v>4459171</v>
      </c>
      <c r="R309" s="639"/>
      <c r="S309" s="484">
        <v>0</v>
      </c>
      <c r="T309" s="640"/>
      <c r="U309" s="484">
        <v>0</v>
      </c>
      <c r="V309" s="679">
        <f t="shared" si="64"/>
        <v>55208.79</v>
      </c>
      <c r="W309" s="641">
        <f t="shared" si="65"/>
        <v>4459171</v>
      </c>
      <c r="X309" s="1080">
        <f t="shared" si="58"/>
        <v>2.4773172222222222</v>
      </c>
      <c r="Y309" s="509">
        <v>1800000</v>
      </c>
      <c r="Z309" s="715">
        <f t="shared" si="57"/>
        <v>4459171</v>
      </c>
      <c r="AA309" s="642">
        <f t="shared" si="60"/>
        <v>287</v>
      </c>
      <c r="AB309" s="643"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7" t="s">
        <v>1171</v>
      </c>
      <c r="D310" s="451" t="s">
        <v>2074</v>
      </c>
      <c r="E310" s="651" t="s">
        <v>1266</v>
      </c>
      <c r="F310" s="1058" t="str">
        <f>VLOOKUP(B310,TH.T4!B308:J638,9,FALSE)</f>
        <v>NV P. QT 
Dịch vụ</v>
      </c>
      <c r="G310" s="651"/>
      <c r="H310" s="651"/>
      <c r="I310" s="383" t="s">
        <v>2038</v>
      </c>
      <c r="J310" s="635">
        <v>6086769</v>
      </c>
      <c r="K310" s="484">
        <f t="shared" si="62"/>
        <v>4260738.3</v>
      </c>
      <c r="L310" s="636" t="str">
        <f>VLOOKUP(B310,'[13]Gui chi Quynh'!$B$11:$E$400,4,FALSE)</f>
        <v>A3</v>
      </c>
      <c r="M310" s="484">
        <f t="shared" si="66"/>
        <v>5112886</v>
      </c>
      <c r="N310" s="636">
        <v>26</v>
      </c>
      <c r="O310" s="637">
        <f>IFERROR(INDEX('[14]CN HĐ'!$J$10:$J$72,MATCH(B310,'[14]CN HĐ'!$H$10:$H$74,0)),"")</f>
        <v>26</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509">
        <v>1800000</v>
      </c>
      <c r="Z310" s="715">
        <f t="shared" si="57"/>
        <v>5112886</v>
      </c>
      <c r="AA310" s="642">
        <f t="shared" si="60"/>
        <v>288</v>
      </c>
      <c r="AB310" s="643">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7"/>
      <c r="D311" s="451" t="s">
        <v>2076</v>
      </c>
      <c r="E311" s="646">
        <v>1603205185856</v>
      </c>
      <c r="F311" s="1058" t="str">
        <f>VLOOKUP(B311,TH.T4!B309:J639,9,FALSE)</f>
        <v>NV Phục vụ</v>
      </c>
      <c r="G311" s="646"/>
      <c r="H311" s="646"/>
      <c r="I311" s="383" t="s">
        <v>2031</v>
      </c>
      <c r="J311" s="635">
        <v>8004388</v>
      </c>
      <c r="K311" s="484">
        <f t="shared" si="62"/>
        <v>2401316.4</v>
      </c>
      <c r="L311" s="636" t="str">
        <f>VLOOKUP(B311,'[13]Gui chi Quynh'!$B$11:$E$400,4,FALSE)</f>
        <v>A3</v>
      </c>
      <c r="M311" s="484">
        <f t="shared" si="66"/>
        <v>2881580</v>
      </c>
      <c r="N311" s="636">
        <v>26</v>
      </c>
      <c r="O311" s="637">
        <f>IFERROR(INDEX('[14]CN HĐ'!$J$10:$J$72,MATCH(B311,'[14]CN HĐ'!$H$10:$H$74,0)),"")</f>
        <v>26</v>
      </c>
      <c r="P311" s="638" t="e">
        <f>IF(M311&gt;#REF!,M311,#REF!)</f>
        <v>#REF!</v>
      </c>
      <c r="Q311" s="484">
        <f t="shared" si="63"/>
        <v>2881580</v>
      </c>
      <c r="R311" s="639"/>
      <c r="S311" s="484">
        <v>0</v>
      </c>
      <c r="T311" s="640"/>
      <c r="U311" s="484">
        <v>0</v>
      </c>
      <c r="V311" s="679">
        <f t="shared" si="64"/>
        <v>80043.88</v>
      </c>
      <c r="W311" s="641">
        <f t="shared" si="65"/>
        <v>2881580</v>
      </c>
      <c r="X311" s="1080">
        <f t="shared" si="58"/>
        <v>1.6008777777777778</v>
      </c>
      <c r="Y311" s="509">
        <v>1800000</v>
      </c>
      <c r="Z311" s="715">
        <f t="shared" si="57"/>
        <v>2881580</v>
      </c>
      <c r="AA311" s="642">
        <f t="shared" si="60"/>
        <v>289</v>
      </c>
      <c r="AB311" s="643">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7"/>
      <c r="D312" s="451" t="s">
        <v>2078</v>
      </c>
      <c r="E312" s="634" t="s">
        <v>2079</v>
      </c>
      <c r="F312" s="1058" t="str">
        <f>VLOOKUP(B312,TH.T4!B310:J640,9,FALSE)</f>
        <v>NV Phục vụ</v>
      </c>
      <c r="G312" s="634"/>
      <c r="H312" s="634"/>
      <c r="I312" s="383" t="s">
        <v>2031</v>
      </c>
      <c r="J312" s="635">
        <v>5159700</v>
      </c>
      <c r="K312" s="484">
        <f t="shared" si="62"/>
        <v>1547910</v>
      </c>
      <c r="L312" s="636" t="str">
        <f>VLOOKUP(B312,'[13]Gui chi Quynh'!$B$11:$E$400,4,FALSE)</f>
        <v>A3</v>
      </c>
      <c r="M312" s="484">
        <f t="shared" si="66"/>
        <v>1857492</v>
      </c>
      <c r="N312" s="636">
        <v>26</v>
      </c>
      <c r="O312" s="637">
        <f>IFERROR(INDEX('[14]CN HĐ'!$J$10:$J$72,MATCH(B312,'[14]CN HĐ'!$H$10:$H$74,0)),"")</f>
        <v>25</v>
      </c>
      <c r="P312" s="638" t="e">
        <f>IF(M312&gt;#REF!,M312,#REF!)</f>
        <v>#REF!</v>
      </c>
      <c r="Q312" s="484">
        <f t="shared" si="63"/>
        <v>1786050</v>
      </c>
      <c r="R312" s="639"/>
      <c r="S312" s="484">
        <v>0</v>
      </c>
      <c r="T312" s="640"/>
      <c r="U312" s="484">
        <v>0</v>
      </c>
      <c r="V312" s="484">
        <f t="shared" si="64"/>
        <v>51597</v>
      </c>
      <c r="W312" s="641">
        <f t="shared" si="65"/>
        <v>1786050</v>
      </c>
      <c r="X312" s="1080">
        <f t="shared" si="58"/>
        <v>0.99224999999999997</v>
      </c>
      <c r="Y312" s="509">
        <v>1800000</v>
      </c>
      <c r="Z312" s="715">
        <f t="shared" si="57"/>
        <v>1786050</v>
      </c>
      <c r="AA312" s="642">
        <f t="shared" si="60"/>
        <v>290</v>
      </c>
      <c r="AB312" s="643"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7"/>
      <c r="D313" s="451"/>
      <c r="E313" s="653" t="s">
        <v>2081</v>
      </c>
      <c r="F313" s="1058" t="str">
        <f>VLOOKUP(B313,TH.T4!B311:J641,9,FALSE)</f>
        <v>NV Phục vụ</v>
      </c>
      <c r="G313" s="653"/>
      <c r="H313" s="653"/>
      <c r="I313" s="383" t="s">
        <v>2031</v>
      </c>
      <c r="J313" s="635">
        <v>4914000</v>
      </c>
      <c r="K313" s="484">
        <f t="shared" si="62"/>
        <v>1474200</v>
      </c>
      <c r="L313" s="636" t="str">
        <f>VLOOKUP(B313,'[13]Gui chi Quynh'!$B$11:$E$400,4,FALSE)</f>
        <v>A3</v>
      </c>
      <c r="M313" s="484">
        <f t="shared" si="66"/>
        <v>1769040</v>
      </c>
      <c r="N313" s="636">
        <v>26</v>
      </c>
      <c r="O313" s="637">
        <f>IFERROR(INDEX('[14]CN HĐ'!$J$10:$J$72,MATCH(B313,'[14]CN HĐ'!$H$10:$H$74,0)),"")</f>
        <v>26</v>
      </c>
      <c r="P313" s="638" t="e">
        <f>IF(M313&gt;#REF!,M313,#REF!)</f>
        <v>#REF!</v>
      </c>
      <c r="Q313" s="484">
        <f t="shared" si="63"/>
        <v>1769040</v>
      </c>
      <c r="R313" s="639"/>
      <c r="S313" s="484">
        <v>0</v>
      </c>
      <c r="T313" s="640"/>
      <c r="U313" s="484">
        <v>0</v>
      </c>
      <c r="V313" s="679">
        <f t="shared" si="64"/>
        <v>49140</v>
      </c>
      <c r="W313" s="641">
        <f t="shared" si="65"/>
        <v>1769040</v>
      </c>
      <c r="X313" s="1080">
        <f t="shared" si="58"/>
        <v>0.98280000000000001</v>
      </c>
      <c r="Y313" s="509">
        <v>1800000</v>
      </c>
      <c r="Z313" s="715">
        <f t="shared" si="57"/>
        <v>1769040</v>
      </c>
      <c r="AA313" s="642">
        <f t="shared" si="60"/>
        <v>291</v>
      </c>
      <c r="AB313" s="643">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7"/>
      <c r="D314" s="451"/>
      <c r="E314" s="654" t="s">
        <v>2083</v>
      </c>
      <c r="F314" s="1058" t="str">
        <f>VLOOKUP(B314,TH.T4!B312:J642,9,FALSE)</f>
        <v>NV Phục vụ</v>
      </c>
      <c r="G314" s="654"/>
      <c r="H314" s="654"/>
      <c r="I314" s="383" t="s">
        <v>2031</v>
      </c>
      <c r="J314" s="635">
        <v>4914000</v>
      </c>
      <c r="K314" s="484">
        <f t="shared" si="62"/>
        <v>1474200</v>
      </c>
      <c r="L314" s="636" t="str">
        <f>VLOOKUP(B314,'[13]Gui chi Quynh'!$B$11:$E$400,4,FALSE)</f>
        <v>A3</v>
      </c>
      <c r="M314" s="484">
        <f t="shared" si="66"/>
        <v>1769040</v>
      </c>
      <c r="N314" s="636">
        <v>26</v>
      </c>
      <c r="O314" s="637">
        <f>IFERROR(INDEX('[14]CN HĐ'!$J$10:$J$72,MATCH(B314,'[14]CN HĐ'!$H$10:$H$74,0)),"")</f>
        <v>26</v>
      </c>
      <c r="P314" s="638" t="e">
        <f>IF(M314&gt;#REF!,M314,#REF!)</f>
        <v>#REF!</v>
      </c>
      <c r="Q314" s="484">
        <f t="shared" si="63"/>
        <v>1769040</v>
      </c>
      <c r="R314" s="639"/>
      <c r="S314" s="484">
        <v>0</v>
      </c>
      <c r="T314" s="640"/>
      <c r="U314" s="484">
        <v>0</v>
      </c>
      <c r="V314" s="679">
        <f t="shared" si="64"/>
        <v>49140</v>
      </c>
      <c r="W314" s="641">
        <f t="shared" si="65"/>
        <v>1769040</v>
      </c>
      <c r="X314" s="1080">
        <f t="shared" si="58"/>
        <v>0.98280000000000001</v>
      </c>
      <c r="Y314" s="509">
        <v>1800000</v>
      </c>
      <c r="Z314" s="715">
        <f t="shared" si="57"/>
        <v>1769040</v>
      </c>
      <c r="AA314" s="642">
        <f t="shared" si="60"/>
        <v>292</v>
      </c>
      <c r="AB314" s="643">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7"/>
      <c r="D315" s="451"/>
      <c r="E315" s="654" t="s">
        <v>2085</v>
      </c>
      <c r="F315" s="1058" t="str">
        <f>VLOOKUP(B315,TH.T4!B313:J643,9,FALSE)</f>
        <v>NV Phục vụ</v>
      </c>
      <c r="G315" s="654"/>
      <c r="H315" s="654"/>
      <c r="I315" s="383" t="s">
        <v>2031</v>
      </c>
      <c r="J315" s="635">
        <v>4914000</v>
      </c>
      <c r="K315" s="484">
        <f t="shared" si="62"/>
        <v>1474200</v>
      </c>
      <c r="L315" s="636" t="str">
        <f>VLOOKUP(B315,'[13]Gui chi Quynh'!$B$11:$E$400,4,FALSE)</f>
        <v>A3</v>
      </c>
      <c r="M315" s="484">
        <f t="shared" si="66"/>
        <v>1769040</v>
      </c>
      <c r="N315" s="636">
        <v>26</v>
      </c>
      <c r="O315" s="637">
        <f>IFERROR(INDEX('[14]CN HĐ'!$J$10:$J$72,MATCH(B315,'[14]CN HĐ'!$H$10:$H$74,0)),"")</f>
        <v>26</v>
      </c>
      <c r="P315" s="638" t="e">
        <f>IF(M315&gt;#REF!,M315,#REF!)</f>
        <v>#REF!</v>
      </c>
      <c r="Q315" s="484">
        <f t="shared" si="63"/>
        <v>1769040</v>
      </c>
      <c r="R315" s="639"/>
      <c r="S315" s="484">
        <v>0</v>
      </c>
      <c r="T315" s="640"/>
      <c r="U315" s="484">
        <v>0</v>
      </c>
      <c r="V315" s="679">
        <f t="shared" si="64"/>
        <v>49140</v>
      </c>
      <c r="W315" s="641">
        <f t="shared" si="65"/>
        <v>1769040</v>
      </c>
      <c r="X315" s="1080">
        <f t="shared" si="58"/>
        <v>0.98280000000000001</v>
      </c>
      <c r="Y315" s="509">
        <v>1800000</v>
      </c>
      <c r="Z315" s="715">
        <f t="shared" si="57"/>
        <v>1769040</v>
      </c>
      <c r="AA315" s="642">
        <f t="shared" si="60"/>
        <v>293</v>
      </c>
      <c r="AB315" s="643">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7"/>
      <c r="D316" s="451"/>
      <c r="E316" s="654"/>
      <c r="F316" s="1058" t="str">
        <f>VLOOKUP(B316,TH.T4!B314:J644,9,FALSE)</f>
        <v>Nhân viên phòng Quản trị - Dịch vụ</v>
      </c>
      <c r="G316" s="654"/>
      <c r="H316" s="654"/>
      <c r="I316" s="383" t="s">
        <v>2031</v>
      </c>
      <c r="J316" s="635">
        <v>4914000</v>
      </c>
      <c r="K316" s="484">
        <f t="shared" si="62"/>
        <v>1474200</v>
      </c>
      <c r="L316" s="636" t="str">
        <f>VLOOKUP(B316,'[13]Gui chi Quynh'!$B$11:$E$400,4,FALSE)</f>
        <v>A4</v>
      </c>
      <c r="M316" s="484">
        <f t="shared" si="66"/>
        <v>1474200</v>
      </c>
      <c r="N316" s="636">
        <v>26</v>
      </c>
      <c r="O316" s="637">
        <f>IFERROR(INDEX('[14]CN HĐ'!$J$10:$J$72,MATCH(B316,'[14]CN HĐ'!$H$10:$H$74,0)),"")</f>
        <v>26</v>
      </c>
      <c r="P316" s="638"/>
      <c r="Q316" s="484">
        <f t="shared" si="63"/>
        <v>1474200</v>
      </c>
      <c r="R316" s="639"/>
      <c r="S316" s="484">
        <v>0</v>
      </c>
      <c r="T316" s="640"/>
      <c r="U316" s="484">
        <v>0</v>
      </c>
      <c r="V316" s="679">
        <f t="shared" si="64"/>
        <v>49140</v>
      </c>
      <c r="W316" s="641">
        <f t="shared" si="65"/>
        <v>1474200</v>
      </c>
      <c r="X316" s="1080">
        <f t="shared" si="58"/>
        <v>0.81899999999999995</v>
      </c>
      <c r="Y316" s="509">
        <v>1800000</v>
      </c>
      <c r="Z316" s="715">
        <f t="shared" si="57"/>
        <v>1474200</v>
      </c>
      <c r="AA316" s="642">
        <f t="shared" si="60"/>
        <v>294</v>
      </c>
      <c r="AB316" s="643">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7"/>
      <c r="D317" s="451"/>
      <c r="E317" s="654"/>
      <c r="F317" s="1058" t="str">
        <f>VLOOKUP(B317,TH.T4!B315:J645,9,FALSE)</f>
        <v>Nhân viên phòng Quản trị - Dịch vụ</v>
      </c>
      <c r="G317" s="654"/>
      <c r="H317" s="654"/>
      <c r="I317" s="383" t="s">
        <v>2031</v>
      </c>
      <c r="J317" s="635">
        <v>4914000</v>
      </c>
      <c r="K317" s="484">
        <f t="shared" si="62"/>
        <v>1474200</v>
      </c>
      <c r="L317" s="636" t="str">
        <f>VLOOKUP(B317,'[13]Gui chi Quynh'!$B$11:$E$400,4,FALSE)</f>
        <v>A4</v>
      </c>
      <c r="M317" s="484">
        <f t="shared" si="66"/>
        <v>1474200</v>
      </c>
      <c r="N317" s="636">
        <v>26</v>
      </c>
      <c r="O317" s="637">
        <f>IFERROR(INDEX('[14]CN HĐ'!$J$10:$J$72,MATCH(B317,'[14]CN HĐ'!$H$10:$H$74,0)),"")</f>
        <v>26</v>
      </c>
      <c r="P317" s="638"/>
      <c r="Q317" s="484">
        <f t="shared" si="63"/>
        <v>1474200</v>
      </c>
      <c r="R317" s="639"/>
      <c r="S317" s="484">
        <v>0</v>
      </c>
      <c r="T317" s="640"/>
      <c r="U317" s="484">
        <v>0</v>
      </c>
      <c r="V317" s="679">
        <f t="shared" si="64"/>
        <v>49140</v>
      </c>
      <c r="W317" s="641">
        <f t="shared" si="65"/>
        <v>1474200</v>
      </c>
      <c r="X317" s="1080">
        <f t="shared" si="58"/>
        <v>0.81899999999999995</v>
      </c>
      <c r="Y317" s="509">
        <v>1800000</v>
      </c>
      <c r="Z317" s="715">
        <f t="shared" si="57"/>
        <v>1474200</v>
      </c>
      <c r="AA317" s="642">
        <f t="shared" si="60"/>
        <v>295</v>
      </c>
      <c r="AB317" s="643">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4" t="s">
        <v>2245</v>
      </c>
      <c r="C318" s="1075"/>
      <c r="D318" s="601"/>
      <c r="E318" s="1032"/>
      <c r="F318" s="490" t="s">
        <v>2242</v>
      </c>
      <c r="G318" s="1032"/>
      <c r="H318" s="1032"/>
      <c r="I318" s="490" t="s">
        <v>2038</v>
      </c>
      <c r="J318" s="658">
        <v>5007600</v>
      </c>
      <c r="K318" s="659">
        <f t="shared" si="62"/>
        <v>3505320</v>
      </c>
      <c r="L318" s="660" t="str">
        <f>VLOOKUP(B318,'[13]Gui chi Quynh'!$B$11:$E$400,4,FALSE)</f>
        <v>A2</v>
      </c>
      <c r="M318" s="659">
        <f t="shared" si="66"/>
        <v>4907448</v>
      </c>
      <c r="N318" s="660">
        <v>26</v>
      </c>
      <c r="O318" s="661">
        <f>IFERROR(INDEX('[14]CN HĐ'!$J$10:$J$72,MATCH(B318,'[14]CN HĐ'!$H$10:$H$74,0)),"")</f>
        <v>26</v>
      </c>
      <c r="P318" s="662"/>
      <c r="Q318" s="659">
        <f t="shared" si="63"/>
        <v>4907448</v>
      </c>
      <c r="R318" s="663"/>
      <c r="S318" s="659">
        <v>0</v>
      </c>
      <c r="T318" s="664"/>
      <c r="U318" s="659">
        <v>0</v>
      </c>
      <c r="V318" s="659">
        <f t="shared" si="64"/>
        <v>50076</v>
      </c>
      <c r="W318" s="1033">
        <f t="shared" si="65"/>
        <v>4907448</v>
      </c>
      <c r="X318" s="1082">
        <f t="shared" si="58"/>
        <v>2.7263600000000001</v>
      </c>
      <c r="Y318" s="909">
        <v>1800000</v>
      </c>
      <c r="Z318" s="758">
        <f t="shared" si="57"/>
        <v>4907448</v>
      </c>
      <c r="AA318" s="665">
        <f t="shared" si="60"/>
        <v>296</v>
      </c>
      <c r="AB318" s="666"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7"/>
      <c r="D319" s="451"/>
      <c r="E319" s="654"/>
      <c r="F319" s="1058" t="str">
        <f>VLOOKUP(B319,TH.T4!B317:J647,9,FALSE)</f>
        <v>Nhân viên phòng Quản trị - Dịch vụ</v>
      </c>
      <c r="G319" s="654"/>
      <c r="H319" s="654"/>
      <c r="I319" s="383" t="s">
        <v>2031</v>
      </c>
      <c r="J319" s="635">
        <v>4680000</v>
      </c>
      <c r="K319" s="484">
        <f t="shared" si="62"/>
        <v>1404000</v>
      </c>
      <c r="L319" s="636" t="str">
        <f>VLOOKUP(B319,'[13]Gui chi Quynh'!$B$11:$E$400,4,FALSE)</f>
        <v>A3</v>
      </c>
      <c r="M319" s="484">
        <f t="shared" si="66"/>
        <v>1684800</v>
      </c>
      <c r="N319" s="636">
        <v>26</v>
      </c>
      <c r="O319" s="637">
        <f>IFERROR(INDEX('[14]CN HĐ'!$J$10:$J$72,MATCH(B319,'[14]CN HĐ'!$H$10:$H$74,0)),"")</f>
        <v>26</v>
      </c>
      <c r="P319" s="638"/>
      <c r="Q319" s="484">
        <f t="shared" si="63"/>
        <v>1684800</v>
      </c>
      <c r="R319" s="639"/>
      <c r="S319" s="484">
        <v>0</v>
      </c>
      <c r="T319" s="640"/>
      <c r="U319" s="484">
        <v>0</v>
      </c>
      <c r="V319" s="679">
        <f t="shared" si="64"/>
        <v>46800</v>
      </c>
      <c r="W319" s="641">
        <f t="shared" si="65"/>
        <v>1684800</v>
      </c>
      <c r="X319" s="1080">
        <f t="shared" si="58"/>
        <v>0.93600000000000005</v>
      </c>
      <c r="Y319" s="509">
        <v>1800000</v>
      </c>
      <c r="Z319" s="715">
        <f t="shared" si="57"/>
        <v>1684800</v>
      </c>
      <c r="AA319" s="642">
        <f t="shared" si="60"/>
        <v>297</v>
      </c>
      <c r="AB319" s="643">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9" t="s">
        <v>2089</v>
      </c>
      <c r="C320" s="1059" t="s">
        <v>307</v>
      </c>
      <c r="D320" s="435" t="s">
        <v>2090</v>
      </c>
      <c r="E320" s="646">
        <v>1603205194204</v>
      </c>
      <c r="F320" s="1058" t="str">
        <f>VLOOKUP(B320,TH.T4!B318:J648,9,FALSE)</f>
        <v>Nhân viên Y tế</v>
      </c>
      <c r="G320" s="646"/>
      <c r="H320" s="646"/>
      <c r="I320" s="383" t="s">
        <v>2038</v>
      </c>
      <c r="J320" s="635">
        <v>7046196</v>
      </c>
      <c r="K320" s="484">
        <f t="shared" si="62"/>
        <v>4932337.1999999993</v>
      </c>
      <c r="L320" s="636" t="str">
        <f>VLOOKUP(B320,'[13]Gui chi Quynh'!$B$11:$E$400,4,FALSE)</f>
        <v>A2</v>
      </c>
      <c r="M320" s="484">
        <f t="shared" si="66"/>
        <v>6905272</v>
      </c>
      <c r="N320" s="636">
        <v>26</v>
      </c>
      <c r="O320" s="637">
        <f>IFERROR(INDEX('[14]CN HĐ'!$J$10:$J$72,MATCH(B320,'[14]CN HĐ'!$H$10:$H$74,0)),"")</f>
        <v>26</v>
      </c>
      <c r="P320" s="638" t="e">
        <f>IF(M320&gt;#REF!,M320,#REF!)</f>
        <v>#REF!</v>
      </c>
      <c r="Q320" s="484">
        <f t="shared" si="63"/>
        <v>6905272</v>
      </c>
      <c r="R320" s="639"/>
      <c r="S320" s="484">
        <v>0</v>
      </c>
      <c r="T320" s="640"/>
      <c r="U320" s="484">
        <v>0</v>
      </c>
      <c r="V320" s="484">
        <f t="shared" si="64"/>
        <v>70461.960000000006</v>
      </c>
      <c r="W320" s="641">
        <f t="shared" si="65"/>
        <v>6905272</v>
      </c>
      <c r="X320" s="1080">
        <f t="shared" si="58"/>
        <v>3.836262222222222</v>
      </c>
      <c r="Y320" s="509">
        <v>1800000</v>
      </c>
      <c r="Z320" s="715">
        <f t="shared" si="57"/>
        <v>6905272</v>
      </c>
      <c r="AA320" s="642">
        <f t="shared" si="60"/>
        <v>298</v>
      </c>
      <c r="AB320" s="643">
        <f>IFERROR(INDEX('[14]CN HĐ'!$M$10:$M$73,MATCH(B320,'[14]CN HĐ'!$H$10:$H$73,0)),"")</f>
        <v>0</v>
      </c>
      <c r="AC320" s="114" t="str">
        <f>VLOOKUP(B320,TH.T4!B317:AC647,28,FALSE)</f>
        <v>TTYT</v>
      </c>
    </row>
    <row r="321" spans="1:69" s="387" customFormat="1" ht="29.25" customHeight="1">
      <c r="A321" s="33">
        <f>_xlfn.AGGREGATE(4,7,A$22:A320)+1</f>
        <v>299</v>
      </c>
      <c r="B321" s="1059" t="s">
        <v>2091</v>
      </c>
      <c r="C321" s="1059"/>
      <c r="D321" s="435"/>
      <c r="E321" s="646"/>
      <c r="F321" s="1058" t="str">
        <f>VLOOKUP(B321,TH.T4!B319:J649,9,FALSE)</f>
        <v>Nhân viên Ký túc xá</v>
      </c>
      <c r="G321" s="646"/>
      <c r="H321" s="646"/>
      <c r="I321" s="383" t="s">
        <v>2031</v>
      </c>
      <c r="J321" s="635">
        <v>4914000</v>
      </c>
      <c r="K321" s="484">
        <f t="shared" si="62"/>
        <v>1474200</v>
      </c>
      <c r="L321" s="636" t="str">
        <f>VLOOKUP(B321,'[13]Gui chi Quynh'!$B$11:$E$400,4,FALSE)</f>
        <v>A4</v>
      </c>
      <c r="M321" s="484">
        <f t="shared" si="66"/>
        <v>1474200</v>
      </c>
      <c r="N321" s="636">
        <v>26</v>
      </c>
      <c r="O321" s="637">
        <f>IFERROR(INDEX('[14]CN HĐ'!$J$10:$J$72,MATCH(B321,'[14]CN HĐ'!$H$10:$H$74,0)),"")</f>
        <v>24</v>
      </c>
      <c r="P321" s="638"/>
      <c r="Q321" s="484">
        <f t="shared" si="63"/>
        <v>1360800</v>
      </c>
      <c r="R321" s="639"/>
      <c r="S321" s="484">
        <v>0</v>
      </c>
      <c r="T321" s="640"/>
      <c r="U321" s="484">
        <v>0</v>
      </c>
      <c r="V321" s="679">
        <f t="shared" si="64"/>
        <v>49140</v>
      </c>
      <c r="W321" s="641">
        <f t="shared" si="65"/>
        <v>1360800</v>
      </c>
      <c r="X321" s="1080">
        <f t="shared" si="58"/>
        <v>0.75600000000000001</v>
      </c>
      <c r="Y321" s="509">
        <v>1800000</v>
      </c>
      <c r="Z321" s="715">
        <f t="shared" si="57"/>
        <v>1360800</v>
      </c>
      <c r="AA321" s="642">
        <f t="shared" si="60"/>
        <v>299</v>
      </c>
      <c r="AB321" s="643"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6" t="s">
        <v>2092</v>
      </c>
      <c r="C322" s="1076"/>
      <c r="D322" s="435"/>
      <c r="E322" s="644" t="s">
        <v>2093</v>
      </c>
      <c r="F322" s="1058" t="str">
        <f>VLOOKUP(B322,TH.T4!B320:J650,9,FALSE)</f>
        <v>Nhân viên</v>
      </c>
      <c r="G322" s="644"/>
      <c r="H322" s="644"/>
      <c r="I322" s="383" t="s">
        <v>2042</v>
      </c>
      <c r="J322" s="635">
        <v>12518663</v>
      </c>
      <c r="K322" s="484">
        <f t="shared" si="62"/>
        <v>8763064.0999999996</v>
      </c>
      <c r="L322" s="636" t="str">
        <f>VLOOKUP(B322,'[13]Gui chi Quynh'!$B$11:$E$400,4,FALSE)</f>
        <v>A1</v>
      </c>
      <c r="M322" s="484">
        <f t="shared" si="66"/>
        <v>14020903</v>
      </c>
      <c r="N322" s="636">
        <v>26</v>
      </c>
      <c r="O322" s="637">
        <f>IFERROR(INDEX('[14]CN HĐ'!$J$10:$J$72,MATCH(B322,'[14]CN HĐ'!$H$10:$H$74,0)),"")</f>
        <v>30</v>
      </c>
      <c r="P322" s="638" t="e">
        <f>IF(M322&gt;#REF!,M322,#REF!)</f>
        <v>#REF!</v>
      </c>
      <c r="Q322" s="484">
        <f t="shared" si="63"/>
        <v>14020903</v>
      </c>
      <c r="R322" s="639"/>
      <c r="S322" s="484">
        <v>0</v>
      </c>
      <c r="T322" s="657"/>
      <c r="U322" s="484">
        <v>0</v>
      </c>
      <c r="V322" s="679">
        <f t="shared" si="64"/>
        <v>125186.63</v>
      </c>
      <c r="W322" s="641">
        <f t="shared" si="65"/>
        <v>14020903</v>
      </c>
      <c r="X322" s="1080">
        <f t="shared" si="58"/>
        <v>7.7893905555555554</v>
      </c>
      <c r="Y322" s="509">
        <v>1800000</v>
      </c>
      <c r="Z322" s="715">
        <f t="shared" si="57"/>
        <v>14020903</v>
      </c>
      <c r="AA322" s="642">
        <f t="shared" si="60"/>
        <v>300</v>
      </c>
      <c r="AB322" s="643">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9" t="s">
        <v>2094</v>
      </c>
      <c r="C323" s="1059" t="s">
        <v>1602</v>
      </c>
      <c r="D323" s="435" t="s">
        <v>2095</v>
      </c>
      <c r="E323" s="634">
        <v>1603205341982</v>
      </c>
      <c r="F323" s="1058" t="str">
        <f>VLOOKUP(B323,TH.T4!B321:J651,9,FALSE)</f>
        <v>NV Kế toán</v>
      </c>
      <c r="G323" s="634"/>
      <c r="H323" s="634"/>
      <c r="I323" s="383" t="s">
        <v>2042</v>
      </c>
      <c r="J323" s="635">
        <v>7515057</v>
      </c>
      <c r="K323" s="484">
        <f t="shared" si="62"/>
        <v>5260539.8999999994</v>
      </c>
      <c r="L323" s="636" t="str">
        <f>VLOOKUP(B323,'[13]Gui chi Quynh'!$B$11:$E$400,4,FALSE)</f>
        <v>A3</v>
      </c>
      <c r="M323" s="484">
        <f t="shared" si="66"/>
        <v>6312648</v>
      </c>
      <c r="N323" s="636">
        <v>26</v>
      </c>
      <c r="O323" s="637">
        <f>IFERROR(INDEX('[14]CN HĐ'!$J$10:$J$72,MATCH(B323,'[14]CN HĐ'!$H$10:$H$74,0)),"")</f>
        <v>26</v>
      </c>
      <c r="P323" s="638" t="e">
        <f>IF(M323&gt;#REF!,M323,#REF!)</f>
        <v>#REF!</v>
      </c>
      <c r="Q323" s="484">
        <f t="shared" si="63"/>
        <v>6312648</v>
      </c>
      <c r="R323" s="639"/>
      <c r="S323" s="484">
        <v>0</v>
      </c>
      <c r="T323" s="484" t="e">
        <f>S323*#REF!*0.5</f>
        <v>#REF!</v>
      </c>
      <c r="U323" s="484">
        <v>0</v>
      </c>
      <c r="V323" s="679">
        <f t="shared" si="64"/>
        <v>75150.570000000007</v>
      </c>
      <c r="W323" s="641">
        <f t="shared" si="65"/>
        <v>6312648</v>
      </c>
      <c r="X323" s="1080">
        <f t="shared" si="58"/>
        <v>3.5070266666666665</v>
      </c>
      <c r="Y323" s="509">
        <v>1800000</v>
      </c>
      <c r="Z323" s="715">
        <f t="shared" si="57"/>
        <v>6312648</v>
      </c>
      <c r="AA323" s="642">
        <f t="shared" si="60"/>
        <v>301</v>
      </c>
      <c r="AB323" s="643">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9" t="s">
        <v>2096</v>
      </c>
      <c r="C324" s="1059"/>
      <c r="D324" s="435"/>
      <c r="E324" s="653" t="s">
        <v>2097</v>
      </c>
      <c r="F324" s="1058" t="str">
        <f>VLOOKUP(B324,TH.T4!B322:J652,9,FALSE)</f>
        <v>NV Kế toán</v>
      </c>
      <c r="G324" s="653"/>
      <c r="H324" s="653"/>
      <c r="I324" s="383" t="s">
        <v>2042</v>
      </c>
      <c r="J324" s="635">
        <v>5733201</v>
      </c>
      <c r="K324" s="484">
        <f t="shared" si="62"/>
        <v>4013240.6999999997</v>
      </c>
      <c r="L324" s="636" t="str">
        <f>VLOOKUP(B324,'[13]Gui chi Quynh'!$B$11:$E$400,4,FALSE)</f>
        <v>A2</v>
      </c>
      <c r="M324" s="484">
        <f t="shared" si="66"/>
        <v>5618537</v>
      </c>
      <c r="N324" s="636">
        <v>26</v>
      </c>
      <c r="O324" s="637">
        <f>IFERROR(INDEX('[14]CN HĐ'!$J$10:$J$72,MATCH(B324,'[14]CN HĐ'!$H$10:$H$74,0)),"")</f>
        <v>26</v>
      </c>
      <c r="P324" s="638" t="e">
        <f>IF(M324&gt;#REF!,M324,#REF!)</f>
        <v>#REF!</v>
      </c>
      <c r="Q324" s="484">
        <f t="shared" si="63"/>
        <v>5618537</v>
      </c>
      <c r="R324" s="639"/>
      <c r="S324" s="484">
        <v>0</v>
      </c>
      <c r="T324" s="484"/>
      <c r="U324" s="484">
        <v>0</v>
      </c>
      <c r="V324" s="679">
        <f t="shared" si="64"/>
        <v>57332.01</v>
      </c>
      <c r="W324" s="641">
        <f t="shared" si="65"/>
        <v>5618537</v>
      </c>
      <c r="X324" s="1080">
        <f t="shared" si="58"/>
        <v>3.1214094444444442</v>
      </c>
      <c r="Y324" s="509">
        <v>1800000</v>
      </c>
      <c r="Z324" s="715">
        <f t="shared" si="57"/>
        <v>5618537</v>
      </c>
      <c r="AA324" s="642">
        <f t="shared" si="60"/>
        <v>302</v>
      </c>
      <c r="AB324" s="643">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9" t="s">
        <v>2098</v>
      </c>
      <c r="C325" s="1059"/>
      <c r="D325" s="435"/>
      <c r="E325" s="646"/>
      <c r="F325" s="1058" t="str">
        <f>VLOOKUP(B325,TH.T4!B323:J653,9,FALSE)</f>
        <v>NV Kế toán</v>
      </c>
      <c r="G325" s="646"/>
      <c r="H325" s="646"/>
      <c r="I325" s="383" t="s">
        <v>2042</v>
      </c>
      <c r="J325" s="635">
        <v>5733201</v>
      </c>
      <c r="K325" s="484">
        <f t="shared" si="62"/>
        <v>4013240.6999999997</v>
      </c>
      <c r="L325" s="636" t="str">
        <f>VLOOKUP(B325,'[13]Gui chi Quynh'!$B$11:$E$400,4,FALSE)</f>
        <v>A2</v>
      </c>
      <c r="M325" s="484">
        <f t="shared" si="66"/>
        <v>5618537</v>
      </c>
      <c r="N325" s="636">
        <v>26</v>
      </c>
      <c r="O325" s="637">
        <f>IFERROR(INDEX('[14]CN HĐ'!$J$10:$J$72,MATCH(B325,'[14]CN HĐ'!$H$10:$H$74,0)),"")</f>
        <v>26</v>
      </c>
      <c r="P325" s="638"/>
      <c r="Q325" s="484">
        <f t="shared" si="63"/>
        <v>5618537</v>
      </c>
      <c r="R325" s="639"/>
      <c r="S325" s="484">
        <v>0</v>
      </c>
      <c r="T325" s="484"/>
      <c r="U325" s="484">
        <v>0</v>
      </c>
      <c r="V325" s="679">
        <f t="shared" si="64"/>
        <v>57332.01</v>
      </c>
      <c r="W325" s="641">
        <f t="shared" si="65"/>
        <v>5618537</v>
      </c>
      <c r="X325" s="1080">
        <f t="shared" si="58"/>
        <v>3.1214094444444442</v>
      </c>
      <c r="Y325" s="509">
        <v>1800000</v>
      </c>
      <c r="Z325" s="715">
        <f t="shared" si="57"/>
        <v>5618537</v>
      </c>
      <c r="AA325" s="642">
        <f t="shared" si="60"/>
        <v>303</v>
      </c>
      <c r="AB325" s="643">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9" t="s">
        <v>2099</v>
      </c>
      <c r="C326" s="1059"/>
      <c r="D326" s="435"/>
      <c r="E326" s="646"/>
      <c r="F326" s="1058" t="str">
        <f>VLOOKUP(B326,TH.T4!B324:J654,9,FALSE)</f>
        <v>NV Kế toán</v>
      </c>
      <c r="G326" s="646"/>
      <c r="H326" s="646"/>
      <c r="I326" s="383" t="s">
        <v>2042</v>
      </c>
      <c r="J326" s="635">
        <v>5358132</v>
      </c>
      <c r="K326" s="484">
        <f t="shared" si="62"/>
        <v>3750692.4</v>
      </c>
      <c r="L326" s="636" t="str">
        <f>VLOOKUP(B326,'[13]Gui chi Quynh'!$B$11:$E$400,4,FALSE)</f>
        <v>A2</v>
      </c>
      <c r="M326" s="484">
        <f t="shared" si="66"/>
        <v>5250969</v>
      </c>
      <c r="N326" s="636">
        <v>26</v>
      </c>
      <c r="O326" s="637">
        <f>IFERROR(INDEX('[14]CN HĐ'!$J$10:$J$72,MATCH(B326,'[14]CN HĐ'!$H$10:$H$74,0)),"")</f>
        <v>26</v>
      </c>
      <c r="P326" s="638"/>
      <c r="Q326" s="484">
        <f t="shared" si="63"/>
        <v>5250969</v>
      </c>
      <c r="R326" s="639"/>
      <c r="S326" s="484">
        <v>0</v>
      </c>
      <c r="T326" s="484"/>
      <c r="U326" s="484">
        <v>0</v>
      </c>
      <c r="V326" s="679">
        <f t="shared" si="64"/>
        <v>53581.32</v>
      </c>
      <c r="W326" s="641">
        <f t="shared" si="65"/>
        <v>5250969</v>
      </c>
      <c r="X326" s="1080">
        <f t="shared" si="58"/>
        <v>2.917205</v>
      </c>
      <c r="Y326" s="509">
        <v>1800000</v>
      </c>
      <c r="Z326" s="715">
        <f t="shared" si="57"/>
        <v>5250969</v>
      </c>
      <c r="AA326" s="642">
        <f t="shared" si="60"/>
        <v>304</v>
      </c>
      <c r="AB326" s="643">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6" t="s">
        <v>2100</v>
      </c>
      <c r="C327" s="1076" t="s">
        <v>1053</v>
      </c>
      <c r="D327" s="435" t="s">
        <v>2101</v>
      </c>
      <c r="E327" s="644">
        <v>1603205399011</v>
      </c>
      <c r="F327" s="1058" t="str">
        <f>VLOOKUP(B327,TH.T4!B325:J655,9,FALSE)</f>
        <v>Nhân viên</v>
      </c>
      <c r="G327" s="644"/>
      <c r="H327" s="644"/>
      <c r="I327" s="86" t="s">
        <v>2042</v>
      </c>
      <c r="J327" s="635">
        <v>8041111</v>
      </c>
      <c r="K327" s="484">
        <f t="shared" si="62"/>
        <v>5628777.6999999993</v>
      </c>
      <c r="L327" s="636" t="str">
        <f>VLOOKUP(B327,'[13]Gui chi Quynh'!$B$11:$E$400,4,FALSE)</f>
        <v>A4</v>
      </c>
      <c r="M327" s="484">
        <f t="shared" si="66"/>
        <v>5628778</v>
      </c>
      <c r="N327" s="636">
        <v>26</v>
      </c>
      <c r="O327" s="637">
        <f>IFERROR(INDEX('[14]CN HĐ'!$J$10:$J$72,MATCH(B327,'[14]CN HĐ'!$H$10:$H$74,0)),"")</f>
        <v>26</v>
      </c>
      <c r="P327" s="638" t="e">
        <f>IF(M327&gt;#REF!,M327,#REF!)</f>
        <v>#REF!</v>
      </c>
      <c r="Q327" s="484">
        <f t="shared" si="63"/>
        <v>5628778</v>
      </c>
      <c r="R327" s="639"/>
      <c r="S327" s="484">
        <v>0</v>
      </c>
      <c r="T327" s="657"/>
      <c r="U327" s="484">
        <v>0</v>
      </c>
      <c r="V327" s="679">
        <f t="shared" si="64"/>
        <v>80411.11</v>
      </c>
      <c r="W327" s="641">
        <f t="shared" si="65"/>
        <v>5628778</v>
      </c>
      <c r="X327" s="1080">
        <f t="shared" si="58"/>
        <v>3.1270988888888889</v>
      </c>
      <c r="Y327" s="509">
        <v>1800000</v>
      </c>
      <c r="Z327" s="715">
        <f t="shared" si="57"/>
        <v>5628778</v>
      </c>
      <c r="AA327" s="642">
        <f t="shared" si="60"/>
        <v>305</v>
      </c>
      <c r="AB327" s="643">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9" t="s">
        <v>2102</v>
      </c>
      <c r="C328" s="1059" t="s">
        <v>2103</v>
      </c>
      <c r="D328" s="435" t="s">
        <v>2104</v>
      </c>
      <c r="E328" s="634" t="s">
        <v>2105</v>
      </c>
      <c r="F328" s="1058" t="str">
        <f>VLOOKUP(B328,TH.T4!B326:J656,9,FALSE)</f>
        <v>NV Phòng Quản trị - Dịch vụ</v>
      </c>
      <c r="G328" s="634"/>
      <c r="H328" s="634"/>
      <c r="I328" s="383" t="s">
        <v>2038</v>
      </c>
      <c r="J328" s="635">
        <v>6086769</v>
      </c>
      <c r="K328" s="484">
        <f t="shared" si="62"/>
        <v>4260738.3</v>
      </c>
      <c r="L328" s="636" t="str">
        <f>VLOOKUP(B328,'[13]Gui chi Quynh'!$B$11:$E$400,4,FALSE)</f>
        <v>A3</v>
      </c>
      <c r="M328" s="484">
        <f t="shared" si="66"/>
        <v>5112886</v>
      </c>
      <c r="N328" s="636">
        <v>26</v>
      </c>
      <c r="O328" s="637">
        <f>IFERROR(INDEX('[14]CN HĐ'!$J$10:$J$72,MATCH(B328,'[14]CN HĐ'!$H$10:$H$74,0)),"")</f>
        <v>25</v>
      </c>
      <c r="P328" s="638" t="e">
        <f>IF(M328&gt;#REF!,M328,#REF!)</f>
        <v>#REF!</v>
      </c>
      <c r="Q328" s="484">
        <f t="shared" si="63"/>
        <v>4916237</v>
      </c>
      <c r="R328" s="639"/>
      <c r="S328" s="484">
        <v>0</v>
      </c>
      <c r="T328" s="640"/>
      <c r="U328" s="484">
        <v>0</v>
      </c>
      <c r="V328" s="679">
        <f t="shared" si="64"/>
        <v>60867.69</v>
      </c>
      <c r="W328" s="641">
        <f t="shared" si="65"/>
        <v>4916237</v>
      </c>
      <c r="X328" s="1080">
        <f t="shared" si="58"/>
        <v>2.7312427777777777</v>
      </c>
      <c r="Y328" s="509">
        <v>1800000</v>
      </c>
      <c r="Z328" s="715">
        <f t="shared" si="57"/>
        <v>4916237</v>
      </c>
      <c r="AA328" s="642">
        <f t="shared" si="60"/>
        <v>306</v>
      </c>
      <c r="AB328" s="643"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9" t="s">
        <v>2106</v>
      </c>
      <c r="C329" s="1059" t="s">
        <v>891</v>
      </c>
      <c r="D329" s="435" t="s">
        <v>2107</v>
      </c>
      <c r="E329" s="646">
        <v>1603205192034</v>
      </c>
      <c r="F329" s="1058" t="str">
        <f>VLOOKUP(B329,TH.T4!B327:J657,9,FALSE)</f>
        <v>Nhân viên phòng Thanh tra GD - Quan hệ DN</v>
      </c>
      <c r="G329" s="646"/>
      <c r="H329" s="646"/>
      <c r="I329" s="383" t="s">
        <v>2038</v>
      </c>
      <c r="J329" s="635">
        <v>6086769</v>
      </c>
      <c r="K329" s="484">
        <f t="shared" si="62"/>
        <v>4260738.3</v>
      </c>
      <c r="L329" s="636" t="str">
        <f>VLOOKUP(B329,'[13]Gui chi Quynh'!$B$11:$E$400,4,FALSE)</f>
        <v>A3</v>
      </c>
      <c r="M329" s="484">
        <f t="shared" si="66"/>
        <v>5112886</v>
      </c>
      <c r="N329" s="636">
        <v>26</v>
      </c>
      <c r="O329" s="637">
        <f>IFERROR(INDEX('[14]CN HĐ'!$J$10:$J$72,MATCH(B329,'[14]CN HĐ'!$H$10:$H$74,0)),"")</f>
        <v>27</v>
      </c>
      <c r="P329" s="638" t="e">
        <f>IF(M329&gt;#REF!,M329,#REF!)</f>
        <v>#REF!</v>
      </c>
      <c r="Q329" s="484">
        <f t="shared" si="63"/>
        <v>5112886</v>
      </c>
      <c r="R329" s="639"/>
      <c r="S329" s="484">
        <v>0</v>
      </c>
      <c r="T329" s="640"/>
      <c r="U329" s="484">
        <v>0</v>
      </c>
      <c r="V329" s="679">
        <f t="shared" si="64"/>
        <v>60867.69</v>
      </c>
      <c r="W329" s="641">
        <f t="shared" si="65"/>
        <v>5112886</v>
      </c>
      <c r="X329" s="1080">
        <f t="shared" si="58"/>
        <v>2.8404922222222222</v>
      </c>
      <c r="Y329" s="509">
        <v>1800000</v>
      </c>
      <c r="Z329" s="715">
        <f t="shared" si="57"/>
        <v>5112886</v>
      </c>
      <c r="AA329" s="642">
        <f t="shared" si="60"/>
        <v>307</v>
      </c>
      <c r="AB329" s="643">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9" t="s">
        <v>2108</v>
      </c>
      <c r="C330" s="1059"/>
      <c r="D330" s="435"/>
      <c r="E330" s="646"/>
      <c r="F330" s="1058" t="str">
        <f>VLOOKUP(B330,TH.T4!B328:J658,9,FALSE)</f>
        <v>Nhân viên phòng Thanh tra GD - Quan hệ DN</v>
      </c>
      <c r="G330" s="646"/>
      <c r="H330" s="646"/>
      <c r="I330" s="383" t="s">
        <v>2042</v>
      </c>
      <c r="J330" s="635">
        <v>5733201</v>
      </c>
      <c r="K330" s="484">
        <f t="shared" si="62"/>
        <v>4013240.6999999997</v>
      </c>
      <c r="L330" s="636" t="str">
        <f>VLOOKUP(B330,'[13]Gui chi Quynh'!$B$11:$E$400,4,FALSE)</f>
        <v>A2</v>
      </c>
      <c r="M330" s="484">
        <f t="shared" si="66"/>
        <v>5618537</v>
      </c>
      <c r="N330" s="636">
        <v>26</v>
      </c>
      <c r="O330" s="637">
        <f>IFERROR(INDEX('[14]CN HĐ'!$J$10:$J$72,MATCH(B330,'[14]CN HĐ'!$H$10:$H$74,0)),"")</f>
        <v>26</v>
      </c>
      <c r="P330" s="638" t="e">
        <f>IF(M330&gt;#REF!,M330,#REF!)</f>
        <v>#REF!</v>
      </c>
      <c r="Q330" s="484">
        <f t="shared" si="63"/>
        <v>5618537</v>
      </c>
      <c r="R330" s="639"/>
      <c r="S330" s="484">
        <v>0</v>
      </c>
      <c r="T330" s="640"/>
      <c r="U330" s="484">
        <v>0</v>
      </c>
      <c r="V330" s="679">
        <f t="shared" si="64"/>
        <v>57332.01</v>
      </c>
      <c r="W330" s="641">
        <f t="shared" si="65"/>
        <v>5618537</v>
      </c>
      <c r="X330" s="1080">
        <f t="shared" si="58"/>
        <v>3.1214094444444442</v>
      </c>
      <c r="Y330" s="509">
        <v>1800000</v>
      </c>
      <c r="Z330" s="715">
        <f t="shared" si="57"/>
        <v>5618537</v>
      </c>
      <c r="AA330" s="642">
        <f t="shared" si="60"/>
        <v>308</v>
      </c>
      <c r="AB330" s="643">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9" t="s">
        <v>2109</v>
      </c>
      <c r="C331" s="1059"/>
      <c r="D331" s="435"/>
      <c r="E331" s="646"/>
      <c r="F331" s="1058" t="str">
        <f>VLOOKUP(B331,TH.T4!B329:J659,9,FALSE)</f>
        <v>Nhân viên phòng Thanh tra GD - Quan hệ DN</v>
      </c>
      <c r="G331" s="646"/>
      <c r="H331" s="646"/>
      <c r="I331" s="383" t="s">
        <v>2038</v>
      </c>
      <c r="J331" s="635">
        <v>5257980</v>
      </c>
      <c r="K331" s="484">
        <f t="shared" si="62"/>
        <v>3680585.9999999995</v>
      </c>
      <c r="L331" s="636" t="str">
        <f>VLOOKUP(B331,'[13]Gui chi Quynh'!$B$11:$E$400,4,FALSE)</f>
        <v>A3</v>
      </c>
      <c r="M331" s="484">
        <f t="shared" si="66"/>
        <v>4416703</v>
      </c>
      <c r="N331" s="636">
        <v>26</v>
      </c>
      <c r="O331" s="637">
        <f>IFERROR(INDEX('[14]CN HĐ'!$J$10:$J$72,MATCH(B331,'[14]CN HĐ'!$H$10:$H$74,0)),"")</f>
        <v>26</v>
      </c>
      <c r="P331" s="638"/>
      <c r="Q331" s="484">
        <f t="shared" si="63"/>
        <v>4416703</v>
      </c>
      <c r="R331" s="639"/>
      <c r="S331" s="484">
        <v>0</v>
      </c>
      <c r="T331" s="640"/>
      <c r="U331" s="484">
        <v>0</v>
      </c>
      <c r="V331" s="484">
        <f t="shared" si="64"/>
        <v>52579.8</v>
      </c>
      <c r="W331" s="641">
        <f t="shared" si="65"/>
        <v>4416703</v>
      </c>
      <c r="X331" s="1080">
        <f t="shared" si="58"/>
        <v>2.4537238888888888</v>
      </c>
      <c r="Y331" s="509">
        <v>1800000</v>
      </c>
      <c r="Z331" s="715">
        <f t="shared" si="57"/>
        <v>4416703</v>
      </c>
      <c r="AA331" s="642">
        <f t="shared" si="60"/>
        <v>309</v>
      </c>
      <c r="AB331" s="643">
        <f>IFERROR(INDEX('[14]CN HĐ'!$M$10:$M$73,MATCH(B331,'[14]CN HĐ'!$H$10:$H$73,0)),"")</f>
        <v>0</v>
      </c>
      <c r="AC331" s="114" t="str">
        <f>VLOOKUP(B331,TH.T4!B328:AC658,28,FALSE)</f>
        <v>TTrGD</v>
      </c>
    </row>
    <row r="332" spans="1:69" s="387" customFormat="1" ht="33.75" customHeight="1">
      <c r="A332" s="394">
        <f>_xlfn.AGGREGATE(4,7,A$22:A331)+1</f>
        <v>310</v>
      </c>
      <c r="B332" s="1059" t="s">
        <v>2110</v>
      </c>
      <c r="C332" s="1059" t="s">
        <v>2111</v>
      </c>
      <c r="D332" s="435" t="s">
        <v>2112</v>
      </c>
      <c r="E332" s="646">
        <v>1603205355935</v>
      </c>
      <c r="F332" s="1058" t="str">
        <f>VLOOKUP(B332,TH.T4!B330:J660,9,FALSE)</f>
        <v>Nhân viên phòng Quản trị - Dịch vụ</v>
      </c>
      <c r="G332" s="646"/>
      <c r="H332" s="646"/>
      <c r="I332" s="383" t="s">
        <v>2038</v>
      </c>
      <c r="J332" s="635">
        <v>5520879</v>
      </c>
      <c r="K332" s="484">
        <f t="shared" si="62"/>
        <v>3864615.3</v>
      </c>
      <c r="L332" s="636" t="str">
        <f>VLOOKUP(B332,'[13]Gui chi Quynh'!$B$11:$E$400,4,FALSE)</f>
        <v>A4</v>
      </c>
      <c r="M332" s="484">
        <f t="shared" si="66"/>
        <v>3864615</v>
      </c>
      <c r="N332" s="636">
        <v>26</v>
      </c>
      <c r="O332" s="637">
        <f>IFERROR(INDEX('[14]CN HĐ'!$J$10:$J$72,MATCH(B332,'[14]CN HĐ'!$H$10:$H$74,0)),"")</f>
        <v>26</v>
      </c>
      <c r="P332" s="638" t="e">
        <f>IF(M332&gt;#REF!,M332,#REF!)</f>
        <v>#REF!</v>
      </c>
      <c r="Q332" s="484">
        <f t="shared" si="63"/>
        <v>3864615</v>
      </c>
      <c r="R332" s="639"/>
      <c r="S332" s="484">
        <v>0</v>
      </c>
      <c r="T332" s="640"/>
      <c r="U332" s="484">
        <v>0</v>
      </c>
      <c r="V332" s="484">
        <f t="shared" si="64"/>
        <v>55208.79</v>
      </c>
      <c r="W332" s="641">
        <f t="shared" si="65"/>
        <v>3864615</v>
      </c>
      <c r="X332" s="1080">
        <f t="shared" si="58"/>
        <v>2.1470083333333334</v>
      </c>
      <c r="Y332" s="509">
        <v>1800000</v>
      </c>
      <c r="Z332" s="715">
        <f t="shared" si="57"/>
        <v>3864615</v>
      </c>
      <c r="AA332" s="642">
        <f t="shared" si="60"/>
        <v>310</v>
      </c>
      <c r="AB332" s="643">
        <f>IFERROR(INDEX('[14]CN HĐ'!$M$10:$M$73,MATCH(B332,'[14]CN HĐ'!$H$10:$H$73,0)),"")</f>
        <v>0</v>
      </c>
      <c r="AC332" s="114" t="str">
        <f>VLOOKUP(B332,TH.T4!B329:AC659,28,FALSE)</f>
        <v>QTDV</v>
      </c>
    </row>
    <row r="333" spans="1:69" s="387" customFormat="1" ht="33.75" customHeight="1">
      <c r="A333" s="33">
        <f>_xlfn.AGGREGATE(4,7,A$22:A332)+1</f>
        <v>311</v>
      </c>
      <c r="B333" s="1059" t="s">
        <v>2113</v>
      </c>
      <c r="C333" s="1059"/>
      <c r="D333" s="435"/>
      <c r="E333" s="634">
        <v>1603205639363</v>
      </c>
      <c r="F333" s="1058" t="str">
        <f>VLOOKUP(B333,TH.T4!B331:J661,9,FALSE)</f>
        <v>Nhân viên phòng Thanh tra GD - Quan hệ DN</v>
      </c>
      <c r="G333" s="634"/>
      <c r="H333" s="634"/>
      <c r="I333" s="383" t="s">
        <v>2042</v>
      </c>
      <c r="J333" s="635">
        <v>5733201</v>
      </c>
      <c r="K333" s="484">
        <f t="shared" si="62"/>
        <v>4013240.6999999997</v>
      </c>
      <c r="L333" s="636" t="str">
        <f>VLOOKUP(B333,'[13]Gui chi Quynh'!$B$11:$E$400,4,FALSE)</f>
        <v>A4</v>
      </c>
      <c r="M333" s="484">
        <f t="shared" si="66"/>
        <v>4013241</v>
      </c>
      <c r="N333" s="636">
        <v>26</v>
      </c>
      <c r="O333" s="637">
        <f>IFERROR(INDEX('[14]CN HĐ'!$J$10:$J$72,MATCH(B333,'[14]CN HĐ'!$H$10:$H$74,0)),"")</f>
        <v>26</v>
      </c>
      <c r="P333" s="638" t="e">
        <f>IF(M333&gt;#REF!,M333,#REF!)</f>
        <v>#REF!</v>
      </c>
      <c r="Q333" s="484">
        <f t="shared" si="63"/>
        <v>4013241</v>
      </c>
      <c r="R333" s="639"/>
      <c r="S333" s="484">
        <v>0</v>
      </c>
      <c r="T333" s="640"/>
      <c r="U333" s="484">
        <v>0</v>
      </c>
      <c r="V333" s="679">
        <f t="shared" si="64"/>
        <v>57332.01</v>
      </c>
      <c r="W333" s="641">
        <f t="shared" si="65"/>
        <v>4013241</v>
      </c>
      <c r="X333" s="1080">
        <f t="shared" si="58"/>
        <v>2.2295783333333334</v>
      </c>
      <c r="Y333" s="509">
        <v>1800000</v>
      </c>
      <c r="Z333" s="715">
        <f t="shared" si="57"/>
        <v>4013241</v>
      </c>
      <c r="AA333" s="642">
        <f t="shared" si="60"/>
        <v>311</v>
      </c>
      <c r="AB333" s="643">
        <f>IFERROR(INDEX('[14]CN HĐ'!$M$10:$M$73,MATCH(B333,'[14]CN HĐ'!$H$10:$H$73,0)),"")</f>
        <v>0</v>
      </c>
      <c r="AC333" s="114" t="str">
        <f>VLOOKUP(B333,TH.T4!B330:AC660,28,FALSE)</f>
        <v>TTrGD</v>
      </c>
    </row>
    <row r="334" spans="1:69" s="387" customFormat="1" ht="33.75" customHeight="1">
      <c r="A334" s="33">
        <f>_xlfn.AGGREGATE(4,7,A$22:A333)+1</f>
        <v>312</v>
      </c>
      <c r="B334" s="1059" t="s">
        <v>2114</v>
      </c>
      <c r="C334" s="1059" t="s">
        <v>2115</v>
      </c>
      <c r="D334" s="435" t="s">
        <v>2116</v>
      </c>
      <c r="E334" s="634">
        <v>1603205324898</v>
      </c>
      <c r="F334" s="1058" t="str">
        <f>VLOOKUP(B334,TH.T4!B332:J662,9,FALSE)</f>
        <v>Nhân viên phòng KHCN &amp; HTQT</v>
      </c>
      <c r="G334" s="634"/>
      <c r="H334" s="634"/>
      <c r="I334" s="383" t="s">
        <v>2042</v>
      </c>
      <c r="J334" s="635">
        <v>7515057</v>
      </c>
      <c r="K334" s="484">
        <f t="shared" si="62"/>
        <v>5260539.8999999994</v>
      </c>
      <c r="L334" s="636" t="str">
        <f>VLOOKUP(B334,'[13]Gui chi Quynh'!$B$11:$E$400,4,FALSE)</f>
        <v>A2</v>
      </c>
      <c r="M334" s="484">
        <f t="shared" si="66"/>
        <v>7364756</v>
      </c>
      <c r="N334" s="636">
        <v>26</v>
      </c>
      <c r="O334" s="637">
        <f>IFERROR(INDEX('[14]CN HĐ'!$J$10:$J$72,MATCH(B334,'[14]CN HĐ'!$H$10:$H$74,0)),"")</f>
        <v>25</v>
      </c>
      <c r="P334" s="638" t="e">
        <f>IF(M334&gt;#REF!,M334,#REF!)</f>
        <v>#REF!</v>
      </c>
      <c r="Q334" s="484">
        <f t="shared" si="63"/>
        <v>7081496</v>
      </c>
      <c r="R334" s="639"/>
      <c r="S334" s="484">
        <v>0</v>
      </c>
      <c r="T334" s="640"/>
      <c r="U334" s="484">
        <v>0</v>
      </c>
      <c r="V334" s="679">
        <f t="shared" si="64"/>
        <v>75150.570000000007</v>
      </c>
      <c r="W334" s="641">
        <f t="shared" si="65"/>
        <v>7081496</v>
      </c>
      <c r="X334" s="1080">
        <f t="shared" si="58"/>
        <v>3.9341644444444444</v>
      </c>
      <c r="Y334" s="509">
        <v>1800000</v>
      </c>
      <c r="Z334" s="715">
        <f t="shared" si="57"/>
        <v>7081496</v>
      </c>
      <c r="AA334" s="642">
        <f t="shared" si="60"/>
        <v>312</v>
      </c>
      <c r="AB334" s="643" t="str">
        <f>IFERROR(INDEX('[14]CN HĐ'!$M$10:$M$73,MATCH(B334,'[14]CN HĐ'!$H$10:$H$73,0)),"")</f>
        <v>Trừ 1 ngày nghỉ phép 13/5</v>
      </c>
      <c r="AC334" s="114" t="str">
        <f>VLOOKUP(B334,TH.T4!B331:AC661,28,FALSE)</f>
        <v>QLKH</v>
      </c>
    </row>
    <row r="335" spans="1:69" s="387" customFormat="1" ht="33.75" customHeight="1">
      <c r="A335" s="33">
        <f>_xlfn.AGGREGATE(4,7,A$22:A334)+1</f>
        <v>313</v>
      </c>
      <c r="B335" s="1059" t="s">
        <v>2117</v>
      </c>
      <c r="C335" s="1059"/>
      <c r="D335" s="435"/>
      <c r="E335" s="644" t="s">
        <v>2118</v>
      </c>
      <c r="F335" s="1058" t="str">
        <f>VLOOKUP(B335,TH.T4!B333:J663,9,FALSE)</f>
        <v>Nhân viên phòng KHCN &amp; HTQT</v>
      </c>
      <c r="G335" s="644"/>
      <c r="H335" s="644"/>
      <c r="I335" s="383" t="s">
        <v>2042</v>
      </c>
      <c r="J335" s="635">
        <v>5733201</v>
      </c>
      <c r="K335" s="484">
        <f t="shared" si="62"/>
        <v>4013240.6999999997</v>
      </c>
      <c r="L335" s="636" t="str">
        <f>VLOOKUP(B335,'[13]Gui chi Quynh'!$B$11:$E$400,4,FALSE)</f>
        <v>A4</v>
      </c>
      <c r="M335" s="484">
        <f t="shared" si="66"/>
        <v>4013241</v>
      </c>
      <c r="N335" s="636">
        <v>26</v>
      </c>
      <c r="O335" s="637">
        <f>IFERROR(INDEX('[14]CN HĐ'!$J$10:$J$72,MATCH(B335,'[14]CN HĐ'!$H$10:$H$74,0)),"")</f>
        <v>26</v>
      </c>
      <c r="P335" s="638" t="e">
        <f>IF(M335&gt;#REF!,M335,#REF!)</f>
        <v>#REF!</v>
      </c>
      <c r="Q335" s="484">
        <f t="shared" si="63"/>
        <v>4013241</v>
      </c>
      <c r="R335" s="639"/>
      <c r="S335" s="484">
        <v>0</v>
      </c>
      <c r="T335" s="640"/>
      <c r="U335" s="484">
        <v>0</v>
      </c>
      <c r="V335" s="679">
        <f t="shared" si="64"/>
        <v>57332.01</v>
      </c>
      <c r="W335" s="641">
        <f t="shared" si="65"/>
        <v>4013241</v>
      </c>
      <c r="X335" s="1080">
        <f t="shared" si="58"/>
        <v>2.2295783333333334</v>
      </c>
      <c r="Y335" s="509">
        <v>1800000</v>
      </c>
      <c r="Z335" s="715">
        <f t="shared" si="57"/>
        <v>4013241</v>
      </c>
      <c r="AA335" s="642">
        <f t="shared" si="60"/>
        <v>313</v>
      </c>
      <c r="AB335" s="643">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9" t="s">
        <v>2119</v>
      </c>
      <c r="C336" s="1059" t="s">
        <v>2120</v>
      </c>
      <c r="D336" s="435" t="s">
        <v>2121</v>
      </c>
      <c r="E336" s="634" t="s">
        <v>2122</v>
      </c>
      <c r="F336" s="1058" t="str">
        <f>VLOOKUP(B336,TH.T4!B334:J664,9,FALSE)</f>
        <v>Nhân viên phòng Thanh tra GD - Quan hệ DN</v>
      </c>
      <c r="G336" s="634"/>
      <c r="H336" s="634"/>
      <c r="I336" s="86" t="s">
        <v>2042</v>
      </c>
      <c r="J336" s="635">
        <v>5733201</v>
      </c>
      <c r="K336" s="484">
        <f t="shared" si="62"/>
        <v>4013240.6999999997</v>
      </c>
      <c r="L336" s="636" t="str">
        <f>VLOOKUP(B336,'[13]Gui chi Quynh'!$B$11:$E$400,4,FALSE)</f>
        <v>A4</v>
      </c>
      <c r="M336" s="484">
        <f t="shared" si="66"/>
        <v>4013241</v>
      </c>
      <c r="N336" s="636">
        <v>26</v>
      </c>
      <c r="O336" s="637">
        <f>IFERROR(INDEX('[14]CN HĐ'!$J$10:$J$72,MATCH(B336,'[14]CN HĐ'!$H$10:$H$74,0)),"")</f>
        <v>26</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509">
        <v>1800000</v>
      </c>
      <c r="Z336" s="715">
        <f t="shared" si="57"/>
        <v>4013241</v>
      </c>
      <c r="AA336" s="642">
        <f t="shared" si="60"/>
        <v>314</v>
      </c>
      <c r="AB336" s="643">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9" t="s">
        <v>2123</v>
      </c>
      <c r="C337" s="1059" t="s">
        <v>1103</v>
      </c>
      <c r="D337" s="435" t="s">
        <v>2124</v>
      </c>
      <c r="E337" s="634">
        <v>1603205327079</v>
      </c>
      <c r="F337" s="1058" t="str">
        <f>VLOOKUP(B337,TH.T4!B335:J665,9,FALSE)</f>
        <v>Nhân viên phòng Thanh tra GD - Quan hệ DN</v>
      </c>
      <c r="G337" s="634"/>
      <c r="H337" s="634"/>
      <c r="I337" s="383" t="s">
        <v>2038</v>
      </c>
      <c r="J337" s="635">
        <v>6391108</v>
      </c>
      <c r="K337" s="484">
        <f t="shared" si="62"/>
        <v>4473775.5999999996</v>
      </c>
      <c r="L337" s="636" t="str">
        <f>VLOOKUP(B337,'[13]Gui chi Quynh'!$B$11:$E$400,4,FALSE)</f>
        <v>A4</v>
      </c>
      <c r="M337" s="484">
        <f t="shared" si="66"/>
        <v>4473776</v>
      </c>
      <c r="N337" s="636">
        <v>26</v>
      </c>
      <c r="O337" s="637">
        <f>IFERROR(INDEX('[14]CN HĐ'!$J$10:$J$72,MATCH(B337,'[14]CN HĐ'!$H$10:$H$74,0)),"")</f>
        <v>25</v>
      </c>
      <c r="P337" s="638" t="e">
        <f>IF(M337&gt;#REF!,M337,#REF!)</f>
        <v>#REF!</v>
      </c>
      <c r="Q337" s="484">
        <f t="shared" si="63"/>
        <v>4301708</v>
      </c>
      <c r="R337" s="639"/>
      <c r="S337" s="484">
        <v>0</v>
      </c>
      <c r="T337" s="640"/>
      <c r="U337" s="484">
        <v>0</v>
      </c>
      <c r="V337" s="679">
        <f t="shared" si="64"/>
        <v>63911.08</v>
      </c>
      <c r="W337" s="641">
        <f t="shared" si="65"/>
        <v>4301708</v>
      </c>
      <c r="X337" s="1080">
        <f t="shared" si="58"/>
        <v>2.3898377777777777</v>
      </c>
      <c r="Y337" s="509">
        <v>1800000</v>
      </c>
      <c r="Z337" s="715">
        <f t="shared" si="57"/>
        <v>4301708</v>
      </c>
      <c r="AA337" s="642">
        <f t="shared" si="60"/>
        <v>315</v>
      </c>
      <c r="AB337" s="643" t="str">
        <f>IFERROR(INDEX('[14]CN HĐ'!$M$10:$M$73,MATCH(B337,'[14]CN HĐ'!$H$10:$H$73,0)),"")</f>
        <v>Trừ 1 ngày nghỉ phép 2/5</v>
      </c>
      <c r="AC337" s="114" t="str">
        <f>VLOOKUP(B337,TH.T4!B334:AC664,28,FALSE)</f>
        <v>TTrGD</v>
      </c>
    </row>
    <row r="338" spans="1:52" s="387" customFormat="1" ht="33.75" customHeight="1">
      <c r="A338" s="33">
        <f>_xlfn.AGGREGATE(4,7,A$22:A337)+1</f>
        <v>316</v>
      </c>
      <c r="B338" s="1059" t="s">
        <v>2125</v>
      </c>
      <c r="C338" s="1059" t="s">
        <v>1431</v>
      </c>
      <c r="D338" s="435" t="s">
        <v>2126</v>
      </c>
      <c r="E338" s="634" t="s">
        <v>2127</v>
      </c>
      <c r="F338" s="1058" t="str">
        <f>VLOOKUP(B338,TH.T4!B336:J666,9,FALSE)</f>
        <v>NV Phòng Tuyển sinh - Đào tạo</v>
      </c>
      <c r="G338" s="634"/>
      <c r="H338" s="634"/>
      <c r="I338" s="383" t="s">
        <v>2042</v>
      </c>
      <c r="J338" s="635">
        <v>6563942</v>
      </c>
      <c r="K338" s="484">
        <f t="shared" si="62"/>
        <v>4594759.3999999994</v>
      </c>
      <c r="L338" s="636" t="str">
        <f>VLOOKUP(B338,'[13]Gui chi Quynh'!$B$11:$E$400,4,FALSE)</f>
        <v>A2</v>
      </c>
      <c r="M338" s="484">
        <f t="shared" si="66"/>
        <v>6432663</v>
      </c>
      <c r="N338" s="636">
        <v>26</v>
      </c>
      <c r="O338" s="637">
        <f>IFERROR(INDEX('[14]CN HĐ'!$J$10:$J$72,MATCH(B338,'[14]CN HĐ'!$H$10:$H$74,0)),"")</f>
        <v>27</v>
      </c>
      <c r="P338" s="638" t="e">
        <f>IF(M338&gt;#REF!,M338,#REF!)</f>
        <v>#REF!</v>
      </c>
      <c r="Q338" s="484">
        <f>ROUND(IF(O338&gt;=N338,M338,M338/N338*O338),)</f>
        <v>6432663</v>
      </c>
      <c r="R338" s="639"/>
      <c r="S338" s="484">
        <v>0</v>
      </c>
      <c r="T338" s="640"/>
      <c r="U338" s="484">
        <v>0</v>
      </c>
      <c r="V338" s="679">
        <f t="shared" si="64"/>
        <v>65639.42</v>
      </c>
      <c r="W338" s="641">
        <f t="shared" si="65"/>
        <v>6432663</v>
      </c>
      <c r="X338" s="1080">
        <f t="shared" si="58"/>
        <v>3.5737016666666666</v>
      </c>
      <c r="Y338" s="509">
        <v>1800000</v>
      </c>
      <c r="Z338" s="715">
        <f t="shared" si="57"/>
        <v>6432663</v>
      </c>
      <c r="AA338" s="642">
        <f t="shared" si="60"/>
        <v>316</v>
      </c>
      <c r="AB338" s="643">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9" t="s">
        <v>2128</v>
      </c>
      <c r="C339" s="1059" t="s">
        <v>1064</v>
      </c>
      <c r="D339" s="435" t="s">
        <v>2129</v>
      </c>
      <c r="E339" s="634" t="s">
        <v>2130</v>
      </c>
      <c r="F339" s="1058" t="str">
        <f>VLOOKUP(B339,TH.T4!B337:J667,9,FALSE)</f>
        <v>NV phòng TS - Đào tạo</v>
      </c>
      <c r="G339" s="634"/>
      <c r="H339" s="634"/>
      <c r="I339" s="383" t="s">
        <v>2042</v>
      </c>
      <c r="J339" s="635">
        <v>5733201</v>
      </c>
      <c r="K339" s="484">
        <f t="shared" si="62"/>
        <v>4013240.6999999997</v>
      </c>
      <c r="L339" s="636" t="str">
        <f>VLOOKUP(B339,'[13]Gui chi Quynh'!$B$11:$E$400,4,FALSE)</f>
        <v>A3</v>
      </c>
      <c r="M339" s="484">
        <f t="shared" si="66"/>
        <v>4815889</v>
      </c>
      <c r="N339" s="636">
        <v>26</v>
      </c>
      <c r="O339" s="637">
        <f>IFERROR(INDEX('[14]CN HĐ'!$J$10:$J$72,MATCH(B339,'[14]CN HĐ'!$H$10:$H$74,0)),"")</f>
        <v>25</v>
      </c>
      <c r="P339" s="638" t="e">
        <f>IF(M339&gt;#REF!,M339,#REF!)</f>
        <v>#REF!</v>
      </c>
      <c r="Q339" s="484">
        <f t="shared" si="63"/>
        <v>4630663</v>
      </c>
      <c r="R339" s="639"/>
      <c r="S339" s="484">
        <v>0</v>
      </c>
      <c r="T339" s="640"/>
      <c r="U339" s="484">
        <v>0</v>
      </c>
      <c r="V339" s="679">
        <f t="shared" si="64"/>
        <v>57332.01</v>
      </c>
      <c r="W339" s="641">
        <f t="shared" si="65"/>
        <v>4630663</v>
      </c>
      <c r="X339" s="1080">
        <f t="shared" si="58"/>
        <v>2.5725905555555557</v>
      </c>
      <c r="Y339" s="509">
        <v>1800000</v>
      </c>
      <c r="Z339" s="715">
        <f t="shared" si="57"/>
        <v>4630663</v>
      </c>
      <c r="AA339" s="642">
        <f t="shared" si="60"/>
        <v>317</v>
      </c>
      <c r="AB339" s="643">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9" t="s">
        <v>2131</v>
      </c>
      <c r="C340" s="1059"/>
      <c r="D340" s="435" t="s">
        <v>2132</v>
      </c>
      <c r="E340" s="634" t="s">
        <v>2133</v>
      </c>
      <c r="F340" s="1058" t="str">
        <f>VLOOKUP(B340,TH.T4!B338:J668,9,FALSE)</f>
        <v>NV phòng TS - Đào tạo</v>
      </c>
      <c r="G340" s="634"/>
      <c r="H340" s="634"/>
      <c r="I340" s="383" t="s">
        <v>2042</v>
      </c>
      <c r="J340" s="635">
        <v>7515057</v>
      </c>
      <c r="K340" s="484">
        <f t="shared" si="62"/>
        <v>5260539.8999999994</v>
      </c>
      <c r="L340" s="636" t="str">
        <f>VLOOKUP(B340,'[13]Gui chi Quynh'!$B$11:$E$400,4,FALSE)</f>
        <v>A2</v>
      </c>
      <c r="M340" s="484">
        <f t="shared" si="66"/>
        <v>7364756</v>
      </c>
      <c r="N340" s="636">
        <v>26</v>
      </c>
      <c r="O340" s="637">
        <f>IFERROR(INDEX('[14]CN HĐ'!$J$10:$J$72,MATCH(B340,'[14]CN HĐ'!$H$10:$H$74,0)),"")</f>
        <v>26</v>
      </c>
      <c r="P340" s="638" t="e">
        <f>IF(M340&gt;#REF!,M340,#REF!)</f>
        <v>#REF!</v>
      </c>
      <c r="Q340" s="484">
        <f t="shared" si="63"/>
        <v>7364756</v>
      </c>
      <c r="R340" s="639"/>
      <c r="S340" s="484">
        <v>0</v>
      </c>
      <c r="T340" s="640"/>
      <c r="U340" s="484">
        <v>0</v>
      </c>
      <c r="V340" s="679">
        <f t="shared" si="64"/>
        <v>75150.570000000007</v>
      </c>
      <c r="W340" s="641">
        <f t="shared" si="65"/>
        <v>7364756</v>
      </c>
      <c r="X340" s="1080">
        <f t="shared" si="58"/>
        <v>4.0915311111111112</v>
      </c>
      <c r="Y340" s="509">
        <v>1800000</v>
      </c>
      <c r="Z340" s="715">
        <f t="shared" si="57"/>
        <v>7364756</v>
      </c>
      <c r="AA340" s="642">
        <f t="shared" si="60"/>
        <v>318</v>
      </c>
      <c r="AB340" s="643">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9" t="s">
        <v>2134</v>
      </c>
      <c r="C341" s="1059" t="s">
        <v>1043</v>
      </c>
      <c r="D341" s="435" t="s">
        <v>2135</v>
      </c>
      <c r="E341" s="634" t="s">
        <v>2136</v>
      </c>
      <c r="F341" s="1058" t="str">
        <f>VLOOKUP(B341,TH.T4!B339:J669,9,FALSE)</f>
        <v>NV phòng TS - Đào tạo</v>
      </c>
      <c r="G341" s="634"/>
      <c r="H341" s="634"/>
      <c r="I341" s="383" t="s">
        <v>2042</v>
      </c>
      <c r="J341" s="635">
        <v>8041111</v>
      </c>
      <c r="K341" s="484">
        <f t="shared" si="62"/>
        <v>5628777.6999999993</v>
      </c>
      <c r="L341" s="636" t="str">
        <f>VLOOKUP(B341,'[13]Gui chi Quynh'!$B$11:$E$400,4,FALSE)</f>
        <v>A2</v>
      </c>
      <c r="M341" s="484">
        <f t="shared" si="66"/>
        <v>7880289</v>
      </c>
      <c r="N341" s="636">
        <v>26</v>
      </c>
      <c r="O341" s="637">
        <f>IFERROR(INDEX('[14]CN HĐ'!$J$10:$J$72,MATCH(B341,'[14]CN HĐ'!$H$10:$H$74,0)),"")</f>
        <v>27</v>
      </c>
      <c r="P341" s="638" t="e">
        <f>IF(M341&gt;#REF!,M341,#REF!)</f>
        <v>#REF!</v>
      </c>
      <c r="Q341" s="484">
        <f t="shared" si="63"/>
        <v>7880289</v>
      </c>
      <c r="R341" s="639"/>
      <c r="S341" s="484">
        <v>0</v>
      </c>
      <c r="T341" s="640"/>
      <c r="U341" s="484">
        <v>0</v>
      </c>
      <c r="V341" s="679">
        <f t="shared" si="64"/>
        <v>80411.11</v>
      </c>
      <c r="W341" s="641">
        <f t="shared" si="65"/>
        <v>7880289</v>
      </c>
      <c r="X341" s="1080">
        <f t="shared" si="58"/>
        <v>4.3779383333333337</v>
      </c>
      <c r="Y341" s="509">
        <v>1800000</v>
      </c>
      <c r="Z341" s="715">
        <f t="shared" si="57"/>
        <v>7880289.0000000009</v>
      </c>
      <c r="AA341" s="642">
        <f t="shared" si="60"/>
        <v>319</v>
      </c>
      <c r="AB341" s="643">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9" t="s">
        <v>2137</v>
      </c>
      <c r="C342" s="1059"/>
      <c r="D342" s="435"/>
      <c r="E342" s="634"/>
      <c r="F342" s="1058" t="str">
        <f>VLOOKUP(B342,TH.T4!B340:J670,9,FALSE)</f>
        <v>NV phòng TS - Đào tạo</v>
      </c>
      <c r="G342" s="634"/>
      <c r="H342" s="634"/>
      <c r="I342" s="383" t="s">
        <v>2042</v>
      </c>
      <c r="J342" s="635">
        <f>5358132</f>
        <v>5358132</v>
      </c>
      <c r="K342" s="484">
        <f t="shared" si="62"/>
        <v>3750692.4</v>
      </c>
      <c r="L342" s="636" t="str">
        <f>VLOOKUP(B342,'[13]Gui chi Quynh'!$B$11:$E$400,4,FALSE)</f>
        <v>A2</v>
      </c>
      <c r="M342" s="484">
        <f t="shared" si="66"/>
        <v>5250969</v>
      </c>
      <c r="N342" s="636">
        <v>26</v>
      </c>
      <c r="O342" s="637">
        <f>IFERROR(INDEX('[14]CN HĐ'!$J$10:$J$72,MATCH(B342,'[14]CN HĐ'!$H$10:$H$74,0)),"")</f>
        <v>26</v>
      </c>
      <c r="P342" s="638"/>
      <c r="Q342" s="484">
        <f t="shared" si="63"/>
        <v>5250969</v>
      </c>
      <c r="R342" s="639"/>
      <c r="S342" s="484">
        <v>0</v>
      </c>
      <c r="T342" s="640"/>
      <c r="U342" s="484">
        <v>0</v>
      </c>
      <c r="V342" s="679">
        <f t="shared" si="64"/>
        <v>53581.32</v>
      </c>
      <c r="W342" s="641">
        <f t="shared" si="65"/>
        <v>5250969</v>
      </c>
      <c r="X342" s="1080">
        <f t="shared" si="58"/>
        <v>2.917205</v>
      </c>
      <c r="Y342" s="509">
        <v>1800000</v>
      </c>
      <c r="Z342" s="715">
        <f t="shared" si="57"/>
        <v>5250969</v>
      </c>
      <c r="AA342" s="642">
        <f t="shared" si="60"/>
        <v>320</v>
      </c>
      <c r="AB342" s="643">
        <f>IFERROR(INDEX('[14]CN HĐ'!$M$10:$M$73,MATCH(B342,'[14]CN HĐ'!$H$10:$H$73,0)),"")</f>
        <v>0</v>
      </c>
      <c r="AC342" s="114" t="str">
        <f>VLOOKUP(B342,TH.T4!B339:AC669,28,FALSE)</f>
        <v>TSĐT</v>
      </c>
    </row>
    <row r="343" spans="1:52" s="387" customFormat="1" ht="33.75" customHeight="1">
      <c r="A343" s="394">
        <f>_xlfn.AGGREGATE(4,7,A$22:A342)+1</f>
        <v>321</v>
      </c>
      <c r="B343" s="1059" t="s">
        <v>2138</v>
      </c>
      <c r="C343" s="1059" t="s">
        <v>2139</v>
      </c>
      <c r="D343" s="435" t="s">
        <v>2140</v>
      </c>
      <c r="E343" s="667" t="s">
        <v>2141</v>
      </c>
      <c r="F343" s="1058" t="str">
        <f>VLOOKUP(B343,TH.T4!B341:J671,9,FALSE)</f>
        <v>NV TT Điều hành và QLDL</v>
      </c>
      <c r="G343" s="667"/>
      <c r="H343" s="667"/>
      <c r="I343" s="383" t="s">
        <v>2031</v>
      </c>
      <c r="J343" s="635">
        <v>5417685</v>
      </c>
      <c r="K343" s="484">
        <f t="shared" si="62"/>
        <v>1625305.5</v>
      </c>
      <c r="L343" s="636" t="str">
        <f>VLOOKUP(B343,'[13]Gui chi Quynh'!$B$11:$E$400,4,FALSE)</f>
        <v>A4</v>
      </c>
      <c r="M343" s="484">
        <f t="shared" si="66"/>
        <v>1625306</v>
      </c>
      <c r="N343" s="636">
        <v>26</v>
      </c>
      <c r="O343" s="637">
        <f>IFERROR(INDEX('[14]CN HĐ'!$J$10:$J$72,MATCH(B343,'[14]CN HĐ'!$H$10:$H$74,0)),"")</f>
        <v>26</v>
      </c>
      <c r="P343" s="638" t="e">
        <f>IF(M343&gt;#REF!,M343,#REF!)</f>
        <v>#REF!</v>
      </c>
      <c r="Q343" s="484">
        <f t="shared" si="63"/>
        <v>1625306</v>
      </c>
      <c r="R343" s="639"/>
      <c r="S343" s="484">
        <v>0</v>
      </c>
      <c r="T343" s="640"/>
      <c r="U343" s="484">
        <v>0</v>
      </c>
      <c r="V343" s="679">
        <f t="shared" si="64"/>
        <v>54176.85</v>
      </c>
      <c r="W343" s="641">
        <f t="shared" si="65"/>
        <v>1625306</v>
      </c>
      <c r="X343" s="1080">
        <f t="shared" si="58"/>
        <v>0.90294777777777779</v>
      </c>
      <c r="Y343" s="509">
        <v>1800000</v>
      </c>
      <c r="Z343" s="715">
        <f t="shared" si="57"/>
        <v>1625306</v>
      </c>
      <c r="AA343" s="642">
        <f t="shared" si="60"/>
        <v>321</v>
      </c>
      <c r="AB343" s="643">
        <f>IFERROR(INDEX('[14]CN HĐ'!$M$10:$M$73,MATCH(B343,'[14]CN HĐ'!$H$10:$H$73,0)),"")</f>
        <v>0</v>
      </c>
      <c r="AC343" s="114" t="str">
        <f>VLOOKUP(B343,TH.T4!B340:AC670,28,FALSE)</f>
        <v>TTĐHDL</v>
      </c>
    </row>
    <row r="344" spans="1:52" s="387" customFormat="1" ht="33.75" customHeight="1">
      <c r="A344" s="33">
        <f>_xlfn.AGGREGATE(4,7,A$22:A343)+1</f>
        <v>322</v>
      </c>
      <c r="B344" s="1059" t="s">
        <v>2142</v>
      </c>
      <c r="C344" s="1059"/>
      <c r="D344" s="435"/>
      <c r="E344" s="634"/>
      <c r="F344" s="1058" t="str">
        <f>VLOOKUP(B344,TH.T4!B342:J672,9,FALSE)</f>
        <v>NV TT Điều hành và QLDL</v>
      </c>
      <c r="G344" s="634"/>
      <c r="H344" s="634"/>
      <c r="I344" s="383" t="s">
        <v>2038</v>
      </c>
      <c r="J344" s="635">
        <v>5007600</v>
      </c>
      <c r="K344" s="484">
        <f t="shared" si="62"/>
        <v>3505320</v>
      </c>
      <c r="L344" s="636" t="str">
        <f>VLOOKUP(B344,'[13]Gui chi Quynh'!$B$11:$E$400,4,FALSE)</f>
        <v>A1</v>
      </c>
      <c r="M344" s="484">
        <f t="shared" si="66"/>
        <v>5608512</v>
      </c>
      <c r="N344" s="636">
        <v>26</v>
      </c>
      <c r="O344" s="637">
        <f>IFERROR(INDEX('[14]CN HĐ'!$J$10:$J$72,MATCH(B344,'[14]CN HĐ'!$H$10:$H$74,0)),"")</f>
        <v>27</v>
      </c>
      <c r="P344" s="638"/>
      <c r="Q344" s="484">
        <f t="shared" si="63"/>
        <v>5608512</v>
      </c>
      <c r="R344" s="639"/>
      <c r="S344" s="484">
        <v>0</v>
      </c>
      <c r="T344" s="640"/>
      <c r="U344" s="484">
        <v>0</v>
      </c>
      <c r="V344" s="679">
        <f t="shared" si="64"/>
        <v>50076</v>
      </c>
      <c r="W344" s="641">
        <f t="shared" si="65"/>
        <v>5608512</v>
      </c>
      <c r="X344" s="1080">
        <f t="shared" si="58"/>
        <v>3.1158399999999999</v>
      </c>
      <c r="Y344" s="509">
        <v>1800000</v>
      </c>
      <c r="Z344" s="715">
        <f t="shared" ref="Z344:Z352" si="67">X344*Y344</f>
        <v>5608512</v>
      </c>
      <c r="AA344" s="642">
        <f t="shared" si="60"/>
        <v>322</v>
      </c>
      <c r="AB344" s="643"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9" t="s">
        <v>2143</v>
      </c>
      <c r="C345" s="1059"/>
      <c r="D345" s="435"/>
      <c r="E345" s="634"/>
      <c r="F345" s="1058" t="str">
        <f>VLOOKUP(B345,TH.T4!B343:J673,9,FALSE)</f>
        <v>NV TT Điều hành và QLDL</v>
      </c>
      <c r="G345" s="634"/>
      <c r="H345" s="634"/>
      <c r="I345" s="383" t="s">
        <v>2038</v>
      </c>
      <c r="J345" s="635">
        <v>5007600</v>
      </c>
      <c r="K345" s="484">
        <f t="shared" si="62"/>
        <v>3505320</v>
      </c>
      <c r="L345" s="636" t="str">
        <f>VLOOKUP(B345,'[13]Gui chi Quynh'!$B$11:$E$400,4,FALSE)</f>
        <v>A4</v>
      </c>
      <c r="M345" s="484">
        <f t="shared" si="66"/>
        <v>3505320</v>
      </c>
      <c r="N345" s="636">
        <v>26</v>
      </c>
      <c r="O345" s="637">
        <f>IFERROR(INDEX('[14]CN HĐ'!$J$10:$J$72,MATCH(B345,'[14]CN HĐ'!$H$10:$H$74,0)),"")</f>
        <v>25</v>
      </c>
      <c r="P345" s="638"/>
      <c r="Q345" s="484">
        <f t="shared" si="63"/>
        <v>3370500</v>
      </c>
      <c r="R345" s="639"/>
      <c r="S345" s="484">
        <v>0</v>
      </c>
      <c r="T345" s="640"/>
      <c r="U345" s="484">
        <v>0</v>
      </c>
      <c r="V345" s="484">
        <f t="shared" si="64"/>
        <v>50076</v>
      </c>
      <c r="W345" s="641">
        <f t="shared" si="65"/>
        <v>3370500</v>
      </c>
      <c r="X345" s="1080">
        <f t="shared" ref="X345:X352" si="68">W345/Y345</f>
        <v>1.8725000000000001</v>
      </c>
      <c r="Y345" s="509">
        <v>1800000</v>
      </c>
      <c r="Z345" s="715">
        <f t="shared" si="67"/>
        <v>3370500</v>
      </c>
      <c r="AA345" s="642">
        <f t="shared" si="60"/>
        <v>323</v>
      </c>
      <c r="AB345" s="643" t="str">
        <f>IFERROR(INDEX('[14]CN HĐ'!$M$10:$M$73,MATCH(B345,'[14]CN HĐ'!$H$10:$H$73,0)),"")</f>
        <v>Trừ 1 ngày nghỉ phép 31/5</v>
      </c>
      <c r="AC345" s="114" t="str">
        <f>VLOOKUP(B345,TH.T4!B342:AC672,28,FALSE)</f>
        <v>TTĐHDL</v>
      </c>
    </row>
    <row r="346" spans="1:52" s="387" customFormat="1" ht="30" customHeight="1">
      <c r="A346" s="33">
        <f>_xlfn.AGGREGATE(4,7,A$22:A345)+1</f>
        <v>324</v>
      </c>
      <c r="B346" s="1059" t="s">
        <v>2144</v>
      </c>
      <c r="C346" s="1059" t="s">
        <v>2145</v>
      </c>
      <c r="D346" s="435" t="s">
        <v>2146</v>
      </c>
      <c r="E346" s="634">
        <v>1603205351493</v>
      </c>
      <c r="F346" s="1058" t="str">
        <f>VLOOKUP(B346,TH.T4!B344:J674,9,FALSE)</f>
        <v>NV phòng Khảo thí và ĐBCL</v>
      </c>
      <c r="G346" s="634"/>
      <c r="H346" s="634"/>
      <c r="I346" s="383" t="s">
        <v>2042</v>
      </c>
      <c r="J346" s="635">
        <v>7515057</v>
      </c>
      <c r="K346" s="484">
        <f t="shared" si="62"/>
        <v>5260539.8999999994</v>
      </c>
      <c r="L346" s="636" t="str">
        <f>VLOOKUP(B346,'[13]Gui chi Quynh'!$B$11:$E$400,4,FALSE)</f>
        <v>A2</v>
      </c>
      <c r="M346" s="484">
        <f t="shared" si="66"/>
        <v>7364756</v>
      </c>
      <c r="N346" s="636">
        <v>26</v>
      </c>
      <c r="O346" s="637">
        <f>IFERROR(INDEX('[14]CN HĐ'!$J$10:$J$72,MATCH(B346,'[14]CN HĐ'!$H$10:$H$74,0)),"")</f>
        <v>26</v>
      </c>
      <c r="P346" s="638" t="e">
        <f>IF(M346&gt;#REF!,M346,#REF!)</f>
        <v>#REF!</v>
      </c>
      <c r="Q346" s="484">
        <f t="shared" si="63"/>
        <v>7364756</v>
      </c>
      <c r="R346" s="639"/>
      <c r="S346" s="484">
        <v>0</v>
      </c>
      <c r="T346" s="640"/>
      <c r="U346" s="484">
        <v>0</v>
      </c>
      <c r="V346" s="679">
        <f t="shared" si="64"/>
        <v>75150.570000000007</v>
      </c>
      <c r="W346" s="641">
        <f t="shared" si="65"/>
        <v>7364756</v>
      </c>
      <c r="X346" s="1080">
        <f t="shared" si="68"/>
        <v>4.0915311111111112</v>
      </c>
      <c r="Y346" s="509">
        <v>1800000</v>
      </c>
      <c r="Z346" s="715">
        <f t="shared" si="67"/>
        <v>7364756</v>
      </c>
      <c r="AA346" s="642">
        <f t="shared" si="60"/>
        <v>324</v>
      </c>
      <c r="AB346" s="643">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9" t="s">
        <v>2147</v>
      </c>
      <c r="C347" s="1059"/>
      <c r="D347" s="435"/>
      <c r="E347" s="22" t="s">
        <v>2148</v>
      </c>
      <c r="F347" s="1058" t="str">
        <f>VLOOKUP(B347,TH.T4!B345:J675,9,FALSE)</f>
        <v>Khoa Động lực</v>
      </c>
      <c r="G347" s="22"/>
      <c r="H347" s="22"/>
      <c r="I347" s="383" t="s">
        <v>2042</v>
      </c>
      <c r="J347" s="635">
        <v>10540257</v>
      </c>
      <c r="K347" s="484">
        <f t="shared" si="62"/>
        <v>7378179.8999999994</v>
      </c>
      <c r="L347" s="636" t="str">
        <f>VLOOKUP(B347,'[13]Gui chi Quynh'!$B$11:$E$400,4,FALSE)</f>
        <v>A4</v>
      </c>
      <c r="M347" s="484">
        <f t="shared" si="66"/>
        <v>7378180</v>
      </c>
      <c r="N347" s="636">
        <v>26</v>
      </c>
      <c r="O347" s="637">
        <f>IFERROR(INDEX('[14]CN HĐ'!$J$10:$J$72,MATCH(B347,'[14]CN HĐ'!$H$10:$H$74,0)),"")</f>
        <v>26</v>
      </c>
      <c r="P347" s="638" t="e">
        <f>IF(M347&gt;#REF!,M347,#REF!)</f>
        <v>#REF!</v>
      </c>
      <c r="Q347" s="484">
        <f t="shared" si="63"/>
        <v>7378180</v>
      </c>
      <c r="R347" s="639"/>
      <c r="S347" s="484">
        <v>0</v>
      </c>
      <c r="T347" s="640"/>
      <c r="U347" s="484">
        <v>0</v>
      </c>
      <c r="V347" s="679">
        <f t="shared" si="64"/>
        <v>105402.57</v>
      </c>
      <c r="W347" s="641">
        <f t="shared" si="65"/>
        <v>7378180</v>
      </c>
      <c r="X347" s="1080">
        <f t="shared" si="68"/>
        <v>4.098988888888889</v>
      </c>
      <c r="Y347" s="509">
        <v>1800000</v>
      </c>
      <c r="Z347" s="715">
        <f t="shared" si="67"/>
        <v>7378180</v>
      </c>
      <c r="AA347" s="642">
        <f t="shared" si="60"/>
        <v>325</v>
      </c>
      <c r="AB347" s="643">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9" t="s">
        <v>2149</v>
      </c>
      <c r="C348" s="1059"/>
      <c r="D348" s="435" t="s">
        <v>2150</v>
      </c>
      <c r="E348" s="22" t="s">
        <v>11</v>
      </c>
      <c r="F348" s="1058" t="str">
        <f>VLOOKUP(B348,TH.T4!B346:J676,9,FALSE)</f>
        <v>NV TT Đào tạo Lý Tự Trọng</v>
      </c>
      <c r="G348" s="22"/>
      <c r="H348" s="22"/>
      <c r="I348" s="383" t="s">
        <v>2038</v>
      </c>
      <c r="J348" s="635">
        <v>6086769</v>
      </c>
      <c r="K348" s="484">
        <f t="shared" si="62"/>
        <v>4260738.3</v>
      </c>
      <c r="L348" s="636" t="str">
        <f>VLOOKUP(B348,'[13]Gui chi Quynh'!$B$11:$E$400,4,FALSE)</f>
        <v>A4</v>
      </c>
      <c r="M348" s="484">
        <f t="shared" si="66"/>
        <v>4260738</v>
      </c>
      <c r="N348" s="636">
        <v>26</v>
      </c>
      <c r="O348" s="637">
        <f>IFERROR(INDEX('[14]CN HĐ'!$J$10:$J$72,MATCH(B348,'[14]CN HĐ'!$H$10:$H$74,0)),"")</f>
        <v>28</v>
      </c>
      <c r="P348" s="638"/>
      <c r="Q348" s="484">
        <f t="shared" si="63"/>
        <v>4260738</v>
      </c>
      <c r="R348" s="639"/>
      <c r="S348" s="484">
        <v>0</v>
      </c>
      <c r="T348" s="640"/>
      <c r="U348" s="484">
        <v>0</v>
      </c>
      <c r="V348" s="679">
        <f t="shared" si="64"/>
        <v>60867.69</v>
      </c>
      <c r="W348" s="641">
        <f t="shared" si="65"/>
        <v>4260738</v>
      </c>
      <c r="X348" s="1080">
        <f t="shared" si="68"/>
        <v>2.3670766666666667</v>
      </c>
      <c r="Y348" s="509">
        <v>1800000</v>
      </c>
      <c r="Z348" s="715">
        <f t="shared" si="67"/>
        <v>4260738</v>
      </c>
      <c r="AA348" s="642">
        <f t="shared" si="60"/>
        <v>326</v>
      </c>
      <c r="AB348" s="643">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9" t="s">
        <v>2151</v>
      </c>
      <c r="C349" s="1059"/>
      <c r="D349" s="435"/>
      <c r="E349" s="667"/>
      <c r="F349" s="1058" t="str">
        <f>VLOOKUP(B349,TH.T4!B347:J677,9,FALSE)</f>
        <v>NV TT Đào tạo Lý Tự Trọng</v>
      </c>
      <c r="G349" s="667"/>
      <c r="H349" s="667"/>
      <c r="I349" s="383" t="s">
        <v>2031</v>
      </c>
      <c r="J349" s="635">
        <v>4680000</v>
      </c>
      <c r="K349" s="484">
        <f t="shared" si="62"/>
        <v>1404000</v>
      </c>
      <c r="L349" s="636" t="str">
        <f>VLOOKUP(B349,'[13]Gui chi Quynh'!$B$11:$E$400,4,FALSE)</f>
        <v>A3</v>
      </c>
      <c r="M349" s="484">
        <f t="shared" si="66"/>
        <v>1684800</v>
      </c>
      <c r="N349" s="636">
        <v>26</v>
      </c>
      <c r="O349" s="637">
        <v>30</v>
      </c>
      <c r="P349" s="638"/>
      <c r="Q349" s="484">
        <f t="shared" si="63"/>
        <v>1684800</v>
      </c>
      <c r="R349" s="639"/>
      <c r="S349" s="484">
        <v>0</v>
      </c>
      <c r="T349" s="640"/>
      <c r="U349" s="484">
        <v>0</v>
      </c>
      <c r="V349" s="679">
        <f t="shared" si="64"/>
        <v>46800</v>
      </c>
      <c r="W349" s="641">
        <f t="shared" si="65"/>
        <v>1684800</v>
      </c>
      <c r="X349" s="1080">
        <f t="shared" si="68"/>
        <v>0.93600000000000005</v>
      </c>
      <c r="Y349" s="509">
        <v>1800000</v>
      </c>
      <c r="Z349" s="715">
        <f t="shared" si="67"/>
        <v>1684800</v>
      </c>
      <c r="AA349" s="642">
        <f t="shared" si="60"/>
        <v>327</v>
      </c>
      <c r="AB349" s="643">
        <f>IFERROR(INDEX('[14]CN HĐ'!$M$10:$M$73,MATCH(B349,'[14]CN HĐ'!$H$10:$H$73,0)),"")</f>
        <v>0</v>
      </c>
      <c r="AC349" s="114" t="str">
        <f>VLOOKUP(B349,TH.T4!B346:AC676,28,FALSE)</f>
        <v>TTĐT</v>
      </c>
    </row>
    <row r="350" spans="1:52" s="387" customFormat="1" ht="27.75" customHeight="1">
      <c r="A350" s="33">
        <f>_xlfn.AGGREGATE(4,7,A$22:A349)+1</f>
        <v>328</v>
      </c>
      <c r="B350" s="1059" t="s">
        <v>2152</v>
      </c>
      <c r="C350" s="1059" t="s">
        <v>960</v>
      </c>
      <c r="D350" s="435" t="s">
        <v>2153</v>
      </c>
      <c r="E350" s="634" t="s">
        <v>2154</v>
      </c>
      <c r="F350" s="1058" t="str">
        <f>VLOOKUP(B350,TH.T4!B348:J678,9,FALSE)</f>
        <v xml:space="preserve">NV Thư viện  </v>
      </c>
      <c r="G350" s="634"/>
      <c r="H350" s="634"/>
      <c r="I350" s="383" t="s">
        <v>2042</v>
      </c>
      <c r="J350" s="635">
        <v>6563942</v>
      </c>
      <c r="K350" s="484">
        <f t="shared" si="62"/>
        <v>4594759.3999999994</v>
      </c>
      <c r="L350" s="636" t="str">
        <f>VLOOKUP(B350,'[13]Gui chi Quynh'!$B$11:$E$400,4,FALSE)</f>
        <v>A3</v>
      </c>
      <c r="M350" s="484">
        <f t="shared" si="66"/>
        <v>5513711</v>
      </c>
      <c r="N350" s="636">
        <v>26</v>
      </c>
      <c r="O350" s="637">
        <f>IFERROR(INDEX('[14]CN HĐ'!$J$10:$J$72,MATCH(B350,'[14]CN HĐ'!$H$10:$H$74,0)),"")</f>
        <v>26</v>
      </c>
      <c r="P350" s="638" t="e">
        <f>IF(M350&gt;#REF!,M350,#REF!)</f>
        <v>#REF!</v>
      </c>
      <c r="Q350" s="484">
        <f t="shared" si="63"/>
        <v>5513711</v>
      </c>
      <c r="R350" s="639"/>
      <c r="S350" s="484">
        <v>0</v>
      </c>
      <c r="T350" s="640"/>
      <c r="U350" s="484">
        <v>0</v>
      </c>
      <c r="V350" s="679">
        <f t="shared" si="64"/>
        <v>65639.42</v>
      </c>
      <c r="W350" s="641">
        <f t="shared" si="65"/>
        <v>5513711</v>
      </c>
      <c r="X350" s="1080">
        <f t="shared" si="68"/>
        <v>3.063172777777778</v>
      </c>
      <c r="Y350" s="509">
        <v>1800000</v>
      </c>
      <c r="Z350" s="715">
        <f t="shared" si="67"/>
        <v>5513711</v>
      </c>
      <c r="AA350" s="642">
        <f t="shared" ref="AA350:AA352" si="69">A350</f>
        <v>328</v>
      </c>
      <c r="AB350" s="643">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9" t="s">
        <v>2155</v>
      </c>
      <c r="C351" s="1059"/>
      <c r="D351" s="435"/>
      <c r="E351" s="634"/>
      <c r="F351" s="1058" t="str">
        <f>VLOOKUP(B351,TH.T4!B349:J679,9,FALSE)</f>
        <v xml:space="preserve">NV Thư viện  </v>
      </c>
      <c r="G351" s="634"/>
      <c r="H351" s="634"/>
      <c r="I351" s="383" t="s">
        <v>2038</v>
      </c>
      <c r="J351" s="635">
        <v>5520879</v>
      </c>
      <c r="K351" s="484">
        <f t="shared" si="62"/>
        <v>3864615.3</v>
      </c>
      <c r="L351" s="636" t="str">
        <f>VLOOKUP(B351,'[13]Gui chi Quynh'!$B$11:$E$400,4,FALSE)</f>
        <v>A3</v>
      </c>
      <c r="M351" s="484">
        <f t="shared" si="66"/>
        <v>4637538</v>
      </c>
      <c r="N351" s="636">
        <v>26</v>
      </c>
      <c r="O351" s="637">
        <f>IFERROR(INDEX('[14]CN HĐ'!$J$10:$J$72,MATCH(B351,'[14]CN HĐ'!$H$10:$H$74,0)),"")</f>
        <v>25</v>
      </c>
      <c r="P351" s="638" t="e">
        <f>IF(M351&gt;#REF!,M351,#REF!)</f>
        <v>#REF!</v>
      </c>
      <c r="Q351" s="484">
        <f t="shared" si="63"/>
        <v>4459171</v>
      </c>
      <c r="R351" s="639"/>
      <c r="S351" s="484">
        <v>0</v>
      </c>
      <c r="T351" s="640"/>
      <c r="U351" s="484">
        <v>0</v>
      </c>
      <c r="V351" s="679">
        <f t="shared" si="64"/>
        <v>55208.79</v>
      </c>
      <c r="W351" s="641">
        <f t="shared" si="65"/>
        <v>4459171</v>
      </c>
      <c r="X351" s="1080">
        <f t="shared" si="68"/>
        <v>2.4773172222222222</v>
      </c>
      <c r="Y351" s="509">
        <v>1800000</v>
      </c>
      <c r="Z351" s="715">
        <f t="shared" si="67"/>
        <v>4459171</v>
      </c>
      <c r="AA351" s="642">
        <f t="shared" si="69"/>
        <v>329</v>
      </c>
      <c r="AB351" s="643"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7" t="s">
        <v>2156</v>
      </c>
      <c r="C352" s="1077" t="s">
        <v>920</v>
      </c>
      <c r="D352" s="982" t="s">
        <v>2157</v>
      </c>
      <c r="E352" s="668" t="s">
        <v>2158</v>
      </c>
      <c r="F352" s="1078" t="str">
        <f>VLOOKUP(B352,TH.T4!B350:J680,9,FALSE)</f>
        <v xml:space="preserve">NV Thư viện  </v>
      </c>
      <c r="G352" s="669"/>
      <c r="H352" s="669"/>
      <c r="I352" s="86" t="s">
        <v>2042</v>
      </c>
      <c r="J352" s="635">
        <v>6563942</v>
      </c>
      <c r="K352" s="484">
        <f t="shared" si="62"/>
        <v>4594759.3999999994</v>
      </c>
      <c r="L352" s="636" t="str">
        <f>VLOOKUP(B352,'[13]Gui chi Quynh'!$B$11:$E$400,4,FALSE)</f>
        <v>A3</v>
      </c>
      <c r="M352" s="484">
        <f t="shared" si="66"/>
        <v>5513711</v>
      </c>
      <c r="N352" s="636">
        <v>26</v>
      </c>
      <c r="O352" s="637">
        <f>IFERROR(INDEX('[14]CN HĐ'!$J$10:$J$72,MATCH(B352,'[14]CN HĐ'!$H$10:$H$74,0)),"")</f>
        <v>26</v>
      </c>
      <c r="P352" s="638" t="e">
        <f>IF(M352&gt;#REF!,M352,#REF!)</f>
        <v>#REF!</v>
      </c>
      <c r="Q352" s="484">
        <f t="shared" si="63"/>
        <v>5513711</v>
      </c>
      <c r="R352" s="639"/>
      <c r="S352" s="484">
        <v>0</v>
      </c>
      <c r="T352" s="640"/>
      <c r="U352" s="484">
        <v>0</v>
      </c>
      <c r="V352" s="679">
        <f t="shared" si="64"/>
        <v>65639.42</v>
      </c>
      <c r="W352" s="641">
        <f t="shared" si="65"/>
        <v>5513711</v>
      </c>
      <c r="X352" s="1081">
        <f t="shared" si="68"/>
        <v>3.063172777777778</v>
      </c>
      <c r="Y352" s="509">
        <v>1800000</v>
      </c>
      <c r="Z352" s="715">
        <f t="shared" si="67"/>
        <v>5513711</v>
      </c>
      <c r="AA352" s="642">
        <f t="shared" si="69"/>
        <v>330</v>
      </c>
      <c r="AB352" s="643">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7">
        <f>SUM(X23:X352)</f>
        <v>1436.762828636364</v>
      </c>
      <c r="Y353" s="460"/>
      <c r="Z353" s="1084">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5"/>
      <c r="N355" s="17"/>
      <c r="O355" s="1035"/>
      <c r="P355" s="1035"/>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5"/>
      <c r="N356" s="17"/>
      <c r="O356" s="1035"/>
      <c r="P356" s="1035"/>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699" t="s">
        <v>2249</v>
      </c>
      <c r="V357" s="1699"/>
      <c r="W357" s="1699"/>
      <c r="X357" s="1699"/>
      <c r="Y357" s="1699"/>
      <c r="Z357" s="1699"/>
      <c r="AA357" s="1699"/>
      <c r="AB357" s="1699"/>
    </row>
    <row r="358" spans="1:32" s="16" customFormat="1">
      <c r="A358" s="1678" t="s">
        <v>859</v>
      </c>
      <c r="B358" s="1678"/>
      <c r="C358" s="19"/>
      <c r="D358" s="19"/>
      <c r="E358" s="19"/>
      <c r="F358" s="1681" t="s">
        <v>1191</v>
      </c>
      <c r="G358" s="1681"/>
      <c r="H358" s="1681"/>
      <c r="I358" s="1681"/>
      <c r="J358" s="1681"/>
      <c r="K358" s="1681"/>
      <c r="L358" s="1681"/>
      <c r="M358" s="1681"/>
      <c r="N358" s="1681"/>
      <c r="O358" s="1681"/>
      <c r="P358" s="1681"/>
      <c r="Q358" s="1681"/>
      <c r="R358" s="1681"/>
      <c r="S358" s="1681"/>
      <c r="T358" s="1681"/>
      <c r="U358" s="1681"/>
      <c r="V358" s="1681"/>
      <c r="W358" s="1681"/>
      <c r="X358" s="1681"/>
      <c r="Y358" s="1681"/>
      <c r="Z358" s="1678" t="s">
        <v>41</v>
      </c>
      <c r="AA358" s="1678"/>
      <c r="AB358" s="1678"/>
      <c r="AC358" s="111"/>
      <c r="AD358" s="514"/>
      <c r="AF358" s="158"/>
    </row>
    <row r="359" spans="1:32" s="16" customFormat="1" ht="13.5" customHeight="1">
      <c r="A359" s="1034"/>
      <c r="B359" s="1034"/>
      <c r="C359" s="19"/>
      <c r="D359" s="19"/>
      <c r="E359" s="19"/>
      <c r="F359" s="19"/>
      <c r="G359" s="19"/>
      <c r="H359" s="19"/>
      <c r="I359" s="19"/>
      <c r="J359" s="1034"/>
      <c r="K359" s="235"/>
      <c r="L359" s="366"/>
      <c r="M359" s="681"/>
      <c r="N359" s="14"/>
      <c r="O359" s="1034"/>
      <c r="P359" s="19"/>
      <c r="Q359" s="1034"/>
      <c r="R359" s="475"/>
      <c r="S359" s="1034"/>
      <c r="T359" s="403"/>
      <c r="V359" s="615"/>
      <c r="W359" s="1034"/>
      <c r="X359" s="1034"/>
      <c r="Y359" s="1034"/>
      <c r="Z359" s="1034"/>
      <c r="AB359" s="103"/>
      <c r="AC359" s="111"/>
      <c r="AD359" s="514"/>
      <c r="AF359" s="158"/>
    </row>
    <row r="360" spans="1:32" s="16" customFormat="1" ht="10.5" customHeight="1">
      <c r="A360" s="1034"/>
      <c r="B360" s="1034"/>
      <c r="C360" s="19"/>
      <c r="D360" s="19"/>
      <c r="E360" s="19"/>
      <c r="F360" s="19"/>
      <c r="G360" s="19"/>
      <c r="H360" s="19"/>
      <c r="I360" s="19"/>
      <c r="J360" s="1034"/>
      <c r="K360" s="235"/>
      <c r="L360" s="366"/>
      <c r="M360" s="681">
        <f>COUNTIF(M23:M288,"A1")</f>
        <v>39</v>
      </c>
      <c r="N360" s="14"/>
      <c r="O360" s="1034"/>
      <c r="P360" s="19"/>
      <c r="Q360" s="1034"/>
      <c r="R360" s="475"/>
      <c r="S360" s="1034"/>
      <c r="T360" s="403"/>
      <c r="V360" s="615"/>
      <c r="W360" s="1034"/>
      <c r="X360" s="1034"/>
      <c r="Y360" s="1034"/>
      <c r="Z360" s="1034"/>
      <c r="AB360" s="103"/>
      <c r="AC360" s="111"/>
      <c r="AD360" s="514"/>
      <c r="AF360" s="158"/>
    </row>
    <row r="361" spans="1:32"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35"/>
      <c r="Z361" s="1035"/>
      <c r="AB361" s="101"/>
      <c r="AC361" s="111"/>
      <c r="AD361" s="514"/>
      <c r="AF361" s="158"/>
    </row>
    <row r="362" spans="1:32" s="16" customFormat="1" ht="13.5" customHeight="1">
      <c r="H362" s="1039"/>
      <c r="I362" s="1035"/>
      <c r="K362" s="235"/>
      <c r="L362" s="372"/>
      <c r="M362" s="681">
        <f>COUNTIF($M$23:$M$288,"A3")</f>
        <v>93</v>
      </c>
      <c r="N362" s="1034"/>
      <c r="O362" s="1034"/>
      <c r="P362" s="1035"/>
      <c r="Q362" s="410"/>
      <c r="R362" s="476"/>
      <c r="S362" s="1035"/>
      <c r="T362" s="404"/>
      <c r="U362" s="1035"/>
      <c r="V362" s="616"/>
      <c r="W362" s="1035"/>
      <c r="X362" s="1035"/>
      <c r="Y362" s="1035"/>
      <c r="Z362" s="1035"/>
      <c r="AB362" s="466"/>
      <c r="AC362" s="111"/>
      <c r="AD362" s="514"/>
      <c r="AF362" s="158"/>
    </row>
    <row r="363" spans="1:32" s="16" customFormat="1" ht="13.5" customHeight="1">
      <c r="H363" s="1039"/>
      <c r="I363" s="1035"/>
      <c r="K363" s="235"/>
      <c r="L363" s="372"/>
      <c r="M363" s="681">
        <f>COUNTIF($M$23:$M$288,"A4")</f>
        <v>89</v>
      </c>
      <c r="N363" s="1034"/>
      <c r="O363" s="1034"/>
      <c r="P363" s="1035"/>
      <c r="Q363" s="49"/>
      <c r="R363" s="476"/>
      <c r="S363" s="1035"/>
      <c r="T363" s="404"/>
      <c r="U363" s="1035"/>
      <c r="V363" s="616"/>
      <c r="W363" s="49"/>
      <c r="X363" s="49"/>
      <c r="Y363" s="49"/>
      <c r="Z363" s="49"/>
      <c r="AB363" s="101"/>
      <c r="AC363" s="111"/>
      <c r="AD363" s="514"/>
      <c r="AF363" s="158"/>
    </row>
    <row r="364" spans="1:32" s="16" customFormat="1" ht="13.5" customHeight="1">
      <c r="H364" s="1039"/>
      <c r="I364" s="1035"/>
      <c r="J364" s="1035"/>
      <c r="K364" s="1038"/>
      <c r="L364" s="367"/>
      <c r="M364" s="676"/>
      <c r="N364" s="1034"/>
      <c r="O364" s="1035"/>
      <c r="P364" s="1035"/>
      <c r="Q364" s="1035"/>
      <c r="R364" s="476"/>
      <c r="S364" s="1035"/>
      <c r="T364" s="404"/>
      <c r="U364" s="1035"/>
      <c r="V364" s="616"/>
      <c r="W364" s="1035"/>
      <c r="X364" s="1035"/>
      <c r="Y364" s="1035"/>
      <c r="Z364" s="1035"/>
      <c r="AB364" s="466"/>
      <c r="AC364" s="111"/>
      <c r="AD364" s="514"/>
      <c r="AF364" s="158"/>
    </row>
    <row r="365" spans="1:32" s="16" customFormat="1" ht="13.5" customHeight="1">
      <c r="H365" s="1698"/>
      <c r="I365" s="1698"/>
      <c r="J365" s="1035"/>
      <c r="K365" s="1038"/>
      <c r="L365" s="367"/>
      <c r="M365" s="676"/>
      <c r="N365" s="1034"/>
      <c r="O365" s="1035"/>
      <c r="P365" s="1035"/>
      <c r="Q365" s="1035"/>
      <c r="R365" s="476"/>
      <c r="S365" s="1035"/>
      <c r="T365" s="404"/>
      <c r="U365" s="1035"/>
      <c r="V365" s="616"/>
      <c r="W365" s="1035"/>
      <c r="X365" s="1035"/>
      <c r="Y365" s="1035"/>
      <c r="Z365" s="1035"/>
      <c r="AB365" s="101"/>
      <c r="AC365" s="111"/>
      <c r="AD365" s="514"/>
      <c r="AF365" s="158"/>
    </row>
    <row r="366" spans="1:32" s="16" customFormat="1">
      <c r="A366" s="1678" t="s">
        <v>1827</v>
      </c>
      <c r="B366" s="1678"/>
      <c r="C366" s="1034"/>
      <c r="D366" s="1034"/>
      <c r="E366" s="1034"/>
      <c r="F366" s="1681" t="s">
        <v>1445</v>
      </c>
      <c r="G366" s="1681"/>
      <c r="H366" s="1681"/>
      <c r="I366" s="1681"/>
      <c r="J366" s="1681"/>
      <c r="K366" s="1681"/>
      <c r="L366" s="1681"/>
      <c r="M366" s="1681"/>
      <c r="N366" s="1681"/>
      <c r="O366" s="1681"/>
      <c r="P366" s="1681"/>
      <c r="Q366" s="1681"/>
      <c r="R366" s="1681"/>
      <c r="S366" s="1681"/>
      <c r="T366" s="1681"/>
      <c r="U366" s="1681"/>
      <c r="V366" s="1681"/>
      <c r="W366" s="1681"/>
      <c r="X366" s="1681"/>
      <c r="Y366" s="1681"/>
      <c r="Z366" s="1678" t="s">
        <v>1433</v>
      </c>
      <c r="AA366" s="1678"/>
      <c r="AB366" s="1678"/>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227" priority="255" stopIfTrue="1" operator="equal">
      <formula>"KXL"</formula>
    </cfRule>
    <cfRule type="cellIs" dxfId="1226" priority="256" stopIfTrue="1" operator="equal">
      <formula>"A DN"</formula>
    </cfRule>
    <cfRule type="cellIs" dxfId="1225" priority="257" stopIfTrue="1" operator="equal">
      <formula>"C"</formula>
    </cfRule>
    <cfRule type="cellIs" dxfId="1224" priority="258" stopIfTrue="1" operator="equal">
      <formula>"B"</formula>
    </cfRule>
  </conditionalFormatting>
  <conditionalFormatting sqref="B280:C280 R280 T280">
    <cfRule type="cellIs" dxfId="1223" priority="251" stopIfTrue="1" operator="equal">
      <formula>"KXL"</formula>
    </cfRule>
    <cfRule type="cellIs" dxfId="1222" priority="252" stopIfTrue="1" operator="equal">
      <formula>"A DN"</formula>
    </cfRule>
    <cfRule type="cellIs" dxfId="1221" priority="253" stopIfTrue="1" operator="equal">
      <formula>"C"</formula>
    </cfRule>
    <cfRule type="cellIs" dxfId="1220" priority="254" stopIfTrue="1" operator="equal">
      <formula>"B"</formula>
    </cfRule>
  </conditionalFormatting>
  <conditionalFormatting sqref="B61:C61 R61 T61 G61:H61 AD61:IY61 AD74:IY74 AD126:IY126 J61">
    <cfRule type="cellIs" dxfId="1219" priority="248" stopIfTrue="1" operator="equal">
      <formula>"C"</formula>
    </cfRule>
    <cfRule type="cellIs" dxfId="1218" priority="249" stopIfTrue="1" operator="equal">
      <formula>"B"</formula>
    </cfRule>
    <cfRule type="cellIs" dxfId="1217" priority="250" stopIfTrue="1" operator="equal">
      <formula>"A DN"</formula>
    </cfRule>
  </conditionalFormatting>
  <conditionalFormatting sqref="R74 B74:C74 T74 G74:H74 J74">
    <cfRule type="cellIs" dxfId="1216" priority="245" stopIfTrue="1" operator="equal">
      <formula>"C"</formula>
    </cfRule>
    <cfRule type="cellIs" dxfId="1215" priority="246" stopIfTrue="1" operator="equal">
      <formula>"B"</formula>
    </cfRule>
    <cfRule type="cellIs" dxfId="1214" priority="247" stopIfTrue="1" operator="equal">
      <formula>"A DN"</formula>
    </cfRule>
  </conditionalFormatting>
  <conditionalFormatting sqref="B126:C126 G126:H126 R126 T126 J126">
    <cfRule type="cellIs" dxfId="1213" priority="242" stopIfTrue="1" operator="equal">
      <formula>"C"</formula>
    </cfRule>
    <cfRule type="cellIs" dxfId="1212" priority="243" stopIfTrue="1" operator="equal">
      <formula>"B"</formula>
    </cfRule>
    <cfRule type="cellIs" dxfId="1211" priority="244" stopIfTrue="1" operator="equal">
      <formula>"A DN"</formula>
    </cfRule>
  </conditionalFormatting>
  <conditionalFormatting sqref="E126">
    <cfRule type="cellIs" dxfId="1210" priority="238" stopIfTrue="1" operator="equal">
      <formula>"KXL"</formula>
    </cfRule>
    <cfRule type="cellIs" dxfId="1209" priority="239" stopIfTrue="1" operator="equal">
      <formula>"A DN"</formula>
    </cfRule>
    <cfRule type="cellIs" dxfId="1208" priority="240" stopIfTrue="1" operator="equal">
      <formula>"C"</formula>
    </cfRule>
    <cfRule type="cellIs" dxfId="1207" priority="241" stopIfTrue="1" operator="equal">
      <formula>"B"</formula>
    </cfRule>
  </conditionalFormatting>
  <conditionalFormatting sqref="D28:E28 J28 R28 T28 G28:H28">
    <cfRule type="cellIs" dxfId="1206" priority="234" stopIfTrue="1" operator="equal">
      <formula>"KXL"</formula>
    </cfRule>
    <cfRule type="cellIs" dxfId="1205" priority="235" stopIfTrue="1" operator="equal">
      <formula>"A DN"</formula>
    </cfRule>
    <cfRule type="cellIs" dxfId="1204" priority="236" stopIfTrue="1" operator="equal">
      <formula>"C"</formula>
    </cfRule>
    <cfRule type="cellIs" dxfId="1203" priority="237" stopIfTrue="1" operator="equal">
      <formula>"B"</formula>
    </cfRule>
  </conditionalFormatting>
  <conditionalFormatting sqref="D47:E47 R47:R48 J47:J48 T47:T48 D48 G47:H48">
    <cfRule type="cellIs" dxfId="1202" priority="230" stopIfTrue="1" operator="equal">
      <formula>"KXL"</formula>
    </cfRule>
    <cfRule type="cellIs" dxfId="1201" priority="231" stopIfTrue="1" operator="equal">
      <formula>"A DN"</formula>
    </cfRule>
    <cfRule type="cellIs" dxfId="1200" priority="232" stopIfTrue="1" operator="equal">
      <formula>"C"</formula>
    </cfRule>
    <cfRule type="cellIs" dxfId="1199" priority="233" stopIfTrue="1" operator="equal">
      <formula>"B"</formula>
    </cfRule>
  </conditionalFormatting>
  <conditionalFormatting sqref="M23:M274 M286:M288">
    <cfRule type="expression" dxfId="1198" priority="227" stopIfTrue="1">
      <formula>"if=B1"</formula>
    </cfRule>
    <cfRule type="expression" dxfId="1197" priority="228" stopIfTrue="1">
      <formula>$B12</formula>
    </cfRule>
    <cfRule type="expression" dxfId="1196" priority="229" stopIfTrue="1">
      <formula>B12</formula>
    </cfRule>
  </conditionalFormatting>
  <conditionalFormatting sqref="V94 AA94 Q94:S94 L94:L96">
    <cfRule type="cellIs" dxfId="1195" priority="223" stopIfTrue="1" operator="equal">
      <formula>"KXL"</formula>
    </cfRule>
    <cfRule type="cellIs" dxfId="1194" priority="224" stopIfTrue="1" operator="equal">
      <formula>"A DN"</formula>
    </cfRule>
    <cfRule type="cellIs" dxfId="1193" priority="225" stopIfTrue="1" operator="equal">
      <formula>"C"</formula>
    </cfRule>
    <cfRule type="cellIs" dxfId="1192" priority="226" stopIfTrue="1" operator="equal">
      <formula>"B"</formula>
    </cfRule>
  </conditionalFormatting>
  <conditionalFormatting sqref="AD94:IY94 D94:E94 T94:U94 G94:K94">
    <cfRule type="cellIs" dxfId="1191" priority="219" stopIfTrue="1" operator="equal">
      <formula>"KXL"</formula>
    </cfRule>
    <cfRule type="cellIs" dxfId="1190" priority="220" stopIfTrue="1" operator="equal">
      <formula>"A DN"</formula>
    </cfRule>
    <cfRule type="cellIs" dxfId="1189" priority="221" stopIfTrue="1" operator="equal">
      <formula>"C"</formula>
    </cfRule>
    <cfRule type="cellIs" dxfId="1188" priority="222" stopIfTrue="1" operator="equal">
      <formula>"B"</formula>
    </cfRule>
  </conditionalFormatting>
  <conditionalFormatting sqref="M275:M284">
    <cfRule type="expression" dxfId="1187" priority="259" stopIfTrue="1">
      <formula>"if=B1"</formula>
    </cfRule>
    <cfRule type="expression" dxfId="1186" priority="260" stopIfTrue="1">
      <formula>$B265</formula>
    </cfRule>
    <cfRule type="expression" dxfId="1185" priority="261" stopIfTrue="1">
      <formula>B265</formula>
    </cfRule>
  </conditionalFormatting>
  <conditionalFormatting sqref="M275:M288">
    <cfRule type="cellIs" dxfId="1184" priority="262" stopIfTrue="1" operator="equal">
      <formula>"C2"</formula>
    </cfRule>
    <cfRule type="cellIs" dxfId="1183" priority="263" stopIfTrue="1" operator="equal">
      <formula>"C1"</formula>
    </cfRule>
    <cfRule type="cellIs" dxfId="1182" priority="264" stopIfTrue="1" operator="equal">
      <formula>"C2"</formula>
    </cfRule>
    <cfRule type="cellIs" dxfId="1181" priority="265" stopIfTrue="1" operator="equal">
      <formula>"D"</formula>
    </cfRule>
    <cfRule type="cellIs" dxfId="1180" priority="266" stopIfTrue="1" operator="equal">
      <formula>"E"</formula>
    </cfRule>
    <cfRule type="cellIs" dxfId="1179" priority="267" stopIfTrue="1" operator="equal">
      <formula>"A DN"</formula>
    </cfRule>
    <cfRule type="cellIs" dxfId="1178" priority="268" stopIfTrue="1" operator="equal">
      <formula>"A DN"</formula>
    </cfRule>
    <cfRule type="cellIs" dxfId="1177" priority="269" stopIfTrue="1" operator="equal">
      <formula>"E"</formula>
    </cfRule>
    <cfRule type="cellIs" dxfId="1176" priority="270" stopIfTrue="1" operator="equal">
      <formula>"D"</formula>
    </cfRule>
    <cfRule type="cellIs" dxfId="1175" priority="271" stopIfTrue="1" operator="equal">
      <formula>"D1"</formula>
    </cfRule>
    <cfRule type="cellIs" dxfId="1174" priority="272" stopIfTrue="1" operator="equal">
      <formula>"C2"</formula>
    </cfRule>
    <cfRule type="cellIs" dxfId="1173" priority="273" stopIfTrue="1" operator="equal">
      <formula>"C1"</formula>
    </cfRule>
    <cfRule type="cellIs" dxfId="1172" priority="274" stopIfTrue="1" operator="equal">
      <formula>"B2"</formula>
    </cfRule>
    <cfRule type="cellIs" dxfId="1171" priority="275" stopIfTrue="1" operator="equal">
      <formula>"B1"</formula>
    </cfRule>
    <cfRule type="expression" dxfId="1170" priority="276" stopIfTrue="1">
      <formula>B265</formula>
    </cfRule>
    <cfRule type="cellIs" dxfId="1169" priority="277" stopIfTrue="1" operator="equal">
      <formula>"D"</formula>
    </cfRule>
  </conditionalFormatting>
  <conditionalFormatting sqref="M275:M288">
    <cfRule type="cellIs" dxfId="1168" priority="278" stopIfTrue="1" operator="equal">
      <formula>"B1"</formula>
    </cfRule>
    <cfRule type="expression" dxfId="1167" priority="279" stopIfTrue="1">
      <formula>B265</formula>
    </cfRule>
  </conditionalFormatting>
  <conditionalFormatting sqref="M275:M288">
    <cfRule type="cellIs" dxfId="1166" priority="280" stopIfTrue="1" operator="equal">
      <formula>"B2"</formula>
    </cfRule>
    <cfRule type="expression" dxfId="1165" priority="281" stopIfTrue="1">
      <formula>B265</formula>
    </cfRule>
  </conditionalFormatting>
  <conditionalFormatting sqref="M23:M274">
    <cfRule type="cellIs" dxfId="1164" priority="282" stopIfTrue="1" operator="equal">
      <formula>"C2"</formula>
    </cfRule>
    <cfRule type="cellIs" dxfId="1163" priority="283" stopIfTrue="1" operator="equal">
      <formula>"C1"</formula>
    </cfRule>
    <cfRule type="cellIs" dxfId="1162" priority="284" stopIfTrue="1" operator="equal">
      <formula>"C2"</formula>
    </cfRule>
    <cfRule type="cellIs" dxfId="1161" priority="285" stopIfTrue="1" operator="equal">
      <formula>"D"</formula>
    </cfRule>
    <cfRule type="cellIs" dxfId="1160" priority="286" stopIfTrue="1" operator="equal">
      <formula>"E"</formula>
    </cfRule>
    <cfRule type="cellIs" dxfId="1159" priority="287" stopIfTrue="1" operator="equal">
      <formula>"A DN"</formula>
    </cfRule>
    <cfRule type="cellIs" dxfId="1158" priority="288" stopIfTrue="1" operator="equal">
      <formula>"A DN"</formula>
    </cfRule>
    <cfRule type="cellIs" dxfId="1157" priority="289" stopIfTrue="1" operator="equal">
      <formula>"E"</formula>
    </cfRule>
    <cfRule type="cellIs" dxfId="1156" priority="290" stopIfTrue="1" operator="equal">
      <formula>"D"</formula>
    </cfRule>
    <cfRule type="cellIs" dxfId="1155" priority="291" stopIfTrue="1" operator="equal">
      <formula>"D1"</formula>
    </cfRule>
    <cfRule type="cellIs" dxfId="1154" priority="292" stopIfTrue="1" operator="equal">
      <formula>"C2"</formula>
    </cfRule>
    <cfRule type="cellIs" dxfId="1153" priority="293" stopIfTrue="1" operator="equal">
      <formula>"C1"</formula>
    </cfRule>
    <cfRule type="cellIs" dxfId="1152" priority="294" stopIfTrue="1" operator="equal">
      <formula>"B2"</formula>
    </cfRule>
    <cfRule type="cellIs" dxfId="1151" priority="295" stopIfTrue="1" operator="equal">
      <formula>"B1"</formula>
    </cfRule>
    <cfRule type="expression" dxfId="1150" priority="296" stopIfTrue="1">
      <formula>B12</formula>
    </cfRule>
    <cfRule type="cellIs" dxfId="1149" priority="297" stopIfTrue="1" operator="equal">
      <formula>"D"</formula>
    </cfRule>
  </conditionalFormatting>
  <conditionalFormatting sqref="M23:M274">
    <cfRule type="cellIs" dxfId="1148" priority="298" stopIfTrue="1" operator="equal">
      <formula>"B1"</formula>
    </cfRule>
    <cfRule type="expression" dxfId="1147" priority="299" stopIfTrue="1">
      <formula>B12</formula>
    </cfRule>
  </conditionalFormatting>
  <conditionalFormatting sqref="M23:M274">
    <cfRule type="cellIs" dxfId="1146" priority="300" stopIfTrue="1" operator="equal">
      <formula>"B2"</formula>
    </cfRule>
    <cfRule type="expression" dxfId="1145" priority="301" stopIfTrue="1">
      <formula>B12</formula>
    </cfRule>
  </conditionalFormatting>
  <conditionalFormatting sqref="M285">
    <cfRule type="expression" dxfId="1144" priority="302" stopIfTrue="1">
      <formula>"if=B1"</formula>
    </cfRule>
    <cfRule type="expression" dxfId="1143" priority="303" stopIfTrue="1">
      <formula>#REF!</formula>
    </cfRule>
    <cfRule type="expression" dxfId="1142"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141" priority="131" stopIfTrue="1" operator="equal">
      <formula>"KXL"</formula>
    </cfRule>
    <cfRule type="cellIs" dxfId="1140" priority="132" stopIfTrue="1" operator="equal">
      <formula>"A DN"</formula>
    </cfRule>
    <cfRule type="cellIs" dxfId="1139" priority="133" stopIfTrue="1" operator="equal">
      <formula>"C"</formula>
    </cfRule>
    <cfRule type="cellIs" dxfId="1138" priority="134" stopIfTrue="1" operator="equal">
      <formula>"B"</formula>
    </cfRule>
  </conditionalFormatting>
  <conditionalFormatting sqref="L289:L352">
    <cfRule type="cellIs" dxfId="1137" priority="130" stopIfTrue="1" operator="equal">
      <formula>"D"</formula>
    </cfRule>
  </conditionalFormatting>
  <conditionalFormatting sqref="B293:C305 T293:T305 P293:P305 R293:R305 AD293:IY305">
    <cfRule type="cellIs" dxfId="1136" priority="126" stopIfTrue="1" operator="equal">
      <formula>"KXL"</formula>
    </cfRule>
    <cfRule type="cellIs" dxfId="1135" priority="127" stopIfTrue="1" operator="equal">
      <formula>"A DN"</formula>
    </cfRule>
    <cfRule type="cellIs" dxfId="1134" priority="128" stopIfTrue="1" operator="equal">
      <formula>"C"</formula>
    </cfRule>
    <cfRule type="cellIs" dxfId="1133" priority="129" stopIfTrue="1" operator="equal">
      <formula>"B"</formula>
    </cfRule>
  </conditionalFormatting>
  <conditionalFormatting sqref="E310 G310:H310">
    <cfRule type="cellIs" dxfId="1132" priority="122" stopIfTrue="1" operator="equal">
      <formula>"KXL"</formula>
    </cfRule>
    <cfRule type="cellIs" dxfId="1131" priority="123" stopIfTrue="1" operator="equal">
      <formula>"A DN"</formula>
    </cfRule>
    <cfRule type="cellIs" dxfId="1130" priority="124" stopIfTrue="1" operator="equal">
      <formula>"C"</formula>
    </cfRule>
    <cfRule type="cellIs" dxfId="1129" priority="125" stopIfTrue="1" operator="equal">
      <formula>"B"</formula>
    </cfRule>
  </conditionalFormatting>
  <conditionalFormatting sqref="I294:I304">
    <cfRule type="cellIs" dxfId="1128" priority="118" stopIfTrue="1" operator="equal">
      <formula>"KXL"</formula>
    </cfRule>
    <cfRule type="cellIs" dxfId="1127" priority="119" stopIfTrue="1" operator="equal">
      <formula>"A DN"</formula>
    </cfRule>
    <cfRule type="cellIs" dxfId="1126" priority="120" stopIfTrue="1" operator="equal">
      <formula>"C"</formula>
    </cfRule>
    <cfRule type="cellIs" dxfId="1125" priority="121" stopIfTrue="1" operator="equal">
      <formula>"B"</formula>
    </cfRule>
  </conditionalFormatting>
  <conditionalFormatting sqref="E347:E349 G347:H349">
    <cfRule type="cellIs" dxfId="1124" priority="86" stopIfTrue="1" operator="equal">
      <formula>"KXL"</formula>
    </cfRule>
    <cfRule type="cellIs" dxfId="1123" priority="87" stopIfTrue="1" operator="equal">
      <formula>"A DN"</formula>
    </cfRule>
    <cfRule type="cellIs" dxfId="1122" priority="88" stopIfTrue="1" operator="equal">
      <formula>"C"</formula>
    </cfRule>
    <cfRule type="cellIs" dxfId="1121" priority="89" stopIfTrue="1" operator="equal">
      <formula>"B"</formula>
    </cfRule>
  </conditionalFormatting>
  <conditionalFormatting sqref="E306 G306:H306">
    <cfRule type="cellIs" dxfId="1120" priority="114" stopIfTrue="1" operator="equal">
      <formula>"KXL"</formula>
    </cfRule>
    <cfRule type="cellIs" dxfId="1119" priority="115" stopIfTrue="1" operator="equal">
      <formula>"A DN"</formula>
    </cfRule>
    <cfRule type="cellIs" dxfId="1118" priority="116" stopIfTrue="1" operator="equal">
      <formula>"C"</formula>
    </cfRule>
    <cfRule type="cellIs" dxfId="1117" priority="117" stopIfTrue="1" operator="equal">
      <formula>"B"</formula>
    </cfRule>
  </conditionalFormatting>
  <conditionalFormatting sqref="E300:E305 G300:H305">
    <cfRule type="cellIs" dxfId="1116" priority="110" stopIfTrue="1" operator="equal">
      <formula>"KXL"</formula>
    </cfRule>
    <cfRule type="cellIs" dxfId="1115" priority="111" stopIfTrue="1" operator="equal">
      <formula>"A DN"</formula>
    </cfRule>
    <cfRule type="cellIs" dxfId="1114" priority="112" stopIfTrue="1" operator="equal">
      <formula>"C"</formula>
    </cfRule>
    <cfRule type="cellIs" dxfId="1113" priority="113" stopIfTrue="1" operator="equal">
      <formula>"B"</formula>
    </cfRule>
  </conditionalFormatting>
  <conditionalFormatting sqref="E313 G313:H313">
    <cfRule type="cellIs" dxfId="1112" priority="106" stopIfTrue="1" operator="equal">
      <formula>"KXL"</formula>
    </cfRule>
    <cfRule type="cellIs" dxfId="1111" priority="107" stopIfTrue="1" operator="equal">
      <formula>"A DN"</formula>
    </cfRule>
    <cfRule type="cellIs" dxfId="1110" priority="108" stopIfTrue="1" operator="equal">
      <formula>"C"</formula>
    </cfRule>
    <cfRule type="cellIs" dxfId="1109" priority="109" stopIfTrue="1" operator="equal">
      <formula>"B"</formula>
    </cfRule>
  </conditionalFormatting>
  <conditionalFormatting sqref="E322 G322:H322">
    <cfRule type="cellIs" dxfId="1108" priority="102" stopIfTrue="1" operator="equal">
      <formula>"KXL"</formula>
    </cfRule>
    <cfRule type="cellIs" dxfId="1107" priority="103" stopIfTrue="1" operator="equal">
      <formula>"A DN"</formula>
    </cfRule>
    <cfRule type="cellIs" dxfId="1106" priority="104" stopIfTrue="1" operator="equal">
      <formula>"C"</formula>
    </cfRule>
    <cfRule type="cellIs" dxfId="1105" priority="105" stopIfTrue="1" operator="equal">
      <formula>"B"</formula>
    </cfRule>
  </conditionalFormatting>
  <conditionalFormatting sqref="E324:E326 G324:H326">
    <cfRule type="cellIs" dxfId="1104" priority="98" stopIfTrue="1" operator="equal">
      <formula>"KXL"</formula>
    </cfRule>
    <cfRule type="cellIs" dxfId="1103" priority="99" stopIfTrue="1" operator="equal">
      <formula>"A DN"</formula>
    </cfRule>
    <cfRule type="cellIs" dxfId="1102" priority="100" stopIfTrue="1" operator="equal">
      <formula>"C"</formula>
    </cfRule>
    <cfRule type="cellIs" dxfId="1101" priority="101" stopIfTrue="1" operator="equal">
      <formula>"B"</formula>
    </cfRule>
  </conditionalFormatting>
  <conditionalFormatting sqref="E333 G333:H333">
    <cfRule type="cellIs" dxfId="1100" priority="94" stopIfTrue="1" operator="equal">
      <formula>"KXL"</formula>
    </cfRule>
    <cfRule type="cellIs" dxfId="1099" priority="95" stopIfTrue="1" operator="equal">
      <formula>"A DN"</formula>
    </cfRule>
    <cfRule type="cellIs" dxfId="1098" priority="96" stopIfTrue="1" operator="equal">
      <formula>"C"</formula>
    </cfRule>
    <cfRule type="cellIs" dxfId="1097" priority="97" stopIfTrue="1" operator="equal">
      <formula>"B"</formula>
    </cfRule>
  </conditionalFormatting>
  <conditionalFormatting sqref="E335 G335:H335">
    <cfRule type="cellIs" dxfId="1096" priority="90" stopIfTrue="1" operator="equal">
      <formula>"KXL"</formula>
    </cfRule>
    <cfRule type="cellIs" dxfId="1095" priority="91" stopIfTrue="1" operator="equal">
      <formula>"A DN"</formula>
    </cfRule>
    <cfRule type="cellIs" dxfId="1094" priority="92" stopIfTrue="1" operator="equal">
      <formula>"C"</formula>
    </cfRule>
    <cfRule type="cellIs" dxfId="1093" priority="93" stopIfTrue="1" operator="equal">
      <formula>"B"</formula>
    </cfRule>
  </conditionalFormatting>
  <conditionalFormatting sqref="I305">
    <cfRule type="cellIs" dxfId="1092" priority="82" stopIfTrue="1" operator="equal">
      <formula>"KXL"</formula>
    </cfRule>
    <cfRule type="cellIs" dxfId="1091" priority="83" stopIfTrue="1" operator="equal">
      <formula>"A DN"</formula>
    </cfRule>
    <cfRule type="cellIs" dxfId="1090" priority="84" stopIfTrue="1" operator="equal">
      <formula>"C"</formula>
    </cfRule>
    <cfRule type="cellIs" dxfId="1089" priority="85" stopIfTrue="1" operator="equal">
      <formula>"B"</formula>
    </cfRule>
  </conditionalFormatting>
  <conditionalFormatting sqref="L320:L335">
    <cfRule type="cellIs" dxfId="1088" priority="135" operator="equal">
      <formula>"A DN"</formula>
    </cfRule>
    <cfRule type="cellIs" dxfId="1087" priority="136" operator="equal">
      <formula>"D"</formula>
    </cfRule>
    <cfRule type="cellIs" dxfId="1086" priority="137" operator="equal">
      <formula>"C2"</formula>
    </cfRule>
    <cfRule type="cellIs" dxfId="1085" priority="138" operator="equal">
      <formula>"C1"</formula>
    </cfRule>
    <cfRule type="cellIs" dxfId="1084" priority="139" operator="equal">
      <formula>"C"</formula>
    </cfRule>
    <cfRule type="cellIs" dxfId="1083" priority="140" operator="equal">
      <formula>"B2"</formula>
    </cfRule>
    <cfRule type="cellIs" dxfId="1082" priority="141" operator="equal">
      <formula>"B1"</formula>
    </cfRule>
    <cfRule type="cellIs" dxfId="1081" priority="142" operator="equal">
      <formula>"B"</formula>
    </cfRule>
    <cfRule type="cellIs" dxfId="1080" priority="143" operator="equal">
      <formula>"B1"</formula>
    </cfRule>
    <cfRule type="cellIs" dxfId="1079" priority="144" operator="greaterThan">
      <formula>B</formula>
    </cfRule>
  </conditionalFormatting>
  <conditionalFormatting sqref="L343:L345 L305:L333">
    <cfRule type="cellIs" dxfId="1078" priority="147" operator="equal">
      <formula>"A DN"</formula>
    </cfRule>
    <cfRule type="cellIs" dxfId="1077" priority="148" operator="equal">
      <formula>"D"</formula>
    </cfRule>
    <cfRule type="cellIs" dxfId="1076" priority="149" operator="equal">
      <formula>"C2"</formula>
    </cfRule>
    <cfRule type="cellIs" dxfId="1075" priority="150" operator="equal">
      <formula>"C1"</formula>
    </cfRule>
    <cfRule type="cellIs" dxfId="1074" priority="151" operator="equal">
      <formula>"C"</formula>
    </cfRule>
    <cfRule type="cellIs" dxfId="1073" priority="152" operator="equal">
      <formula>"B2"</formula>
    </cfRule>
    <cfRule type="cellIs" dxfId="1072" priority="153" operator="equal">
      <formula>"B1"</formula>
    </cfRule>
    <cfRule type="cellIs" dxfId="1071" priority="154" operator="equal">
      <formula>"B"</formula>
    </cfRule>
    <cfRule type="cellIs" dxfId="1070" priority="155" operator="equal">
      <formula>"B1"</formula>
    </cfRule>
    <cfRule type="cellIs" dxfId="1069" priority="156" operator="greaterThan">
      <formula>B</formula>
    </cfRule>
  </conditionalFormatting>
  <conditionalFormatting sqref="L346:L352 L300:L343">
    <cfRule type="cellIs" dxfId="1068" priority="159" operator="equal">
      <formula>"A DN"</formula>
    </cfRule>
    <cfRule type="cellIs" dxfId="1067" priority="160" operator="equal">
      <formula>"D"</formula>
    </cfRule>
    <cfRule type="cellIs" dxfId="1066" priority="161" operator="equal">
      <formula>"C2"</formula>
    </cfRule>
    <cfRule type="cellIs" dxfId="1065" priority="162" operator="equal">
      <formula>"C1"</formula>
    </cfRule>
    <cfRule type="cellIs" dxfId="1064" priority="163" operator="equal">
      <formula>"C"</formula>
    </cfRule>
    <cfRule type="cellIs" dxfId="1063" priority="164" operator="equal">
      <formula>"B2"</formula>
    </cfRule>
    <cfRule type="cellIs" dxfId="1062" priority="165" operator="equal">
      <formula>"B1"</formula>
    </cfRule>
    <cfRule type="cellIs" dxfId="1061" priority="166" operator="equal">
      <formula>"B"</formula>
    </cfRule>
    <cfRule type="cellIs" dxfId="1060" priority="167" operator="equal">
      <formula>"B1"</formula>
    </cfRule>
    <cfRule type="cellIs" dxfId="1059" priority="168" operator="greaterThan">
      <formula>B</formula>
    </cfRule>
  </conditionalFormatting>
  <conditionalFormatting sqref="L319:L352">
    <cfRule type="cellIs" dxfId="1058" priority="171" operator="equal">
      <formula>"A DN"</formula>
    </cfRule>
    <cfRule type="cellIs" dxfId="1057" priority="172" operator="equal">
      <formula>"D"</formula>
    </cfRule>
    <cfRule type="cellIs" dxfId="1056" priority="173" operator="equal">
      <formula>"C2"</formula>
    </cfRule>
    <cfRule type="cellIs" dxfId="1055" priority="174" operator="equal">
      <formula>"C1"</formula>
    </cfRule>
    <cfRule type="cellIs" dxfId="1054" priority="175" operator="equal">
      <formula>"C"</formula>
    </cfRule>
    <cfRule type="cellIs" dxfId="1053" priority="176" operator="equal">
      <formula>"B2"</formula>
    </cfRule>
    <cfRule type="cellIs" dxfId="1052" priority="177" operator="equal">
      <formula>"B1"</formula>
    </cfRule>
    <cfRule type="cellIs" dxfId="1051" priority="178" operator="equal">
      <formula>"B"</formula>
    </cfRule>
    <cfRule type="cellIs" dxfId="1050" priority="179" operator="equal">
      <formula>"B1"</formula>
    </cfRule>
    <cfRule type="cellIs" dxfId="1049" priority="180" operator="greaterThan">
      <formula>B</formula>
    </cfRule>
  </conditionalFormatting>
  <conditionalFormatting sqref="L346:L352 L319">
    <cfRule type="cellIs" dxfId="1048" priority="183" operator="equal">
      <formula>"A DN"</formula>
    </cfRule>
    <cfRule type="cellIs" dxfId="1047" priority="184" operator="equal">
      <formula>"D"</formula>
    </cfRule>
    <cfRule type="cellIs" dxfId="1046" priority="185" operator="equal">
      <formula>"C2"</formula>
    </cfRule>
    <cfRule type="cellIs" dxfId="1045" priority="186" operator="equal">
      <formula>"C1"</formula>
    </cfRule>
    <cfRule type="cellIs" dxfId="1044" priority="187" operator="equal">
      <formula>"C"</formula>
    </cfRule>
    <cfRule type="cellIs" dxfId="1043" priority="188" operator="equal">
      <formula>"B2"</formula>
    </cfRule>
    <cfRule type="cellIs" dxfId="1042" priority="189" operator="equal">
      <formula>"B1"</formula>
    </cfRule>
    <cfRule type="cellIs" dxfId="1041" priority="190" operator="equal">
      <formula>"B"</formula>
    </cfRule>
    <cfRule type="cellIs" dxfId="1040" priority="191" operator="equal">
      <formula>"B1"</formula>
    </cfRule>
    <cfRule type="cellIs" dxfId="1039" priority="192" operator="greaterThan">
      <formula>B</formula>
    </cfRule>
  </conditionalFormatting>
  <conditionalFormatting sqref="L320:L352">
    <cfRule type="cellIs" dxfId="1038" priority="195" operator="equal">
      <formula>"A DN"</formula>
    </cfRule>
    <cfRule type="cellIs" dxfId="1037" priority="196" operator="equal">
      <formula>"D"</formula>
    </cfRule>
    <cfRule type="cellIs" dxfId="1036" priority="197" operator="equal">
      <formula>"C2"</formula>
    </cfRule>
    <cfRule type="cellIs" dxfId="1035" priority="198" operator="equal">
      <formula>"C1"</formula>
    </cfRule>
    <cfRule type="cellIs" dxfId="1034" priority="199" operator="equal">
      <formula>"C"</formula>
    </cfRule>
    <cfRule type="cellIs" dxfId="1033" priority="200" operator="equal">
      <formula>"B2"</formula>
    </cfRule>
    <cfRule type="cellIs" dxfId="1032" priority="201" operator="equal">
      <formula>"B1"</formula>
    </cfRule>
    <cfRule type="cellIs" dxfId="1031" priority="202" operator="equal">
      <formula>"B"</formula>
    </cfRule>
    <cfRule type="cellIs" dxfId="1030" priority="203" operator="equal">
      <formula>"B1"</formula>
    </cfRule>
    <cfRule type="cellIs" dxfId="1029" priority="204" operator="greaterThan">
      <formula>B</formula>
    </cfRule>
  </conditionalFormatting>
  <conditionalFormatting sqref="L289:L319">
    <cfRule type="cellIs" dxfId="1028" priority="207" operator="equal">
      <formula>"A DN"</formula>
    </cfRule>
    <cfRule type="cellIs" dxfId="1027" priority="208" operator="equal">
      <formula>"D"</formula>
    </cfRule>
    <cfRule type="cellIs" dxfId="1026" priority="209" operator="equal">
      <formula>"C2"</formula>
    </cfRule>
    <cfRule type="cellIs" dxfId="1025" priority="210" operator="equal">
      <formula>"C1"</formula>
    </cfRule>
    <cfRule type="cellIs" dxfId="1024" priority="211" operator="equal">
      <formula>"C"</formula>
    </cfRule>
    <cfRule type="cellIs" dxfId="1023" priority="212" operator="equal">
      <formula>"B2"</formula>
    </cfRule>
    <cfRule type="cellIs" dxfId="1022" priority="213" operator="equal">
      <formula>"B1"</formula>
    </cfRule>
    <cfRule type="cellIs" dxfId="1021" priority="214" operator="equal">
      <formula>"B"</formula>
    </cfRule>
    <cfRule type="cellIs" dxfId="1020" priority="215" operator="equal">
      <formula>"B1"</formula>
    </cfRule>
    <cfRule type="cellIs" dxfId="1019" priority="216" operator="greaterThan">
      <formula>B</formula>
    </cfRule>
  </conditionalFormatting>
  <conditionalFormatting sqref="AC11:IY11 A8:XFD9 K10:W11 AC10:XFD10 AA11">
    <cfRule type="cellIs" dxfId="1018" priority="77" stopIfTrue="1" operator="equal">
      <formula>"KXL"</formula>
    </cfRule>
    <cfRule type="cellIs" dxfId="1017" priority="78" stopIfTrue="1" operator="equal">
      <formula>"A DN"</formula>
    </cfRule>
    <cfRule type="cellIs" dxfId="1016" priority="79" stopIfTrue="1" operator="equal">
      <formula>"C"</formula>
    </cfRule>
    <cfRule type="cellIs" dxfId="1015" priority="80" stopIfTrue="1" operator="equal">
      <formula>"B"</formula>
    </cfRule>
  </conditionalFormatting>
  <conditionalFormatting sqref="Z4">
    <cfRule type="cellIs" dxfId="1014" priority="73" stopIfTrue="1" operator="equal">
      <formula>"KXL"</formula>
    </cfRule>
    <cfRule type="cellIs" dxfId="1013" priority="74" stopIfTrue="1" operator="equal">
      <formula>"A DN"</formula>
    </cfRule>
    <cfRule type="cellIs" dxfId="1012" priority="75" stopIfTrue="1" operator="equal">
      <formula>"C"</formula>
    </cfRule>
    <cfRule type="cellIs" dxfId="1011" priority="76" stopIfTrue="1" operator="equal">
      <formula>"B"</formula>
    </cfRule>
  </conditionalFormatting>
  <conditionalFormatting sqref="AG1:IW7">
    <cfRule type="cellIs" dxfId="1010" priority="65" stopIfTrue="1" operator="equal">
      <formula>"KXL"</formula>
    </cfRule>
    <cfRule type="cellIs" dxfId="1009" priority="66" stopIfTrue="1" operator="equal">
      <formula>"A DN"</formula>
    </cfRule>
    <cfRule type="cellIs" dxfId="1008" priority="67" stopIfTrue="1" operator="equal">
      <formula>"C"</formula>
    </cfRule>
    <cfRule type="cellIs" dxfId="1007" priority="68" stopIfTrue="1" operator="equal">
      <formula>"B"</formula>
    </cfRule>
  </conditionalFormatting>
  <conditionalFormatting sqref="Z5">
    <cfRule type="cellIs" dxfId="1006" priority="61" stopIfTrue="1" operator="equal">
      <formula>"KXL"</formula>
    </cfRule>
    <cfRule type="cellIs" dxfId="1005" priority="62" stopIfTrue="1" operator="equal">
      <formula>"A DN"</formula>
    </cfRule>
    <cfRule type="cellIs" dxfId="1004" priority="63" stopIfTrue="1" operator="equal">
      <formula>"C"</formula>
    </cfRule>
    <cfRule type="cellIs" dxfId="1003" priority="64" stopIfTrue="1" operator="equal">
      <formula>"B"</formula>
    </cfRule>
  </conditionalFormatting>
  <conditionalFormatting sqref="A1 O1:U1 K1:M1">
    <cfRule type="cellIs" dxfId="1002" priority="57" stopIfTrue="1" operator="equal">
      <formula>"KXL"</formula>
    </cfRule>
    <cfRule type="cellIs" dxfId="1001" priority="58" stopIfTrue="1" operator="equal">
      <formula>"A DN"</formula>
    </cfRule>
    <cfRule type="cellIs" dxfId="1000" priority="59" stopIfTrue="1" operator="equal">
      <formula>"C"</formula>
    </cfRule>
    <cfRule type="cellIs" dxfId="999" priority="60" stopIfTrue="1" operator="equal">
      <formula>"B"</formula>
    </cfRule>
  </conditionalFormatting>
  <conditionalFormatting sqref="O2:U3 A3:M3 A1:A2 K1:M2 A4:Y4">
    <cfRule type="cellIs" dxfId="998" priority="49" stopIfTrue="1" operator="equal">
      <formula>"KXL"</formula>
    </cfRule>
    <cfRule type="cellIs" dxfId="997" priority="50" stopIfTrue="1" operator="equal">
      <formula>"A DN"</formula>
    </cfRule>
    <cfRule type="cellIs" dxfId="996" priority="51" stopIfTrue="1" operator="equal">
      <formula>"C"</formula>
    </cfRule>
    <cfRule type="cellIs" dxfId="995" priority="52" stopIfTrue="1" operator="equal">
      <formula>"B"</formula>
    </cfRule>
  </conditionalFormatting>
  <conditionalFormatting sqref="A5:Y5 A6:A7">
    <cfRule type="cellIs" dxfId="994" priority="53" stopIfTrue="1" operator="equal">
      <formula>"KXL"</formula>
    </cfRule>
    <cfRule type="cellIs" dxfId="993" priority="54" stopIfTrue="1" operator="equal">
      <formula>"A DN"</formula>
    </cfRule>
    <cfRule type="cellIs" dxfId="992" priority="55" stopIfTrue="1" operator="equal">
      <formula>"C"</formula>
    </cfRule>
    <cfRule type="cellIs" dxfId="991" priority="56" stopIfTrue="1" operator="equal">
      <formula>"B"</formula>
    </cfRule>
  </conditionalFormatting>
  <conditionalFormatting sqref="Z5">
    <cfRule type="cellIs" dxfId="990" priority="45" stopIfTrue="1" operator="equal">
      <formula>"KXL"</formula>
    </cfRule>
    <cfRule type="cellIs" dxfId="989" priority="46" stopIfTrue="1" operator="equal">
      <formula>"A DN"</formula>
    </cfRule>
    <cfRule type="cellIs" dxfId="988" priority="47" stopIfTrue="1" operator="equal">
      <formula>"C"</formula>
    </cfRule>
    <cfRule type="cellIs" dxfId="987" priority="48" stopIfTrue="1" operator="equal">
      <formula>"B"</formula>
    </cfRule>
  </conditionalFormatting>
  <conditionalFormatting sqref="A11:I11 A10:E10 G10:I10">
    <cfRule type="cellIs" dxfId="986" priority="41" stopIfTrue="1" operator="equal">
      <formula>"KXL"</formula>
    </cfRule>
    <cfRule type="cellIs" dxfId="985" priority="42" stopIfTrue="1" operator="equal">
      <formula>"A DN"</formula>
    </cfRule>
    <cfRule type="cellIs" dxfId="984" priority="43" stopIfTrue="1" operator="equal">
      <formula>"C"</formula>
    </cfRule>
    <cfRule type="cellIs" dxfId="983" priority="44" stopIfTrue="1" operator="equal">
      <formula>"B"</formula>
    </cfRule>
  </conditionalFormatting>
  <conditionalFormatting sqref="J10">
    <cfRule type="cellIs" dxfId="982" priority="37" stopIfTrue="1" operator="equal">
      <formula>"KXL"</formula>
    </cfRule>
    <cfRule type="cellIs" dxfId="981" priority="38" stopIfTrue="1" operator="equal">
      <formula>"A DN"</formula>
    </cfRule>
    <cfRule type="cellIs" dxfId="980" priority="39" stopIfTrue="1" operator="equal">
      <formula>"C"</formula>
    </cfRule>
    <cfRule type="cellIs" dxfId="979" priority="40" stopIfTrue="1" operator="equal">
      <formula>"B"</formula>
    </cfRule>
  </conditionalFormatting>
  <conditionalFormatting sqref="J11">
    <cfRule type="cellIs" dxfId="978" priority="33" stopIfTrue="1" operator="equal">
      <formula>"KXL"</formula>
    </cfRule>
    <cfRule type="cellIs" dxfId="977" priority="34" stopIfTrue="1" operator="equal">
      <formula>"A DN"</formula>
    </cfRule>
    <cfRule type="cellIs" dxfId="976" priority="35" stopIfTrue="1" operator="equal">
      <formula>"C"</formula>
    </cfRule>
    <cfRule type="cellIs" dxfId="975" priority="36" stopIfTrue="1" operator="equal">
      <formula>"B"</formula>
    </cfRule>
  </conditionalFormatting>
  <conditionalFormatting sqref="X10:Y11">
    <cfRule type="cellIs" dxfId="974" priority="29" stopIfTrue="1" operator="equal">
      <formula>"KXL"</formula>
    </cfRule>
    <cfRule type="cellIs" dxfId="973" priority="30" stopIfTrue="1" operator="equal">
      <formula>"A DN"</formula>
    </cfRule>
    <cfRule type="cellIs" dxfId="972" priority="31" stopIfTrue="1" operator="equal">
      <formula>"C"</formula>
    </cfRule>
    <cfRule type="cellIs" dxfId="971" priority="32" stopIfTrue="1" operator="equal">
      <formula>"B"</formula>
    </cfRule>
  </conditionalFormatting>
  <conditionalFormatting sqref="X10:Y10">
    <cfRule type="cellIs" dxfId="970" priority="25" stopIfTrue="1" operator="equal">
      <formula>"KXL"</formula>
    </cfRule>
    <cfRule type="cellIs" dxfId="969" priority="26" stopIfTrue="1" operator="equal">
      <formula>"A DN"</formula>
    </cfRule>
    <cfRule type="cellIs" dxfId="968" priority="27" stopIfTrue="1" operator="equal">
      <formula>"C"</formula>
    </cfRule>
    <cfRule type="cellIs" dxfId="967" priority="28" stopIfTrue="1" operator="equal">
      <formula>"B"</formula>
    </cfRule>
  </conditionalFormatting>
  <conditionalFormatting sqref="X11:Y11">
    <cfRule type="cellIs" dxfId="966" priority="21" stopIfTrue="1" operator="equal">
      <formula>"KXL"</formula>
    </cfRule>
    <cfRule type="cellIs" dxfId="965" priority="22" stopIfTrue="1" operator="equal">
      <formula>"A DN"</formula>
    </cfRule>
    <cfRule type="cellIs" dxfId="964" priority="23" stopIfTrue="1" operator="equal">
      <formula>"C"</formula>
    </cfRule>
    <cfRule type="cellIs" dxfId="963" priority="24" stopIfTrue="1" operator="equal">
      <formula>"B"</formula>
    </cfRule>
  </conditionalFormatting>
  <conditionalFormatting sqref="Z10">
    <cfRule type="cellIs" dxfId="962" priority="17" stopIfTrue="1" operator="equal">
      <formula>"KXL"</formula>
    </cfRule>
    <cfRule type="cellIs" dxfId="961" priority="18" stopIfTrue="1" operator="equal">
      <formula>"A DN"</formula>
    </cfRule>
    <cfRule type="cellIs" dxfId="960" priority="19" stopIfTrue="1" operator="equal">
      <formula>"C"</formula>
    </cfRule>
    <cfRule type="cellIs" dxfId="959" priority="20" stopIfTrue="1" operator="equal">
      <formula>"B"</formula>
    </cfRule>
  </conditionalFormatting>
  <conditionalFormatting sqref="AA10:AB10">
    <cfRule type="cellIs" dxfId="958" priority="13" stopIfTrue="1" operator="equal">
      <formula>"KXL"</formula>
    </cfRule>
    <cfRule type="cellIs" dxfId="957" priority="14" stopIfTrue="1" operator="equal">
      <formula>"A DN"</formula>
    </cfRule>
    <cfRule type="cellIs" dxfId="956" priority="15" stopIfTrue="1" operator="equal">
      <formula>"C"</formula>
    </cfRule>
    <cfRule type="cellIs" dxfId="955" priority="16" stopIfTrue="1" operator="equal">
      <formula>"B"</formula>
    </cfRule>
  </conditionalFormatting>
  <conditionalFormatting sqref="AA10">
    <cfRule type="cellIs" dxfId="954" priority="9" stopIfTrue="1" operator="equal">
      <formula>"KXL"</formula>
    </cfRule>
    <cfRule type="cellIs" dxfId="953" priority="10" stopIfTrue="1" operator="equal">
      <formula>"A DN"</formula>
    </cfRule>
    <cfRule type="cellIs" dxfId="952" priority="11" stopIfTrue="1" operator="equal">
      <formula>"C"</formula>
    </cfRule>
    <cfRule type="cellIs" dxfId="951" priority="12" stopIfTrue="1" operator="equal">
      <formula>"B"</formula>
    </cfRule>
  </conditionalFormatting>
  <conditionalFormatting sqref="Z11">
    <cfRule type="cellIs" dxfId="950" priority="5" stopIfTrue="1" operator="equal">
      <formula>"KXL"</formula>
    </cfRule>
    <cfRule type="cellIs" dxfId="949" priority="6" stopIfTrue="1" operator="equal">
      <formula>"A DN"</formula>
    </cfRule>
    <cfRule type="cellIs" dxfId="948" priority="7" stopIfTrue="1" operator="equal">
      <formula>"C"</formula>
    </cfRule>
    <cfRule type="cellIs" dxfId="947" priority="8" stopIfTrue="1" operator="equal">
      <formula>"B"</formula>
    </cfRule>
  </conditionalFormatting>
  <conditionalFormatting sqref="F10">
    <cfRule type="cellIs" dxfId="946" priority="1" stopIfTrue="1" operator="equal">
      <formula>"KXL"</formula>
    </cfRule>
    <cfRule type="cellIs" dxfId="945" priority="2" stopIfTrue="1" operator="equal">
      <formula>"A DN"</formula>
    </cfRule>
    <cfRule type="cellIs" dxfId="944" priority="3" stopIfTrue="1" operator="equal">
      <formula>"C"</formula>
    </cfRule>
    <cfRule type="cellIs" dxfId="943"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'111'!B289</xm:f>
            <x14:dxf>
              <fill>
                <patternFill>
                  <bgColor rgb="FFFFFF00"/>
                </patternFill>
              </fill>
            </x14:dxf>
          </x14:cfRule>
          <x14:cfRule type="cellIs" priority="158" operator="equal" id="{DD59C07E-8162-499C-80AC-6C86F90C23DA}">
            <xm:f>'111'!B289</xm:f>
            <x14:dxf>
              <font>
                <color rgb="FF9C0006"/>
              </font>
            </x14:dxf>
          </x14:cfRule>
          <xm:sqref>L343:L345 L305:L333</xm:sqref>
        </x14:conditionalFormatting>
        <x14:conditionalFormatting xmlns:xm="http://schemas.microsoft.com/office/excel/2006/main">
          <x14:cfRule type="expression" priority="169" id="{C9DBE938-0CF3-45E4-A9D7-F5558805CDFA}">
            <xm:f>'111'!B285</xm:f>
            <x14:dxf>
              <fill>
                <patternFill>
                  <bgColor rgb="FFFFFF00"/>
                </patternFill>
              </fill>
            </x14:dxf>
          </x14:cfRule>
          <x14:cfRule type="cellIs" priority="170" operator="equal" id="{924C8BDF-74E8-4E5B-9F6E-72CEE8294C49}">
            <xm:f>'111'!B285</xm:f>
            <x14:dxf>
              <font>
                <color rgb="FF9C0006"/>
              </font>
            </x14:dxf>
          </x14:cfRule>
          <xm:sqref>L346:L352 L300:L343</xm:sqref>
        </x14:conditionalFormatting>
        <x14:conditionalFormatting xmlns:xm="http://schemas.microsoft.com/office/excel/2006/main">
          <x14:cfRule type="expression" priority="181" id="{ED7A6F9D-1146-4B13-B450-6B8F0EA023DF}">
            <xm:f>'111'!B306</xm:f>
            <x14:dxf>
              <fill>
                <patternFill>
                  <bgColor rgb="FFFFFF00"/>
                </patternFill>
              </fill>
            </x14:dxf>
          </x14:cfRule>
          <x14:cfRule type="cellIs" priority="182" operator="equal" id="{B4E53D93-719B-4BBC-8D3D-388934B883FB}">
            <xm:f>'111'!B306</xm:f>
            <x14:dxf>
              <font>
                <color rgb="FF9C0006"/>
              </font>
            </x14:dxf>
          </x14:cfRule>
          <xm:sqref>L319:L352</xm:sqref>
        </x14:conditionalFormatting>
        <x14:conditionalFormatting xmlns:xm="http://schemas.microsoft.com/office/excel/2006/main">
          <x14:cfRule type="expression" priority="193" id="{B3B760B9-FFDB-4362-99AB-81F2719FBF4C}">
            <xm:f>'111'!B302</xm:f>
            <x14:dxf>
              <fill>
                <patternFill>
                  <bgColor rgb="FFFFFF00"/>
                </patternFill>
              </fill>
            </x14:dxf>
          </x14:cfRule>
          <x14:cfRule type="cellIs" priority="194" operator="equal" id="{079893E6-05C5-4C39-9123-74BB2C985AEF}">
            <xm:f>'111'!B302</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'111'!B278</xm:f>
            <x14:dxf>
              <fill>
                <patternFill>
                  <bgColor rgb="FFFFFF00"/>
                </patternFill>
              </fill>
            </x14:dxf>
          </x14:cfRule>
          <x14:cfRule type="cellIs" priority="218" operator="equal" id="{8CF92ACC-F9BC-4328-B426-13CEFEB5A1B8}">
            <xm:f>'111'!B278</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14"/>
  <sheetViews>
    <sheetView zoomScale="120" zoomScaleNormal="120" workbookViewId="0">
      <selection activeCell="A6" sqref="A6:U6"/>
    </sheetView>
  </sheetViews>
  <sheetFormatPr defaultRowHeight="15"/>
  <cols>
    <col min="1" max="1" width="5.5703125" style="1272" customWidth="1"/>
    <col min="2" max="2" width="23.140625" style="1272" customWidth="1"/>
    <col min="3" max="3" width="17.7109375" style="1272" hidden="1" customWidth="1"/>
    <col min="4" max="4" width="16" style="1120" hidden="1" customWidth="1"/>
    <col min="5" max="5" width="19.42578125" style="1120" customWidth="1"/>
    <col min="6" max="11" width="8.140625" style="1272" hidden="1" customWidth="1"/>
    <col min="12" max="14" width="8.85546875" style="1272" hidden="1" customWidth="1"/>
    <col min="15" max="15" width="10.5703125" style="1272" hidden="1" customWidth="1"/>
    <col min="16" max="16" width="17.140625" style="1272" hidden="1" customWidth="1"/>
    <col min="17" max="17" width="11.5703125" style="1272" customWidth="1"/>
    <col min="18" max="18" width="14.140625" style="1272" customWidth="1"/>
    <col min="19" max="19" width="18.140625" style="1272" customWidth="1"/>
    <col min="20" max="20" width="3.85546875" style="1272" customWidth="1"/>
    <col min="21" max="21" width="18.57031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03" t="s">
        <v>492</v>
      </c>
      <c r="B1" s="1703"/>
      <c r="C1" s="1703"/>
      <c r="D1" s="1703"/>
      <c r="E1" s="1703"/>
      <c r="F1" s="1703"/>
      <c r="G1" s="1703"/>
      <c r="H1" s="1120"/>
      <c r="I1" s="1120"/>
      <c r="J1" s="1704" t="s">
        <v>849</v>
      </c>
      <c r="K1" s="1704"/>
      <c r="L1" s="1704"/>
      <c r="M1" s="1704"/>
      <c r="N1" s="1704"/>
      <c r="O1" s="1704"/>
      <c r="P1" s="1704"/>
      <c r="Q1" s="1704"/>
      <c r="R1" s="1704"/>
      <c r="S1" s="1704"/>
      <c r="T1" s="1704"/>
      <c r="U1" s="1704"/>
    </row>
    <row r="2" spans="1:36" ht="15" customHeight="1">
      <c r="A2" s="1704" t="s">
        <v>1563</v>
      </c>
      <c r="B2" s="1704"/>
      <c r="C2" s="1704"/>
      <c r="D2" s="1704"/>
      <c r="E2" s="1704"/>
      <c r="F2" s="1704"/>
      <c r="G2" s="1704"/>
      <c r="H2" s="1121"/>
      <c r="I2" s="1121"/>
      <c r="J2" s="1704" t="s">
        <v>2179</v>
      </c>
      <c r="K2" s="1704"/>
      <c r="L2" s="1704"/>
      <c r="M2" s="1704"/>
      <c r="N2" s="1704"/>
      <c r="O2" s="1704"/>
      <c r="P2" s="1704"/>
      <c r="Q2" s="1704"/>
      <c r="R2" s="1704"/>
      <c r="S2" s="1704"/>
      <c r="T2" s="1704"/>
      <c r="U2" s="1704"/>
    </row>
    <row r="3" spans="1:36" ht="16.5" customHeight="1">
      <c r="A3" s="1704" t="s">
        <v>1564</v>
      </c>
      <c r="B3" s="1704"/>
      <c r="C3" s="1704"/>
      <c r="D3" s="1704"/>
      <c r="E3" s="1704"/>
      <c r="F3" s="1704"/>
      <c r="G3" s="1704"/>
      <c r="H3" s="1121"/>
      <c r="I3" s="1121"/>
      <c r="J3" s="1121"/>
      <c r="K3" s="1121"/>
      <c r="L3" s="1589"/>
      <c r="M3" s="1589"/>
      <c r="N3" s="1589"/>
      <c r="O3" s="1589"/>
      <c r="P3" s="1388"/>
      <c r="Q3" s="1388"/>
      <c r="R3" s="1388"/>
      <c r="S3" s="1388"/>
      <c r="T3" s="1120"/>
    </row>
    <row r="4" spans="1:36" ht="9" customHeight="1">
      <c r="A4" s="1389"/>
      <c r="B4" s="1389"/>
      <c r="C4" s="1389"/>
      <c r="D4" s="1389"/>
      <c r="E4" s="1389"/>
      <c r="F4" s="1389"/>
      <c r="G4" s="1389"/>
      <c r="H4" s="1389"/>
      <c r="I4" s="1389"/>
      <c r="J4" s="1389"/>
      <c r="K4" s="1389"/>
      <c r="L4" s="1589"/>
      <c r="M4" s="1589"/>
      <c r="N4" s="1589"/>
      <c r="O4" s="1589"/>
      <c r="P4" s="1388"/>
      <c r="Q4" s="1388"/>
      <c r="R4" s="1388"/>
      <c r="S4" s="1388"/>
      <c r="T4" s="1120"/>
    </row>
    <row r="5" spans="1:36" ht="18.75" customHeight="1">
      <c r="A5" s="1690" t="s">
        <v>2183</v>
      </c>
      <c r="B5" s="1690"/>
      <c r="C5" s="1690"/>
      <c r="D5" s="1690"/>
      <c r="E5" s="1690"/>
      <c r="F5" s="1690"/>
      <c r="G5" s="1690"/>
      <c r="H5" s="1690"/>
      <c r="I5" s="1690"/>
      <c r="J5" s="1690"/>
      <c r="K5" s="1690"/>
      <c r="L5" s="1690"/>
      <c r="M5" s="1690"/>
      <c r="N5" s="1690"/>
      <c r="O5" s="1690"/>
      <c r="P5" s="1690"/>
      <c r="Q5" s="1690"/>
      <c r="R5" s="1690"/>
      <c r="S5" s="1690"/>
      <c r="T5" s="1690"/>
      <c r="U5" s="1690"/>
      <c r="V5" s="733"/>
      <c r="W5" s="733"/>
      <c r="X5" s="733"/>
      <c r="Y5" s="733"/>
      <c r="Z5" s="733"/>
      <c r="AA5" s="733"/>
      <c r="AB5" s="733"/>
      <c r="AC5" s="733"/>
      <c r="AD5" s="733"/>
      <c r="AE5" s="733"/>
      <c r="AF5" s="733"/>
      <c r="AG5" s="733"/>
      <c r="AH5" s="733"/>
      <c r="AI5" s="733"/>
      <c r="AJ5" s="733"/>
    </row>
    <row r="6" spans="1:36" ht="18.75" customHeight="1">
      <c r="A6" s="1706" t="s">
        <v>2402</v>
      </c>
      <c r="B6" s="1706"/>
      <c r="C6" s="1706"/>
      <c r="D6" s="1706"/>
      <c r="E6" s="1706"/>
      <c r="F6" s="1706"/>
      <c r="G6" s="1706"/>
      <c r="H6" s="1706"/>
      <c r="I6" s="1706"/>
      <c r="J6" s="1706"/>
      <c r="K6" s="1706"/>
      <c r="L6" s="1706"/>
      <c r="M6" s="1706"/>
      <c r="N6" s="1706"/>
      <c r="O6" s="1706"/>
      <c r="P6" s="1706"/>
      <c r="Q6" s="1706"/>
      <c r="R6" s="1706"/>
      <c r="S6" s="1706"/>
      <c r="T6" s="1706"/>
      <c r="U6" s="1706"/>
    </row>
    <row r="7" spans="1:36" ht="36.75" hidden="1" customHeight="1">
      <c r="A7" s="1707" t="s">
        <v>2261</v>
      </c>
      <c r="B7" s="1707"/>
      <c r="C7" s="1707"/>
      <c r="D7" s="1707"/>
      <c r="E7" s="1707"/>
      <c r="F7" s="1707"/>
      <c r="G7" s="1707"/>
      <c r="H7" s="1707"/>
      <c r="I7" s="1707"/>
      <c r="J7" s="1707"/>
      <c r="K7" s="1707"/>
      <c r="L7" s="1707"/>
      <c r="M7" s="1707"/>
      <c r="N7" s="1707"/>
      <c r="O7" s="1707"/>
      <c r="P7" s="1707"/>
      <c r="Q7" s="1707"/>
      <c r="R7" s="1707"/>
      <c r="S7" s="1707"/>
      <c r="T7" s="1707"/>
      <c r="U7" s="1707"/>
    </row>
    <row r="8" spans="1:36" s="1120" customFormat="1" ht="16.5" hidden="1" customHeight="1">
      <c r="A8" s="1119"/>
      <c r="C8" s="1121"/>
      <c r="D8" s="1121"/>
      <c r="E8" s="1121"/>
      <c r="F8" s="1589"/>
      <c r="G8" s="1589"/>
      <c r="H8" s="1589"/>
      <c r="I8" s="1589"/>
      <c r="J8" s="1589"/>
      <c r="K8" s="1589"/>
      <c r="L8" s="1708"/>
      <c r="M8" s="1708"/>
      <c r="N8" s="1708"/>
      <c r="O8" s="1708"/>
      <c r="P8" s="1588" t="s">
        <v>1181</v>
      </c>
      <c r="Q8" s="1588"/>
      <c r="R8" s="1588"/>
      <c r="S8" s="1588"/>
      <c r="T8" s="1589"/>
      <c r="U8" s="1124"/>
      <c r="V8" s="1125"/>
      <c r="W8" s="1126"/>
      <c r="Y8" s="1127"/>
    </row>
    <row r="9" spans="1:36" ht="17.25" customHeight="1">
      <c r="A9" s="1124"/>
      <c r="B9" s="1119"/>
      <c r="C9" s="1119"/>
      <c r="D9" s="1121"/>
      <c r="E9" s="1121"/>
      <c r="F9" s="1124"/>
      <c r="G9" s="1124"/>
      <c r="H9" s="1124"/>
      <c r="I9" s="1124"/>
      <c r="J9" s="1709"/>
      <c r="K9" s="1709"/>
      <c r="L9" s="1124"/>
      <c r="M9" s="1124"/>
      <c r="N9" s="1124"/>
      <c r="O9" s="1404" t="s">
        <v>2371</v>
      </c>
      <c r="P9" s="1464">
        <v>2340000</v>
      </c>
      <c r="Q9" s="1269"/>
      <c r="R9" s="1269"/>
      <c r="S9" s="1269"/>
      <c r="T9" s="1124"/>
      <c r="U9" s="1124" t="s">
        <v>2403</v>
      </c>
    </row>
    <row r="10" spans="1:36" s="1384" customFormat="1" ht="18.75" customHeight="1">
      <c r="A10" s="1710" t="s">
        <v>853</v>
      </c>
      <c r="B10" s="1710" t="s">
        <v>854</v>
      </c>
      <c r="C10" s="1380" t="s">
        <v>1598</v>
      </c>
      <c r="D10" s="1381" t="s">
        <v>50</v>
      </c>
      <c r="E10" s="1710" t="s">
        <v>2176</v>
      </c>
      <c r="F10" s="1712" t="s">
        <v>2264</v>
      </c>
      <c r="G10" s="1713"/>
      <c r="H10" s="1713"/>
      <c r="I10" s="1714"/>
      <c r="J10" s="1713" t="s">
        <v>860</v>
      </c>
      <c r="K10" s="1714"/>
      <c r="L10" s="1712" t="s">
        <v>2387</v>
      </c>
      <c r="M10" s="1713"/>
      <c r="N10" s="1714"/>
      <c r="O10" s="1710" t="s">
        <v>2269</v>
      </c>
      <c r="P10" s="1710" t="s">
        <v>1100</v>
      </c>
      <c r="Q10" s="1710" t="s">
        <v>2399</v>
      </c>
      <c r="R10" s="1710" t="s">
        <v>2400</v>
      </c>
      <c r="S10" s="1710" t="s">
        <v>1100</v>
      </c>
      <c r="T10" s="1719" t="s">
        <v>40</v>
      </c>
      <c r="U10" s="1720"/>
      <c r="V10" s="1383"/>
      <c r="Y10" s="1385"/>
    </row>
    <row r="11" spans="1:36" s="1384" customFormat="1" ht="7.5" customHeight="1">
      <c r="A11" s="1711"/>
      <c r="B11" s="1711"/>
      <c r="C11" s="1380"/>
      <c r="D11" s="1381"/>
      <c r="E11" s="1711"/>
      <c r="F11" s="1584" t="s">
        <v>2356</v>
      </c>
      <c r="G11" s="1583" t="s">
        <v>2357</v>
      </c>
      <c r="H11" s="1583" t="s">
        <v>2262</v>
      </c>
      <c r="I11" s="1584" t="s">
        <v>2358</v>
      </c>
      <c r="J11" s="1584" t="s">
        <v>2270</v>
      </c>
      <c r="K11" s="1584" t="s">
        <v>2271</v>
      </c>
      <c r="L11" s="1576" t="s">
        <v>2388</v>
      </c>
      <c r="M11" s="1576"/>
      <c r="N11" s="1576" t="s">
        <v>2389</v>
      </c>
      <c r="O11" s="1711"/>
      <c r="P11" s="1711"/>
      <c r="Q11" s="1718"/>
      <c r="R11" s="1718"/>
      <c r="S11" s="1718"/>
      <c r="T11" s="1721"/>
      <c r="U11" s="1722"/>
      <c r="V11" s="1383"/>
      <c r="Y11" s="1385"/>
    </row>
    <row r="12" spans="1:36" s="1130" customFormat="1" ht="15" customHeight="1">
      <c r="A12" s="1128" t="s">
        <v>1110</v>
      </c>
      <c r="B12" s="1128" t="s">
        <v>1111</v>
      </c>
      <c r="C12" s="1128" t="s">
        <v>1112</v>
      </c>
      <c r="D12" s="1128" t="s">
        <v>1113</v>
      </c>
      <c r="E12" s="1128"/>
      <c r="F12" s="1128" t="s">
        <v>1122</v>
      </c>
      <c r="G12" s="1128" t="s">
        <v>1123</v>
      </c>
      <c r="H12" s="1128" t="s">
        <v>1124</v>
      </c>
      <c r="I12" s="1128" t="s">
        <v>1125</v>
      </c>
      <c r="J12" s="1128" t="s">
        <v>1133</v>
      </c>
      <c r="K12" s="1128" t="s">
        <v>1142</v>
      </c>
      <c r="L12" s="1128" t="s">
        <v>1143</v>
      </c>
      <c r="M12" s="1128"/>
      <c r="N12" s="1128"/>
      <c r="O12" s="1128" t="s">
        <v>1146</v>
      </c>
      <c r="P12" s="1128" t="s">
        <v>1147</v>
      </c>
      <c r="Q12" s="1585"/>
      <c r="R12" s="1585"/>
      <c r="S12" s="1585"/>
      <c r="T12" s="1723">
        <v>28</v>
      </c>
      <c r="U12" s="1724"/>
      <c r="V12" s="1129"/>
      <c r="Y12" s="1131"/>
    </row>
    <row r="13" spans="1:36" s="1148" customFormat="1" ht="24.75" customHeight="1">
      <c r="A13" s="1132">
        <f>_xlfn.AGGREGATE(4,7,A$12:A12)+1</f>
        <v>1</v>
      </c>
      <c r="B13" s="1509" t="s">
        <v>1433</v>
      </c>
      <c r="C13" s="1134" t="s">
        <v>1613</v>
      </c>
      <c r="D13" s="1135" t="s">
        <v>1435</v>
      </c>
      <c r="E13" s="1056" t="str">
        <f>VLOOKUP(B13,TH.Q2!B18:E349,4,FALSE)</f>
        <v>Hiệu trưởng</v>
      </c>
      <c r="F13" s="1343">
        <v>5.76</v>
      </c>
      <c r="G13" s="1341">
        <v>0</v>
      </c>
      <c r="H13" s="1391">
        <f>ROUND(F13*G13,3)</f>
        <v>0</v>
      </c>
      <c r="I13" s="1138">
        <v>0</v>
      </c>
      <c r="J13" s="1138" t="str">
        <f>VLOOKUP(B13,'[15]Gui chi Quynh'!$B$11:$E$396,4,FALSE)</f>
        <v>A1</v>
      </c>
      <c r="K13" s="1138">
        <f>IF(J13="A1",0.8,IF(J13="A2",0.7,IF(J13="A3",0.6,IF(J13="A4",0.5,IF(J13="B1",0.35,IF(J13="B2",0.25,IF(J13="C1",0.15,IF(J13="C2",0.1,0))))))))</f>
        <v>0.8</v>
      </c>
      <c r="L13" s="1139">
        <v>23</v>
      </c>
      <c r="M13" s="1139">
        <f>VLOOKUP(B13,'[16]CN BC'!$H$10:$J$275,3,FALSE)</f>
        <v>28</v>
      </c>
      <c r="N13" s="1139">
        <f>IF(M13&gt;=L13,L13,IF(M13&lt;L13,M13))</f>
        <v>23</v>
      </c>
      <c r="O13" s="1140"/>
      <c r="P13" s="1141">
        <f t="shared" ref="P13:P76" si="0">(((F13+H13+I13)*$P$9/L13*N13)*K13)+O13</f>
        <v>10782720</v>
      </c>
      <c r="Q13" s="1518">
        <f>P13/R13</f>
        <v>4.6079999999999997</v>
      </c>
      <c r="R13" s="1606">
        <v>2340000</v>
      </c>
      <c r="S13" s="1618">
        <f>Q13*R13</f>
        <v>10782720</v>
      </c>
      <c r="T13" s="1142">
        <f t="shared" ref="T13:T76" si="1">A13</f>
        <v>1</v>
      </c>
      <c r="U13" s="1143">
        <f>IFERROR(INDEX('[16]CN BC'!$M$10:$M$276,MATCH(B13,'[16]CN BC'!$H$10:$H$276,0)),"")</f>
        <v>0</v>
      </c>
      <c r="V13" s="1144" t="str">
        <f>VLOOKUP(B13,TH.T4!B21:AC350,28,FALSE)</f>
        <v>BGH</v>
      </c>
      <c r="W13" s="1145"/>
      <c r="X13" s="1705" t="str">
        <f>CONCATENATE(U25," và ",V25)</f>
        <v>0 và TCHC</v>
      </c>
      <c r="Y13" s="1705"/>
      <c r="Z13" s="1146"/>
      <c r="AA13" s="1146"/>
      <c r="AB13" s="1146"/>
      <c r="AC13" s="1146"/>
      <c r="AD13" s="1146"/>
      <c r="AE13" s="1146"/>
      <c r="AF13" s="1146"/>
      <c r="AG13" s="1146"/>
      <c r="AH13" s="1146"/>
      <c r="AI13" s="1146"/>
    </row>
    <row r="14" spans="1:36" s="1148" customFormat="1" ht="27.75" customHeight="1">
      <c r="A14" s="1132">
        <f>_xlfn.AGGREGATE(4,7,A$12:A13)+1</f>
        <v>2</v>
      </c>
      <c r="B14" s="1133" t="s">
        <v>1447</v>
      </c>
      <c r="C14" s="1149" t="s">
        <v>1614</v>
      </c>
      <c r="D14" s="1150" t="s">
        <v>1442</v>
      </c>
      <c r="E14" s="1058" t="str">
        <f>VLOOKUP(B14,TH.Q2!B19:E350,4,FALSE)</f>
        <v>Phó Hiệu trưởng</v>
      </c>
      <c r="F14" s="1136">
        <v>4.9800000000000004</v>
      </c>
      <c r="G14" s="1137">
        <v>7.0000000000000007E-2</v>
      </c>
      <c r="H14" s="1393">
        <f t="shared" ref="H14:H77" si="2">ROUND(F14*G14,3)</f>
        <v>0.34899999999999998</v>
      </c>
      <c r="I14" s="1138">
        <v>0.9</v>
      </c>
      <c r="J14" s="1138" t="str">
        <f>VLOOKUP(B14,'[15]Gui chi Quynh'!$B$11:$E$396,4,FALSE)</f>
        <v>A1</v>
      </c>
      <c r="K14" s="1138">
        <f t="shared" ref="K14:K77" si="3">IF(J14="A1",0.8,IF(J14="A2",0.7,IF(J14="A3",0.6,IF(J14="A4",0.5,IF(J14="B1",0.35,IF(J14="B2",0.25,IF(J14="C1",0.15,IF(J14="C2",0.1,0))))))))</f>
        <v>0.8</v>
      </c>
      <c r="L14" s="1139">
        <v>23</v>
      </c>
      <c r="M14" s="1139">
        <f>VLOOKUP(B14,'[16]CN BC'!$H$10:$J$275,3,FALSE)</f>
        <v>28</v>
      </c>
      <c r="N14" s="1139">
        <f t="shared" ref="N14:N77" si="4">IF(M14&gt;=L14,L14,IF(M14&lt;L14,M14))</f>
        <v>23</v>
      </c>
      <c r="O14" s="1140"/>
      <c r="P14" s="1141">
        <f t="shared" si="0"/>
        <v>11660688.000000002</v>
      </c>
      <c r="Q14" s="1519">
        <f t="shared" ref="Q14:Q77" si="5">P14/R14</f>
        <v>4.983200000000001</v>
      </c>
      <c r="R14" s="1606">
        <v>2340000</v>
      </c>
      <c r="S14" s="1618">
        <f t="shared" ref="S14:S77" si="6">Q14*R14</f>
        <v>11660688.000000002</v>
      </c>
      <c r="T14" s="1142">
        <f t="shared" si="1"/>
        <v>2</v>
      </c>
      <c r="U14" s="1143">
        <f>IFERROR(INDEX('[16]CN BC'!$M$10:$M$276,MATCH(B14,'[16]CN BC'!$H$10:$H$276,0)),"")</f>
        <v>0</v>
      </c>
      <c r="V14" s="1144" t="str">
        <f>VLOOKUP(B14,TH.T4!B22:AC352,28,FALSE)</f>
        <v>BGH</v>
      </c>
      <c r="W14" s="1151"/>
      <c r="X14" s="1152"/>
      <c r="Y14" s="1147"/>
      <c r="Z14" s="1146"/>
      <c r="AA14" s="1146"/>
      <c r="AB14" s="1146"/>
      <c r="AC14" s="1146"/>
      <c r="AD14" s="1146"/>
      <c r="AE14" s="1146"/>
      <c r="AF14" s="1146"/>
      <c r="AG14" s="1146"/>
      <c r="AH14" s="1146"/>
      <c r="AI14" s="1146"/>
    </row>
    <row r="15" spans="1:36" s="1148" customFormat="1" ht="27" customHeight="1">
      <c r="A15" s="1132">
        <f>_xlfn.AGGREGATE(4,7,A$12:A14)+1</f>
        <v>3</v>
      </c>
      <c r="B15" s="1133" t="s">
        <v>1845</v>
      </c>
      <c r="C15" s="1153" t="s">
        <v>1615</v>
      </c>
      <c r="D15" s="1154" t="s">
        <v>1255</v>
      </c>
      <c r="E15" s="1058" t="str">
        <f>VLOOKUP(B15,TH.Q2!B20:E351,4,FALSE)</f>
        <v>Phó Hiệu trưởng</v>
      </c>
      <c r="F15" s="1136">
        <v>4.9800000000000004</v>
      </c>
      <c r="G15" s="1137">
        <v>0.09</v>
      </c>
      <c r="H15" s="1393">
        <f t="shared" si="2"/>
        <v>0.44800000000000001</v>
      </c>
      <c r="I15" s="1138">
        <v>0.7</v>
      </c>
      <c r="J15" s="1138" t="str">
        <f>VLOOKUP(B15,'[15]Gui chi Quynh'!$B$11:$E$396,4,FALSE)</f>
        <v>A1</v>
      </c>
      <c r="K15" s="1138">
        <f t="shared" si="3"/>
        <v>0.8</v>
      </c>
      <c r="L15" s="1139">
        <v>23</v>
      </c>
      <c r="M15" s="1139">
        <f>VLOOKUP(B15,'[16]CN BC'!$H$10:$J$275,3,FALSE)</f>
        <v>29</v>
      </c>
      <c r="N15" s="1139">
        <f t="shared" si="4"/>
        <v>23</v>
      </c>
      <c r="O15" s="1140"/>
      <c r="P15" s="1141">
        <f t="shared" si="0"/>
        <v>11471616.000000002</v>
      </c>
      <c r="Q15" s="1519">
        <f t="shared" si="5"/>
        <v>4.902400000000001</v>
      </c>
      <c r="R15" s="1606">
        <v>2340000</v>
      </c>
      <c r="S15" s="1618">
        <f t="shared" si="6"/>
        <v>11471616.000000002</v>
      </c>
      <c r="T15" s="1142">
        <f t="shared" si="1"/>
        <v>3</v>
      </c>
      <c r="U15" s="1143">
        <f>IFERROR(INDEX('[16]CN BC'!$M$10:$M$276,MATCH(B15,'[16]CN BC'!$H$10:$H$276,0)),"")</f>
        <v>0</v>
      </c>
      <c r="V15" s="1144" t="str">
        <f>VLOOKUP(B15,TH.T4!B23:AC353,28,FALSE)</f>
        <v>BGH</v>
      </c>
      <c r="W15" s="1156"/>
      <c r="X15" s="1157"/>
      <c r="Y15" s="1158"/>
    </row>
    <row r="16" spans="1:36" s="1148" customFormat="1" ht="24.75" customHeight="1">
      <c r="A16" s="1132">
        <f>_xlfn.AGGREGATE(4,7,A$12:A15)+1</f>
        <v>4</v>
      </c>
      <c r="B16" s="1133" t="s">
        <v>1533</v>
      </c>
      <c r="C16" s="1153" t="s">
        <v>1954</v>
      </c>
      <c r="D16" s="1159" t="s">
        <v>1937</v>
      </c>
      <c r="E16" s="1058" t="str">
        <f>VLOOKUP(B16,TH.Q2!B21:E352,4,FALSE)</f>
        <v>Phó Hiệu trưởng</v>
      </c>
      <c r="F16" s="1160">
        <v>4.9800000000000004</v>
      </c>
      <c r="G16" s="1137"/>
      <c r="H16" s="1393">
        <f t="shared" si="2"/>
        <v>0</v>
      </c>
      <c r="I16" s="1138">
        <v>0.7</v>
      </c>
      <c r="J16" s="1138" t="str">
        <f>VLOOKUP(B16,'[15]Gui chi Quynh'!$B$11:$E$396,4,FALSE)</f>
        <v>A1</v>
      </c>
      <c r="K16" s="1138">
        <f t="shared" si="3"/>
        <v>0.8</v>
      </c>
      <c r="L16" s="1139">
        <v>23</v>
      </c>
      <c r="M16" s="1139">
        <f>VLOOKUP(B16,'[16]CN BC'!$H$10:$J$275,3,FALSE)</f>
        <v>30</v>
      </c>
      <c r="N16" s="1139">
        <f t="shared" si="4"/>
        <v>23</v>
      </c>
      <c r="O16" s="1140"/>
      <c r="P16" s="1141">
        <f t="shared" si="0"/>
        <v>10632960.000000002</v>
      </c>
      <c r="Q16" s="1519">
        <f t="shared" si="5"/>
        <v>4.5440000000000005</v>
      </c>
      <c r="R16" s="1606">
        <v>2340000</v>
      </c>
      <c r="S16" s="1618">
        <f t="shared" si="6"/>
        <v>10632960.000000002</v>
      </c>
      <c r="T16" s="1142">
        <f t="shared" si="1"/>
        <v>4</v>
      </c>
      <c r="U16" s="1143">
        <f>IFERROR(INDEX('[16]CN BC'!$M$10:$M$276,MATCH(B16,'[16]CN BC'!$H$10:$H$276,0)),"")</f>
        <v>0</v>
      </c>
      <c r="V16" s="1144" t="str">
        <f>VLOOKUP(B16,TH.T4!B24:AC354,28,FALSE)</f>
        <v>BGH</v>
      </c>
      <c r="W16" s="1161"/>
      <c r="X16" s="1162"/>
      <c r="Y16" s="1147"/>
      <c r="Z16" s="1146"/>
      <c r="AA16" s="1146"/>
      <c r="AB16" s="1146"/>
      <c r="AC16" s="1146"/>
      <c r="AD16" s="1146"/>
      <c r="AE16" s="1146"/>
    </row>
    <row r="17" spans="1:35" s="1148" customFormat="1" ht="27.75" customHeight="1">
      <c r="A17" s="1132">
        <f>_xlfn.AGGREGATE(4,7,A$12:A16)+1</f>
        <v>5</v>
      </c>
      <c r="B17" s="1133" t="s">
        <v>1458</v>
      </c>
      <c r="C17" s="1132" t="s">
        <v>1995</v>
      </c>
      <c r="D17" s="1150" t="s">
        <v>1577</v>
      </c>
      <c r="E17" s="383" t="str">
        <f>VLOOKUP(B17,TH.Q2!B22:E353,4,FALSE)</f>
        <v>Trưởng phòng TC - HC - TH</v>
      </c>
      <c r="F17" s="1136">
        <v>4.9800000000000004</v>
      </c>
      <c r="G17" s="1137">
        <v>0.06</v>
      </c>
      <c r="H17" s="1400">
        <f t="shared" si="2"/>
        <v>0.29899999999999999</v>
      </c>
      <c r="I17" s="1138">
        <v>0.45</v>
      </c>
      <c r="J17" s="1138" t="str">
        <f>VLOOKUP(B17,'[15]Gui chi Quynh'!$B$11:$E$396,4,FALSE)</f>
        <v>A1</v>
      </c>
      <c r="K17" s="1138">
        <f t="shared" si="3"/>
        <v>0.8</v>
      </c>
      <c r="L17" s="1139">
        <v>23</v>
      </c>
      <c r="M17" s="1139">
        <f>VLOOKUP(B17,'[16]CN BC'!$H$10:$J$275,3,FALSE)</f>
        <v>30</v>
      </c>
      <c r="N17" s="1139">
        <f t="shared" si="4"/>
        <v>23</v>
      </c>
      <c r="O17" s="1155"/>
      <c r="P17" s="1141">
        <f t="shared" si="0"/>
        <v>10724688.000000002</v>
      </c>
      <c r="Q17" s="1519">
        <f t="shared" si="5"/>
        <v>4.5832000000000006</v>
      </c>
      <c r="R17" s="1606">
        <v>2340000</v>
      </c>
      <c r="S17" s="1618">
        <f t="shared" si="6"/>
        <v>10724688.000000002</v>
      </c>
      <c r="T17" s="1142">
        <f t="shared" si="1"/>
        <v>5</v>
      </c>
      <c r="U17" s="1143">
        <f>IFERROR(INDEX('[16]CN BC'!$M$10:$M$276,MATCH(B17,'[16]CN BC'!$H$10:$H$276,0)),"")</f>
        <v>0</v>
      </c>
      <c r="V17" s="1189" t="str">
        <f>VLOOKUP(B17,TH.T4!B25:AC355,28,FALSE)</f>
        <v>TCHC</v>
      </c>
      <c r="W17" s="1577" t="s">
        <v>2272</v>
      </c>
      <c r="X17" s="1577" t="s">
        <v>2273</v>
      </c>
      <c r="Y17" s="1577" t="s">
        <v>2274</v>
      </c>
      <c r="Z17" s="1578"/>
    </row>
    <row r="18" spans="1:35" s="1148" customFormat="1" ht="28.5" customHeight="1">
      <c r="A18" s="1132">
        <f>_xlfn.AGGREGATE(4,7,A$12:A17)+1</f>
        <v>6</v>
      </c>
      <c r="B18" s="1164" t="s">
        <v>1596</v>
      </c>
      <c r="C18" s="1165" t="s">
        <v>1623</v>
      </c>
      <c r="D18" s="1166">
        <v>1603205353720</v>
      </c>
      <c r="E18" s="1058" t="str">
        <f>VLOOKUP(B18,TH.Q2!B23:E354,4,FALSE)</f>
        <v>Phó Trưởng phòng Tổ chức - Hành chính - TH</v>
      </c>
      <c r="F18" s="1160">
        <v>3.66</v>
      </c>
      <c r="G18" s="1137"/>
      <c r="H18" s="1393">
        <f t="shared" si="2"/>
        <v>0</v>
      </c>
      <c r="I18" s="1138">
        <v>0.35</v>
      </c>
      <c r="J18" s="1138" t="str">
        <f>VLOOKUP(B18,'[15]Gui chi Quynh'!$B$11:$E$396,4,FALSE)</f>
        <v>A1</v>
      </c>
      <c r="K18" s="1138">
        <f t="shared" si="3"/>
        <v>0.8</v>
      </c>
      <c r="L18" s="1139">
        <v>23</v>
      </c>
      <c r="M18" s="1139">
        <f>VLOOKUP(B18,'[16]CN BC'!$H$10:$J$275,3,FALSE)</f>
        <v>27</v>
      </c>
      <c r="N18" s="1139">
        <f t="shared" si="4"/>
        <v>23</v>
      </c>
      <c r="O18" s="1140"/>
      <c r="P18" s="1141">
        <f t="shared" si="0"/>
        <v>7506720</v>
      </c>
      <c r="Q18" s="1519">
        <f t="shared" si="5"/>
        <v>3.2080000000000002</v>
      </c>
      <c r="R18" s="1606">
        <v>2340000</v>
      </c>
      <c r="S18" s="1618">
        <f t="shared" si="6"/>
        <v>7506720</v>
      </c>
      <c r="T18" s="1142">
        <f t="shared" si="1"/>
        <v>6</v>
      </c>
      <c r="U18" s="1143">
        <f>IFERROR(INDEX('[16]CN BC'!$M$10:$M$276,MATCH(B18,'[16]CN BC'!$H$10:$H$276,0)),"")</f>
        <v>0</v>
      </c>
      <c r="V18" s="1144" t="str">
        <f>VLOOKUP(B18,TH.T4!B26:AC356,28,FALSE)</f>
        <v>TCHC</v>
      </c>
      <c r="W18" s="1252">
        <f>_xlfn.AGGREGATE(4,7,W$17:W17)+1</f>
        <v>1</v>
      </c>
      <c r="X18" s="1252" t="s">
        <v>2014</v>
      </c>
      <c r="Y18" s="1253" t="s">
        <v>2275</v>
      </c>
      <c r="Z18" s="1254" t="e">
        <f>SUMIF(#REF!,$K18,$H$15:$H$78)</f>
        <v>#REF!</v>
      </c>
      <c r="AA18" s="1146"/>
      <c r="AB18" s="1146"/>
      <c r="AC18" s="1146"/>
      <c r="AD18" s="1146"/>
      <c r="AE18" s="1146"/>
    </row>
    <row r="19" spans="1:35" s="1148" customFormat="1" ht="28.5" customHeight="1">
      <c r="A19" s="1132">
        <f>_xlfn.AGGREGATE(4,7,A$12:A18)+1</f>
        <v>7</v>
      </c>
      <c r="B19" s="1133" t="s">
        <v>1464</v>
      </c>
      <c r="C19" s="1153" t="s">
        <v>1660</v>
      </c>
      <c r="D19" s="1168">
        <v>1603205185719</v>
      </c>
      <c r="E19" s="1058" t="str">
        <f>VLOOKUP(B19,TH.Q2!B24:E355,4,FALSE)</f>
        <v>Phó Trưởng phòng Tổ chức - Hành chính - TH</v>
      </c>
      <c r="F19" s="1160">
        <v>3</v>
      </c>
      <c r="G19" s="1137"/>
      <c r="H19" s="1393">
        <f t="shared" si="2"/>
        <v>0</v>
      </c>
      <c r="I19" s="1138">
        <v>0.35</v>
      </c>
      <c r="J19" s="1138" t="str">
        <f>VLOOKUP(B19,'[15]Gui chi Quynh'!$B$11:$E$396,4,FALSE)</f>
        <v>A1</v>
      </c>
      <c r="K19" s="1138">
        <f t="shared" si="3"/>
        <v>0.8</v>
      </c>
      <c r="L19" s="1139">
        <v>23</v>
      </c>
      <c r="M19" s="1139">
        <f>VLOOKUP(B19,'[16]CN BC'!$H$10:$J$275,3,FALSE)</f>
        <v>27</v>
      </c>
      <c r="N19" s="1139">
        <f t="shared" si="4"/>
        <v>23</v>
      </c>
      <c r="O19" s="1140"/>
      <c r="P19" s="1141">
        <f t="shared" si="0"/>
        <v>6271200</v>
      </c>
      <c r="Q19" s="1519">
        <f t="shared" si="5"/>
        <v>2.68</v>
      </c>
      <c r="R19" s="1606">
        <v>2340000</v>
      </c>
      <c r="S19" s="1618">
        <f t="shared" si="6"/>
        <v>6271200</v>
      </c>
      <c r="T19" s="1142">
        <f t="shared" si="1"/>
        <v>7</v>
      </c>
      <c r="U19" s="1143">
        <f>IFERROR(INDEX('[16]CN BC'!$M$10:$M$276,MATCH(B19,'[16]CN BC'!$H$10:$H$276,0)),"")</f>
        <v>0</v>
      </c>
      <c r="V19" s="1144" t="str">
        <f>VLOOKUP(B19,TH.T4!B27:AC357,28,FALSE)</f>
        <v>TCHC</v>
      </c>
      <c r="W19" s="1252">
        <f>_xlfn.AGGREGATE(4,7,W$17:W18)+1</f>
        <v>2</v>
      </c>
      <c r="X19" s="437" t="s">
        <v>2224</v>
      </c>
      <c r="Y19" s="1253" t="s">
        <v>2276</v>
      </c>
      <c r="Z19" s="1254" t="e">
        <f>SUMIF(#REF!,$K19,$H$15:$H$78)</f>
        <v>#REF!</v>
      </c>
      <c r="AA19" s="1146"/>
      <c r="AB19" s="1146"/>
      <c r="AC19" s="1146"/>
      <c r="AD19" s="1146"/>
      <c r="AE19" s="1146"/>
    </row>
    <row r="20" spans="1:35" s="1148" customFormat="1" ht="28.5" customHeight="1">
      <c r="A20" s="1132">
        <f>_xlfn.AGGREGATE(4,7,A$12:A19)+1</f>
        <v>8</v>
      </c>
      <c r="B20" s="1133" t="s">
        <v>1846</v>
      </c>
      <c r="C20" s="1153" t="s">
        <v>1618</v>
      </c>
      <c r="D20" s="1154" t="s">
        <v>1264</v>
      </c>
      <c r="E20" s="1058" t="str">
        <f>VLOOKUP(B20,TH.Q2!B25:E356,4,FALSE)</f>
        <v>NV Phòng Tổ chức - Hành chính - Tổng hợp</v>
      </c>
      <c r="F20" s="1136">
        <v>3.99</v>
      </c>
      <c r="G20" s="1137"/>
      <c r="H20" s="1393">
        <f t="shared" si="2"/>
        <v>0</v>
      </c>
      <c r="I20" s="1138"/>
      <c r="J20" s="1138" t="str">
        <f>VLOOKUP(B20,'[15]Gui chi Quynh'!$B$11:$E$396,4,FALSE)</f>
        <v>A2</v>
      </c>
      <c r="K20" s="1138">
        <f t="shared" si="3"/>
        <v>0.7</v>
      </c>
      <c r="L20" s="1139">
        <v>23</v>
      </c>
      <c r="M20" s="1139">
        <f>VLOOKUP(B20,'[16]CN BC'!$H$10:$J$275,3,FALSE)</f>
        <v>24</v>
      </c>
      <c r="N20" s="1139">
        <f t="shared" si="4"/>
        <v>23</v>
      </c>
      <c r="O20" s="1140"/>
      <c r="P20" s="1141">
        <f t="shared" si="0"/>
        <v>6535620</v>
      </c>
      <c r="Q20" s="1519">
        <f t="shared" si="5"/>
        <v>2.7930000000000001</v>
      </c>
      <c r="R20" s="1606">
        <v>2340000</v>
      </c>
      <c r="S20" s="1618">
        <f t="shared" si="6"/>
        <v>6535620</v>
      </c>
      <c r="T20" s="1142">
        <f t="shared" si="1"/>
        <v>8</v>
      </c>
      <c r="U20" s="1143">
        <f>IFERROR(INDEX('[16]CN BC'!$M$10:$M$276,MATCH(B20,'[16]CN BC'!$H$10:$H$276,0)),"")</f>
        <v>0</v>
      </c>
      <c r="V20" s="1144" t="str">
        <f>VLOOKUP(B20,TH.T4!B28:AC358,28,FALSE)</f>
        <v>TCHC</v>
      </c>
      <c r="W20" s="1252">
        <f>_xlfn.AGGREGATE(4,7,W$17:W19)+1</f>
        <v>3</v>
      </c>
      <c r="X20" s="1255" t="s">
        <v>527</v>
      </c>
      <c r="Y20" s="1256" t="s">
        <v>2277</v>
      </c>
      <c r="Z20" s="1257" t="e">
        <f>SUMIF(#REF!,$K20,$H$15:$H$78)</f>
        <v>#REF!</v>
      </c>
      <c r="AA20" s="1146"/>
      <c r="AB20" s="1146"/>
      <c r="AC20" s="1146"/>
      <c r="AD20" s="1146"/>
      <c r="AE20" s="1146"/>
    </row>
    <row r="21" spans="1:35" s="1148" customFormat="1" ht="28.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2"/>
        <v>0</v>
      </c>
      <c r="I21" s="1138"/>
      <c r="J21" s="1138" t="str">
        <f>VLOOKUP(B21,'[15]Gui chi Quynh'!$B$11:$E$396,4,FALSE)</f>
        <v>A3</v>
      </c>
      <c r="K21" s="1138">
        <f t="shared" si="3"/>
        <v>0.6</v>
      </c>
      <c r="L21" s="1139">
        <v>23</v>
      </c>
      <c r="M21" s="1139">
        <f>VLOOKUP(B21,'[16]CN BC'!$H$10:$J$275,3,FALSE)</f>
        <v>25</v>
      </c>
      <c r="N21" s="1139">
        <f t="shared" si="4"/>
        <v>23</v>
      </c>
      <c r="O21" s="1140"/>
      <c r="P21" s="1141">
        <f t="shared" si="0"/>
        <v>5601960</v>
      </c>
      <c r="Q21" s="1519">
        <f t="shared" si="5"/>
        <v>2.3940000000000001</v>
      </c>
      <c r="R21" s="1606">
        <v>2340000</v>
      </c>
      <c r="S21" s="1618">
        <f t="shared" si="6"/>
        <v>5601960</v>
      </c>
      <c r="T21" s="1142">
        <f t="shared" si="1"/>
        <v>9</v>
      </c>
      <c r="U21" s="1143">
        <f>IFERROR(INDEX('[16]CN BC'!$M$10:$M$276,MATCH(B21,'[16]CN BC'!$H$10:$H$276,0)),"")</f>
        <v>0</v>
      </c>
      <c r="V21" s="1144" t="str">
        <f>VLOOKUP(B21,TH.T4!B29:AC359,28,FALSE)</f>
        <v>TCHC</v>
      </c>
      <c r="W21" s="1252">
        <f>_xlfn.AGGREGATE(4,7,W$17:W20)+1</f>
        <v>4</v>
      </c>
      <c r="X21" s="437" t="s">
        <v>2227</v>
      </c>
      <c r="Y21" s="1253" t="s">
        <v>2278</v>
      </c>
      <c r="Z21" s="1254" t="e">
        <f>SUMIF(#REF!,$K21,$H$15:$H$78)</f>
        <v>#REF!</v>
      </c>
      <c r="AA21" s="1146"/>
      <c r="AB21" s="1146"/>
      <c r="AC21" s="1146"/>
      <c r="AD21" s="1146"/>
      <c r="AE21" s="1146"/>
    </row>
    <row r="22" spans="1:35" s="1148" customFormat="1" ht="28.5" customHeight="1">
      <c r="A22" s="1132">
        <f>_xlfn.AGGREGATE(4,7,A$12:A21)+1</f>
        <v>10</v>
      </c>
      <c r="B22" s="1133" t="s">
        <v>1448</v>
      </c>
      <c r="C22" s="1153" t="s">
        <v>1620</v>
      </c>
      <c r="D22" s="1166" t="s">
        <v>1574</v>
      </c>
      <c r="E22" s="1058" t="str">
        <f>VLOOKUP(B22,TH.Q2!B27:E358,4,FALSE)</f>
        <v>NV Phòng Tổ chức - Hành chính - Tổng hợp</v>
      </c>
      <c r="F22" s="1136">
        <v>3.46</v>
      </c>
      <c r="G22" s="1137"/>
      <c r="H22" s="1393">
        <f t="shared" si="2"/>
        <v>0</v>
      </c>
      <c r="I22" s="1138"/>
      <c r="J22" s="1138" t="str">
        <f>VLOOKUP(B22,'[15]Gui chi Quynh'!$B$11:$E$396,4,FALSE)</f>
        <v>A3</v>
      </c>
      <c r="K22" s="1138">
        <f t="shared" si="3"/>
        <v>0.6</v>
      </c>
      <c r="L22" s="1139">
        <v>23</v>
      </c>
      <c r="M22" s="1139">
        <f>VLOOKUP(B22,'[16]CN BC'!$H$10:$J$275,3,FALSE)</f>
        <v>23.5</v>
      </c>
      <c r="N22" s="1139">
        <f t="shared" si="4"/>
        <v>23</v>
      </c>
      <c r="O22" s="1140"/>
      <c r="P22" s="1141">
        <f t="shared" si="0"/>
        <v>4857840</v>
      </c>
      <c r="Q22" s="1519">
        <f t="shared" si="5"/>
        <v>2.0760000000000001</v>
      </c>
      <c r="R22" s="1606">
        <v>2340000</v>
      </c>
      <c r="S22" s="1618">
        <f t="shared" si="6"/>
        <v>4857840</v>
      </c>
      <c r="T22" s="1142">
        <f t="shared" si="1"/>
        <v>10</v>
      </c>
      <c r="U22" s="1143">
        <f>IFERROR(INDEX('[16]CN BC'!$M$10:$M$276,MATCH(B22,'[16]CN BC'!$H$10:$H$276,0)),"")</f>
        <v>0</v>
      </c>
      <c r="V22" s="1144" t="str">
        <f>VLOOKUP(B22,TH.T4!B30:AC360,28,FALSE)</f>
        <v>TCHC</v>
      </c>
      <c r="W22" s="1252">
        <f>_xlfn.AGGREGATE(4,7,W$17:W21)+1</f>
        <v>5</v>
      </c>
      <c r="X22" s="1252" t="s">
        <v>2230</v>
      </c>
      <c r="Y22" s="1253" t="s">
        <v>2279</v>
      </c>
      <c r="Z22" s="1254" t="e">
        <f>SUMIF(#REF!,$K22,$H$15:$H$78)</f>
        <v>#REF!</v>
      </c>
      <c r="AA22" s="1146"/>
      <c r="AB22" s="1146"/>
      <c r="AC22" s="1146"/>
      <c r="AD22" s="1146"/>
      <c r="AE22" s="1146"/>
    </row>
    <row r="23" spans="1:35" s="1148" customFormat="1" ht="28.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2"/>
        <v>0</v>
      </c>
      <c r="I23" s="1138"/>
      <c r="J23" s="1138" t="str">
        <f>VLOOKUP(B23,'[15]Gui chi Quynh'!$B$11:$E$396,4,FALSE)</f>
        <v>A2</v>
      </c>
      <c r="K23" s="1138">
        <f t="shared" si="3"/>
        <v>0.7</v>
      </c>
      <c r="L23" s="1139">
        <v>23</v>
      </c>
      <c r="M23" s="1139">
        <f>VLOOKUP(B23,'[16]CN BC'!$H$10:$J$275,3,FALSE)</f>
        <v>23.5</v>
      </c>
      <c r="N23" s="1139">
        <f t="shared" si="4"/>
        <v>23</v>
      </c>
      <c r="O23" s="1140"/>
      <c r="P23" s="1141">
        <f t="shared" si="0"/>
        <v>5995080</v>
      </c>
      <c r="Q23" s="1519">
        <f t="shared" si="5"/>
        <v>2.5619999999999998</v>
      </c>
      <c r="R23" s="1606">
        <v>2340000</v>
      </c>
      <c r="S23" s="1618">
        <f t="shared" si="6"/>
        <v>5995080</v>
      </c>
      <c r="T23" s="1142">
        <f t="shared" si="1"/>
        <v>11</v>
      </c>
      <c r="U23" s="1143">
        <f>IFERROR(INDEX('[16]CN BC'!$M$10:$M$276,MATCH(B23,'[16]CN BC'!$H$10:$H$276,0)),"")</f>
        <v>0</v>
      </c>
      <c r="V23" s="1144" t="str">
        <f>VLOOKUP(B23,TH.T4!B31:AC361,28,FALSE)</f>
        <v>TCHC</v>
      </c>
      <c r="W23" s="1252">
        <f>_xlfn.AGGREGATE(4,7,W$17:W22)+1</f>
        <v>6</v>
      </c>
      <c r="X23" s="437" t="s">
        <v>2219</v>
      </c>
      <c r="Y23" s="1253" t="s">
        <v>2280</v>
      </c>
      <c r="Z23" s="1254" t="e">
        <f>SUMIF(#REF!,$K23,$H$15:$H$78)</f>
        <v>#REF!</v>
      </c>
      <c r="AA23" s="1146"/>
      <c r="AB23" s="1146"/>
      <c r="AC23" s="1146"/>
      <c r="AD23" s="1146"/>
      <c r="AE23" s="1146"/>
      <c r="AF23" s="1146"/>
      <c r="AG23" s="1146"/>
      <c r="AH23" s="1146"/>
      <c r="AI23" s="1146"/>
    </row>
    <row r="24" spans="1:35" s="1148" customFormat="1" ht="28.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2"/>
        <v>0</v>
      </c>
      <c r="I24" s="1138"/>
      <c r="J24" s="1138" t="str">
        <f>VLOOKUP(B24,'[15]Gui chi Quynh'!$B$11:$E$396,4,FALSE)</f>
        <v>A2</v>
      </c>
      <c r="K24" s="1138">
        <f t="shared" si="3"/>
        <v>0.7</v>
      </c>
      <c r="L24" s="1139">
        <v>23</v>
      </c>
      <c r="M24" s="1139">
        <f>VLOOKUP(B24,'[16]CN BC'!$H$10:$J$275,3,FALSE)</f>
        <v>24.5</v>
      </c>
      <c r="N24" s="1139">
        <f t="shared" si="4"/>
        <v>23</v>
      </c>
      <c r="O24" s="1140"/>
      <c r="P24" s="1141">
        <f t="shared" si="0"/>
        <v>5995080</v>
      </c>
      <c r="Q24" s="1519">
        <f t="shared" si="5"/>
        <v>2.5619999999999998</v>
      </c>
      <c r="R24" s="1606">
        <v>2340000</v>
      </c>
      <c r="S24" s="1618">
        <f t="shared" si="6"/>
        <v>5995080</v>
      </c>
      <c r="T24" s="1142">
        <f t="shared" si="1"/>
        <v>12</v>
      </c>
      <c r="U24" s="1143">
        <f>IFERROR(INDEX('[16]CN BC'!$M$10:$M$276,MATCH(B24,'[16]CN BC'!$H$10:$H$276,0)),"")</f>
        <v>0</v>
      </c>
      <c r="V24" s="1144" t="str">
        <f>VLOOKUP(B24,TH.T4!B32:AC362,28,FALSE)</f>
        <v>TCHC</v>
      </c>
      <c r="W24" s="1255">
        <f>_xlfn.AGGREGATE(4,7,W$17:W23)+1</f>
        <v>7</v>
      </c>
      <c r="X24" s="1255" t="s">
        <v>539</v>
      </c>
      <c r="Y24" s="1256" t="s">
        <v>2281</v>
      </c>
      <c r="Z24" s="1257" t="e">
        <f>SUMIF(#REF!,$K24,$H$15:$H$78)</f>
        <v>#REF!</v>
      </c>
      <c r="AA24" s="1146"/>
      <c r="AB24" s="1146"/>
      <c r="AC24" s="1146"/>
      <c r="AD24" s="1146"/>
      <c r="AE24" s="1146"/>
    </row>
    <row r="25" spans="1:35" s="1148" customFormat="1" ht="28.5" customHeight="1">
      <c r="A25" s="1132">
        <f>_xlfn.AGGREGATE(4,7,A$12:A24)+1</f>
        <v>13</v>
      </c>
      <c r="B25" s="1133" t="s">
        <v>1847</v>
      </c>
      <c r="C25" s="1149" t="s">
        <v>1643</v>
      </c>
      <c r="D25" s="1154" t="s">
        <v>8</v>
      </c>
      <c r="E25" s="1058" t="str">
        <f>VLOOKUP(B25,TH.Q2!B30:E361,4,FALSE)</f>
        <v>NV Phòng Tổ chức - Hành chính - Tổng hợp</v>
      </c>
      <c r="F25" s="1136">
        <v>3.66</v>
      </c>
      <c r="G25" s="1137"/>
      <c r="H25" s="1393">
        <f t="shared" si="2"/>
        <v>0</v>
      </c>
      <c r="I25" s="1138"/>
      <c r="J25" s="1138" t="str">
        <f>VLOOKUP(B25,'[15]Gui chi Quynh'!$B$11:$E$396,4,FALSE)</f>
        <v>A3</v>
      </c>
      <c r="K25" s="1138">
        <f t="shared" si="3"/>
        <v>0.6</v>
      </c>
      <c r="L25" s="1139">
        <v>23</v>
      </c>
      <c r="M25" s="1139">
        <f>VLOOKUP(B25,'[16]CN BC'!$H$10:$J$275,3,FALSE)</f>
        <v>23.5</v>
      </c>
      <c r="N25" s="1139">
        <f t="shared" si="4"/>
        <v>23</v>
      </c>
      <c r="O25" s="1140"/>
      <c r="P25" s="1141">
        <f t="shared" si="0"/>
        <v>5138640</v>
      </c>
      <c r="Q25" s="1519">
        <f t="shared" si="5"/>
        <v>2.1960000000000002</v>
      </c>
      <c r="R25" s="1606">
        <v>2340000</v>
      </c>
      <c r="S25" s="1618">
        <f t="shared" si="6"/>
        <v>5138640</v>
      </c>
      <c r="T25" s="1142">
        <f t="shared" si="1"/>
        <v>13</v>
      </c>
      <c r="U25" s="1143">
        <f>IFERROR(INDEX('[16]CN BC'!$M$10:$M$276,MATCH(B25,'[16]CN BC'!$H$10:$H$276,0)),"")</f>
        <v>0</v>
      </c>
      <c r="V25" s="1144" t="str">
        <f>VLOOKUP(B25,TH.T4!B33:AC363,28,FALSE)</f>
        <v>TCHC</v>
      </c>
      <c r="W25" s="1252">
        <f>_xlfn.AGGREGATE(4,7,W$17:W24)+1</f>
        <v>8</v>
      </c>
      <c r="X25" s="1252" t="s">
        <v>2237</v>
      </c>
      <c r="Y25" s="1253" t="s">
        <v>2282</v>
      </c>
      <c r="Z25" s="1254" t="e">
        <f>SUMIF(#REF!,$K25,$H$15:$H$78)</f>
        <v>#REF!</v>
      </c>
      <c r="AA25" s="1146"/>
      <c r="AB25" s="1146"/>
      <c r="AC25" s="1146"/>
      <c r="AD25" s="1146"/>
      <c r="AE25" s="1146"/>
      <c r="AF25" s="1146"/>
      <c r="AG25" s="1146"/>
      <c r="AH25" s="1146"/>
      <c r="AI25" s="1146"/>
    </row>
    <row r="26" spans="1:35" s="1148" customFormat="1" ht="28.5" customHeight="1">
      <c r="A26" s="1132">
        <f>_xlfn.AGGREGATE(4,7,A$12:A25)+1</f>
        <v>14</v>
      </c>
      <c r="B26" s="1133" t="s">
        <v>1848</v>
      </c>
      <c r="C26" s="1153" t="s">
        <v>1644</v>
      </c>
      <c r="D26" s="1166">
        <v>1603205360856</v>
      </c>
      <c r="E26" s="1058" t="str">
        <f>VLOOKUP(B26,TH.Q2!B31:E362,4,FALSE)</f>
        <v>NV Phòng Tổ chức - Hành chính - Tổng hợp</v>
      </c>
      <c r="F26" s="1160">
        <v>3.33</v>
      </c>
      <c r="G26" s="1137"/>
      <c r="H26" s="1393">
        <f t="shared" si="2"/>
        <v>0</v>
      </c>
      <c r="I26" s="1138"/>
      <c r="J26" s="1138" t="str">
        <f>VLOOKUP(B26,'[15]Gui chi Quynh'!$B$11:$E$396,4,FALSE)</f>
        <v>A2</v>
      </c>
      <c r="K26" s="1138">
        <f t="shared" si="3"/>
        <v>0.7</v>
      </c>
      <c r="L26" s="1139">
        <v>23</v>
      </c>
      <c r="M26" s="1139">
        <f>VLOOKUP(B26,'[16]CN BC'!$H$10:$J$275,3,FALSE)</f>
        <v>23.5</v>
      </c>
      <c r="N26" s="1139">
        <f t="shared" si="4"/>
        <v>23</v>
      </c>
      <c r="O26" s="1140"/>
      <c r="P26" s="1141">
        <f t="shared" si="0"/>
        <v>5454540</v>
      </c>
      <c r="Q26" s="1519">
        <f t="shared" si="5"/>
        <v>2.331</v>
      </c>
      <c r="R26" s="1606">
        <v>2340000</v>
      </c>
      <c r="S26" s="1618">
        <f t="shared" si="6"/>
        <v>5454540</v>
      </c>
      <c r="T26" s="1142">
        <f t="shared" si="1"/>
        <v>14</v>
      </c>
      <c r="U26" s="1143">
        <f>IFERROR(INDEX('[16]CN BC'!$M$10:$M$276,MATCH(B26,'[16]CN BC'!$H$10:$H$276,0)),"")</f>
        <v>0</v>
      </c>
      <c r="V26" s="1144" t="str">
        <f>VLOOKUP(B26,TH.T4!B34:AC364,28,FALSE)</f>
        <v>TCHC</v>
      </c>
      <c r="W26" s="1252">
        <f>_xlfn.AGGREGATE(4,7,W$17:W25)+1</f>
        <v>9</v>
      </c>
      <c r="X26" s="1252" t="s">
        <v>2238</v>
      </c>
      <c r="Y26" s="1253" t="s">
        <v>2283</v>
      </c>
      <c r="Z26" s="1254" t="e">
        <f>SUMIF(#REF!,$K26,$H$15:$H$78)</f>
        <v>#REF!</v>
      </c>
    </row>
    <row r="27" spans="1:35" s="1148" customFormat="1" ht="28.5" customHeight="1">
      <c r="A27" s="1132">
        <f>_xlfn.AGGREGATE(4,7,A$12:A26)+1</f>
        <v>15</v>
      </c>
      <c r="B27" s="1164" t="s">
        <v>1603</v>
      </c>
      <c r="C27" s="1165" t="s">
        <v>1624</v>
      </c>
      <c r="D27" s="1166">
        <v>1603205545491</v>
      </c>
      <c r="E27" s="1058" t="str">
        <f>VLOOKUP(B27,TH.Q2!B32:E363,4,FALSE)</f>
        <v>NV Phòng Tổ chức - Hành chính - Tổng hợp</v>
      </c>
      <c r="F27" s="1160">
        <f>2.46+0.15</f>
        <v>2.61</v>
      </c>
      <c r="G27" s="1137"/>
      <c r="H27" s="1393">
        <f t="shared" si="2"/>
        <v>0</v>
      </c>
      <c r="I27" s="1138"/>
      <c r="J27" s="1138" t="str">
        <f>VLOOKUP(B27,'[15]Gui chi Quynh'!$B$11:$E$396,4,FALSE)</f>
        <v>A2</v>
      </c>
      <c r="K27" s="1138">
        <f t="shared" si="3"/>
        <v>0.7</v>
      </c>
      <c r="L27" s="1139">
        <v>23</v>
      </c>
      <c r="M27" s="1139">
        <f>VLOOKUP(B27,'[16]CN BC'!$H$10:$J$275,3,FALSE)</f>
        <v>26</v>
      </c>
      <c r="N27" s="1139">
        <f t="shared" si="4"/>
        <v>23</v>
      </c>
      <c r="O27" s="1140"/>
      <c r="P27" s="1141">
        <f t="shared" si="0"/>
        <v>4275180</v>
      </c>
      <c r="Q27" s="1519">
        <f t="shared" si="5"/>
        <v>1.827</v>
      </c>
      <c r="R27" s="1606">
        <v>2340000</v>
      </c>
      <c r="S27" s="1618">
        <f t="shared" si="6"/>
        <v>4275180</v>
      </c>
      <c r="T27" s="1142">
        <f t="shared" si="1"/>
        <v>15</v>
      </c>
      <c r="U27" s="1143">
        <f>IFERROR(INDEX('[16]CN BC'!$M$10:$M$276,MATCH(B27,'[16]CN BC'!$H$10:$H$276,0)),"")</f>
        <v>0</v>
      </c>
      <c r="V27" s="1144" t="str">
        <f>VLOOKUP(B27,TH.T4!B35:AC365,28,FALSE)</f>
        <v>TCHC</v>
      </c>
      <c r="W27" s="1252">
        <f>_xlfn.AGGREGATE(4,7,W$17:W26)+1</f>
        <v>10</v>
      </c>
      <c r="X27" s="1258" t="s">
        <v>2239</v>
      </c>
      <c r="Y27" s="1253" t="s">
        <v>2284</v>
      </c>
      <c r="Z27" s="1254" t="e">
        <f>SUMIF(#REF!,$K27,$H$15:$H$78)</f>
        <v>#REF!</v>
      </c>
      <c r="AA27" s="1146"/>
      <c r="AB27" s="1146"/>
      <c r="AC27" s="1146"/>
      <c r="AD27" s="1146"/>
      <c r="AE27" s="1146"/>
    </row>
    <row r="28" spans="1:35" s="1148" customFormat="1" ht="28.5" customHeight="1">
      <c r="A28" s="1132">
        <f>_xlfn.AGGREGATE(4,7,A$12:A27)+1</f>
        <v>16</v>
      </c>
      <c r="B28" s="1133" t="s">
        <v>1450</v>
      </c>
      <c r="C28" s="1153" t="s">
        <v>1625</v>
      </c>
      <c r="D28" s="1150" t="s">
        <v>1441</v>
      </c>
      <c r="E28" s="383" t="str">
        <f>VLOOKUP(B28,TH.Q2!B33:E364,4,FALSE)</f>
        <v>Trưởng phòng Quản trị - Dịch vụ</v>
      </c>
      <c r="F28" s="1136">
        <v>4.9800000000000004</v>
      </c>
      <c r="G28" s="1137">
        <v>0.06</v>
      </c>
      <c r="H28" s="1400">
        <f t="shared" si="2"/>
        <v>0.29899999999999999</v>
      </c>
      <c r="I28" s="1138">
        <v>0.45</v>
      </c>
      <c r="J28" s="1138" t="str">
        <f>VLOOKUP(B28,'[15]Gui chi Quynh'!$B$11:$E$396,4,FALSE)</f>
        <v>A1</v>
      </c>
      <c r="K28" s="1138">
        <f t="shared" si="3"/>
        <v>0.8</v>
      </c>
      <c r="L28" s="1139">
        <v>23</v>
      </c>
      <c r="M28" s="1139">
        <f>VLOOKUP(B28,'[16]CN BC'!$H$10:$J$275,3,FALSE)</f>
        <v>27</v>
      </c>
      <c r="N28" s="1139">
        <f t="shared" si="4"/>
        <v>23</v>
      </c>
      <c r="O28" s="1155"/>
      <c r="P28" s="1141">
        <f t="shared" si="0"/>
        <v>10724688.000000002</v>
      </c>
      <c r="Q28" s="1519">
        <f t="shared" si="5"/>
        <v>4.5832000000000006</v>
      </c>
      <c r="R28" s="1606">
        <v>2340000</v>
      </c>
      <c r="S28" s="1618">
        <f t="shared" si="6"/>
        <v>10724688.000000002</v>
      </c>
      <c r="T28" s="1142">
        <f t="shared" si="1"/>
        <v>16</v>
      </c>
      <c r="U28" s="1143">
        <f>IFERROR(INDEX('[16]CN BC'!$M$10:$M$276,MATCH(B28,'[16]CN BC'!$H$10:$H$276,0)),"")</f>
        <v>0</v>
      </c>
      <c r="V28" s="1189" t="str">
        <f>VLOOKUP(B28,TH.T4!B36:AC366,28,FALSE)</f>
        <v>QTDV</v>
      </c>
      <c r="W28" s="1255">
        <f>_xlfn.AGGREGATE(4,7,W$17:W27)+1</f>
        <v>11</v>
      </c>
      <c r="X28" s="1255" t="s">
        <v>548</v>
      </c>
      <c r="Y28" s="1256" t="s">
        <v>2285</v>
      </c>
      <c r="Z28" s="1257" t="e">
        <f>SUMIF(#REF!,$K28,$H$15:$H$78)</f>
        <v>#REF!</v>
      </c>
    </row>
    <row r="29" spans="1:35" s="1148" customFormat="1" ht="28.5" customHeight="1">
      <c r="A29" s="1132">
        <f>_xlfn.AGGREGATE(4,7,A$12:A28)+1</f>
        <v>17</v>
      </c>
      <c r="B29" s="1133" t="s">
        <v>1996</v>
      </c>
      <c r="C29" s="1149" t="s">
        <v>1626</v>
      </c>
      <c r="D29" s="1154" t="s">
        <v>1393</v>
      </c>
      <c r="E29" s="1058" t="str">
        <f>VLOOKUP(B29,TH.Q2!B34:E365,4,FALSE)</f>
        <v>Phó TP. Quản trị - 
Dịch vụ</v>
      </c>
      <c r="F29" s="1136">
        <v>4.9800000000000004</v>
      </c>
      <c r="G29" s="1137">
        <v>7.0000000000000007E-2</v>
      </c>
      <c r="H29" s="1393">
        <f t="shared" si="2"/>
        <v>0.34899999999999998</v>
      </c>
      <c r="I29" s="1138">
        <v>0.35</v>
      </c>
      <c r="J29" s="1138" t="str">
        <f>VLOOKUP(B29,'[15]Gui chi Quynh'!$B$11:$E$396,4,FALSE)</f>
        <v>A1</v>
      </c>
      <c r="K29" s="1138">
        <f t="shared" si="3"/>
        <v>0.8</v>
      </c>
      <c r="L29" s="1139">
        <v>23</v>
      </c>
      <c r="M29" s="1139">
        <f>VLOOKUP(B29,'[16]CN BC'!$H$10:$J$275,3,FALSE)</f>
        <v>26</v>
      </c>
      <c r="N29" s="1139">
        <f t="shared" si="4"/>
        <v>23</v>
      </c>
      <c r="O29" s="1140"/>
      <c r="P29" s="1141">
        <f t="shared" si="0"/>
        <v>10631088.000000002</v>
      </c>
      <c r="Q29" s="1519">
        <f t="shared" si="5"/>
        <v>4.5432000000000006</v>
      </c>
      <c r="R29" s="1606">
        <v>2340000</v>
      </c>
      <c r="S29" s="1618">
        <f t="shared" si="6"/>
        <v>10631088.000000002</v>
      </c>
      <c r="T29" s="1142">
        <f t="shared" si="1"/>
        <v>17</v>
      </c>
      <c r="U29" s="1143">
        <f>IFERROR(INDEX('[16]CN BC'!$M$10:$M$276,MATCH(B29,'[16]CN BC'!$H$10:$H$276,0)),"")</f>
        <v>0</v>
      </c>
      <c r="V29" s="1144" t="str">
        <f>VLOOKUP(B29,TH.T4!B37:AC367,28,FALSE)</f>
        <v>QTDV</v>
      </c>
      <c r="W29" s="1252">
        <f>_xlfn.AGGREGATE(4,7,W$17:W28)+1</f>
        <v>12</v>
      </c>
      <c r="X29" s="1252" t="s">
        <v>2241</v>
      </c>
      <c r="Y29" s="1253" t="s">
        <v>2286</v>
      </c>
      <c r="Z29" s="1254" t="e">
        <f>SUMIF(#REF!,$K29,$H$15:$H$78)</f>
        <v>#REF!</v>
      </c>
      <c r="AA29" s="1146"/>
      <c r="AB29" s="1146"/>
      <c r="AC29" s="1146"/>
      <c r="AD29" s="1146"/>
      <c r="AE29" s="1146"/>
      <c r="AF29" s="1146"/>
      <c r="AG29" s="1146"/>
      <c r="AH29" s="1146"/>
      <c r="AI29" s="1146"/>
    </row>
    <row r="30" spans="1:35" s="1146" customFormat="1" ht="25.5" customHeight="1">
      <c r="A30" s="1132">
        <f>_xlfn.AGGREGATE(4,7,A$12:A29)+1</f>
        <v>18</v>
      </c>
      <c r="B30" s="1172" t="s">
        <v>1849</v>
      </c>
      <c r="C30" s="1149" t="s">
        <v>1627</v>
      </c>
      <c r="D30" s="1173" t="s">
        <v>1267</v>
      </c>
      <c r="E30" s="1058" t="str">
        <f>VLOOKUP(B30,TH.Q2!B35:E366,4,FALSE)</f>
        <v>NV Phòng Quản trị - Dịch vụ</v>
      </c>
      <c r="F30" s="1174">
        <v>3.65</v>
      </c>
      <c r="G30" s="1175"/>
      <c r="H30" s="1393">
        <f t="shared" si="2"/>
        <v>0</v>
      </c>
      <c r="I30" s="1176">
        <v>0.25</v>
      </c>
      <c r="J30" s="1138" t="str">
        <f>VLOOKUP(B30,'[15]Gui chi Quynh'!$B$11:$E$396,4,FALSE)</f>
        <v>A1</v>
      </c>
      <c r="K30" s="1138">
        <f t="shared" si="3"/>
        <v>0.8</v>
      </c>
      <c r="L30" s="1139">
        <v>23</v>
      </c>
      <c r="M30" s="1139">
        <f>VLOOKUP(B30,'[16]CN BC'!$H$10:$J$275,3,FALSE)</f>
        <v>23</v>
      </c>
      <c r="N30" s="1139">
        <f t="shared" si="4"/>
        <v>23</v>
      </c>
      <c r="O30" s="1140"/>
      <c r="P30" s="1141">
        <f t="shared" si="0"/>
        <v>7300800</v>
      </c>
      <c r="Q30" s="1519">
        <f t="shared" si="5"/>
        <v>3.12</v>
      </c>
      <c r="R30" s="1606">
        <v>2340000</v>
      </c>
      <c r="S30" s="1618">
        <f t="shared" si="6"/>
        <v>7300800</v>
      </c>
      <c r="T30" s="1142">
        <f t="shared" si="1"/>
        <v>18</v>
      </c>
      <c r="U30" s="1143">
        <f>IFERROR(INDEX('[16]CN BC'!$M$10:$M$276,MATCH(B30,'[16]CN BC'!$H$10:$H$276,0)),"")</f>
        <v>0</v>
      </c>
      <c r="V30" s="1144" t="str">
        <f>VLOOKUP(B30,TH.T4!B38:AC368,28,FALSE)</f>
        <v>QTDV</v>
      </c>
      <c r="W30" s="1252">
        <f>_xlfn.AGGREGATE(4,7,W$17:W29)+1</f>
        <v>13</v>
      </c>
      <c r="X30" s="1252" t="s">
        <v>2240</v>
      </c>
      <c r="Y30" s="1253" t="s">
        <v>2287</v>
      </c>
      <c r="Z30" s="1254" t="e">
        <f>SUMIF(#REF!,$K30,$H$15:$H$78)</f>
        <v>#REF!</v>
      </c>
    </row>
    <row r="31" spans="1:35" s="1148" customFormat="1" ht="25.5" customHeight="1">
      <c r="A31" s="1132">
        <f>_xlfn.AGGREGATE(4,7,A$12:A30)+1</f>
        <v>19</v>
      </c>
      <c r="B31" s="1133" t="s">
        <v>1850</v>
      </c>
      <c r="C31" s="1153" t="s">
        <v>1628</v>
      </c>
      <c r="D31" s="1154" t="s">
        <v>1268</v>
      </c>
      <c r="E31" s="1058" t="str">
        <f>VLOOKUP(B31,TH.Q2!B36:E367,4,FALSE)</f>
        <v>NV Phòng Quản trị - Dịch vụ</v>
      </c>
      <c r="F31" s="1136">
        <v>3.46</v>
      </c>
      <c r="G31" s="1137"/>
      <c r="H31" s="1393">
        <f t="shared" si="2"/>
        <v>0</v>
      </c>
      <c r="I31" s="1138"/>
      <c r="J31" s="1138" t="str">
        <f>VLOOKUP(B31,'[15]Gui chi Quynh'!$B$11:$E$396,4,FALSE)</f>
        <v>A2</v>
      </c>
      <c r="K31" s="1138">
        <f t="shared" si="3"/>
        <v>0.7</v>
      </c>
      <c r="L31" s="1139">
        <v>23</v>
      </c>
      <c r="M31" s="1139">
        <f>VLOOKUP(B31,'[16]CN BC'!$H$10:$J$275,3,FALSE)</f>
        <v>23</v>
      </c>
      <c r="N31" s="1139">
        <f t="shared" si="4"/>
        <v>23</v>
      </c>
      <c r="O31" s="1140"/>
      <c r="P31" s="1141">
        <f t="shared" si="0"/>
        <v>5667480</v>
      </c>
      <c r="Q31" s="1519">
        <f t="shared" si="5"/>
        <v>2.4220000000000002</v>
      </c>
      <c r="R31" s="1606">
        <v>2340000</v>
      </c>
      <c r="S31" s="1618">
        <f t="shared" si="6"/>
        <v>5667480</v>
      </c>
      <c r="T31" s="1142">
        <f t="shared" si="1"/>
        <v>19</v>
      </c>
      <c r="U31" s="1143">
        <f>IFERROR(INDEX('[16]CN BC'!$M$10:$M$276,MATCH(B31,'[16]CN BC'!$H$10:$H$276,0)),"")</f>
        <v>0</v>
      </c>
      <c r="V31" s="1144" t="str">
        <f>VLOOKUP(B31,TH.T4!B39:AC369,28,FALSE)</f>
        <v>QTDV</v>
      </c>
      <c r="W31" s="1252">
        <f>_xlfn.AGGREGATE(4,7,W$17:W30)+1</f>
        <v>14</v>
      </c>
      <c r="X31" s="1252" t="s">
        <v>2226</v>
      </c>
      <c r="Y31" s="1253" t="s">
        <v>2288</v>
      </c>
      <c r="Z31" s="1254" t="e">
        <f>SUMIF(#REF!,$K31,$H$15:$H$78)</f>
        <v>#REF!</v>
      </c>
      <c r="AA31" s="1146"/>
      <c r="AB31" s="1146"/>
      <c r="AC31" s="1146"/>
      <c r="AD31" s="1146"/>
      <c r="AE31" s="1146"/>
    </row>
    <row r="32" spans="1:35" s="1146" customFormat="1" ht="27.75" customHeight="1">
      <c r="A32" s="1132">
        <f>_xlfn.AGGREGATE(4,7,A$12:A31)+1</f>
        <v>20</v>
      </c>
      <c r="B32" s="1172" t="s">
        <v>1451</v>
      </c>
      <c r="C32" s="1149" t="s">
        <v>1629</v>
      </c>
      <c r="D32" s="1177" t="s">
        <v>367</v>
      </c>
      <c r="E32" s="1058" t="str">
        <f>VLOOKUP(B32,TH.Q2!B37:E368,4,FALSE)</f>
        <v>Nhân viên phòng Quản trị - Dịch vụ</v>
      </c>
      <c r="F32" s="1174">
        <v>3.66</v>
      </c>
      <c r="G32" s="1175"/>
      <c r="H32" s="1393">
        <f t="shared" si="2"/>
        <v>0</v>
      </c>
      <c r="I32" s="1176"/>
      <c r="J32" s="1138" t="str">
        <f>VLOOKUP(B32,'[15]Gui chi Quynh'!$B$11:$E$396,4,FALSE)</f>
        <v>A2</v>
      </c>
      <c r="K32" s="1138">
        <f t="shared" si="3"/>
        <v>0.7</v>
      </c>
      <c r="L32" s="1139">
        <v>23</v>
      </c>
      <c r="M32" s="1139">
        <f>VLOOKUP(B32,'[16]CN BC'!$H$10:$J$275,3,FALSE)</f>
        <v>23</v>
      </c>
      <c r="N32" s="1139">
        <f t="shared" si="4"/>
        <v>23</v>
      </c>
      <c r="O32" s="1140"/>
      <c r="P32" s="1141">
        <f t="shared" si="0"/>
        <v>5995080</v>
      </c>
      <c r="Q32" s="1519">
        <f t="shared" si="5"/>
        <v>2.5619999999999998</v>
      </c>
      <c r="R32" s="1606">
        <v>2340000</v>
      </c>
      <c r="S32" s="1618">
        <f t="shared" si="6"/>
        <v>5995080</v>
      </c>
      <c r="T32" s="1142">
        <f t="shared" si="1"/>
        <v>20</v>
      </c>
      <c r="U32" s="1143">
        <f>IFERROR(INDEX('[16]CN BC'!$M$10:$M$276,MATCH(B32,'[16]CN BC'!$H$10:$H$276,0)),"")</f>
        <v>0</v>
      </c>
      <c r="V32" s="1144" t="str">
        <f>VLOOKUP(B32,TH.T4!B40:AC370,28,FALSE)</f>
        <v>QTDV</v>
      </c>
      <c r="W32" s="1252">
        <f>_xlfn.AGGREGATE(4,7,W$17:W31)+1</f>
        <v>15</v>
      </c>
      <c r="X32" s="1258" t="s">
        <v>2289</v>
      </c>
      <c r="Y32" s="1253" t="s">
        <v>2290</v>
      </c>
      <c r="Z32" s="1254" t="e">
        <f>SUMIF(#REF!,$K32,$H$15:$H$78)</f>
        <v>#REF!</v>
      </c>
    </row>
    <row r="33" spans="1:35" s="1148" customFormat="1" ht="29.25" customHeight="1">
      <c r="A33" s="1132">
        <f>_xlfn.AGGREGATE(4,7,A$12:A32)+1</f>
        <v>21</v>
      </c>
      <c r="B33" s="1133" t="s">
        <v>1452</v>
      </c>
      <c r="C33" s="1153" t="s">
        <v>1630</v>
      </c>
      <c r="D33" s="1166">
        <v>1603205348129</v>
      </c>
      <c r="E33" s="1058" t="str">
        <f>VLOOKUP(B33,TH.Q2!B38:E369,4,FALSE)</f>
        <v>Nhân viên phòng Quản trị - Dịch vụ</v>
      </c>
      <c r="F33" s="1136">
        <v>3.34</v>
      </c>
      <c r="G33" s="1137"/>
      <c r="H33" s="1393">
        <f t="shared" si="2"/>
        <v>0</v>
      </c>
      <c r="I33" s="1138"/>
      <c r="J33" s="1138" t="str">
        <f>VLOOKUP(B33,'[15]Gui chi Quynh'!$B$11:$E$396,4,FALSE)</f>
        <v>A2</v>
      </c>
      <c r="K33" s="1138">
        <f t="shared" si="3"/>
        <v>0.7</v>
      </c>
      <c r="L33" s="1139">
        <v>23</v>
      </c>
      <c r="M33" s="1139">
        <f>VLOOKUP(B33,'[16]CN BC'!$H$10:$J$275,3,FALSE)</f>
        <v>23</v>
      </c>
      <c r="N33" s="1139">
        <f t="shared" si="4"/>
        <v>23</v>
      </c>
      <c r="O33" s="1140"/>
      <c r="P33" s="1141">
        <f t="shared" si="0"/>
        <v>5470919.9999999991</v>
      </c>
      <c r="Q33" s="1519">
        <f t="shared" si="5"/>
        <v>2.3379999999999996</v>
      </c>
      <c r="R33" s="1606">
        <v>2340000</v>
      </c>
      <c r="S33" s="1618">
        <f t="shared" si="6"/>
        <v>5470919.9999999991</v>
      </c>
      <c r="T33" s="1142">
        <f t="shared" si="1"/>
        <v>21</v>
      </c>
      <c r="U33" s="1143">
        <f>IFERROR(INDEX('[16]CN BC'!$M$10:$M$276,MATCH(B33,'[16]CN BC'!$H$10:$H$276,0)),"")</f>
        <v>0</v>
      </c>
      <c r="V33" s="1144" t="str">
        <f>VLOOKUP(B33,TH.T4!B41:AC371,28,FALSE)</f>
        <v>QTDV</v>
      </c>
      <c r="W33" s="1252">
        <f>_xlfn.AGGREGATE(4,7,W$17:W32)+1</f>
        <v>16</v>
      </c>
      <c r="X33" s="1252" t="s">
        <v>2233</v>
      </c>
      <c r="Y33" s="1253" t="s">
        <v>2291</v>
      </c>
      <c r="Z33" s="1254" t="e">
        <f>SUMIF(#REF!,$K33,$H$15:$H$78)</f>
        <v>#REF!</v>
      </c>
      <c r="AA33" s="1146"/>
      <c r="AB33" s="1146"/>
      <c r="AC33" s="1146"/>
      <c r="AD33" s="1146"/>
      <c r="AE33" s="1146"/>
    </row>
    <row r="34" spans="1:35" s="1146" customFormat="1" ht="24.75" customHeight="1">
      <c r="A34" s="1132">
        <f>_xlfn.AGGREGATE(4,7,A$12:A33)+1</f>
        <v>22</v>
      </c>
      <c r="B34" s="1172" t="s">
        <v>1453</v>
      </c>
      <c r="C34" s="1149" t="s">
        <v>1631</v>
      </c>
      <c r="D34" s="1177" t="s">
        <v>384</v>
      </c>
      <c r="E34" s="1058" t="str">
        <f>VLOOKUP(B34,TH.Q2!B39:E370,4,FALSE)</f>
        <v>Nhân viên phòng Quản trị - Dịch vụ</v>
      </c>
      <c r="F34" s="1178">
        <v>3.66</v>
      </c>
      <c r="G34" s="1175"/>
      <c r="H34" s="1393">
        <f t="shared" si="2"/>
        <v>0</v>
      </c>
      <c r="I34" s="1176"/>
      <c r="J34" s="1138" t="str">
        <f>VLOOKUP(B34,'[15]Gui chi Quynh'!$B$11:$E$396,4,FALSE)</f>
        <v>A4</v>
      </c>
      <c r="K34" s="1138">
        <f t="shared" si="3"/>
        <v>0.5</v>
      </c>
      <c r="L34" s="1139">
        <v>23</v>
      </c>
      <c r="M34" s="1139">
        <f>VLOOKUP(B34,'[16]CN BC'!$H$10:$J$275,3,FALSE)</f>
        <v>23</v>
      </c>
      <c r="N34" s="1139">
        <f t="shared" si="4"/>
        <v>23</v>
      </c>
      <c r="O34" s="1140"/>
      <c r="P34" s="1141">
        <f t="shared" si="0"/>
        <v>4282200</v>
      </c>
      <c r="Q34" s="1519">
        <f t="shared" si="5"/>
        <v>1.83</v>
      </c>
      <c r="R34" s="1606">
        <v>2340000</v>
      </c>
      <c r="S34" s="1618">
        <f t="shared" si="6"/>
        <v>4282200</v>
      </c>
      <c r="T34" s="1142">
        <f t="shared" si="1"/>
        <v>22</v>
      </c>
      <c r="U34" s="1143">
        <f>IFERROR(INDEX('[16]CN BC'!$M$10:$M$276,MATCH(B34,'[16]CN BC'!$H$10:$H$276,0)),"")</f>
        <v>0</v>
      </c>
      <c r="V34" s="1144" t="str">
        <f>VLOOKUP(B34,TH.T4!B42:AC372,28,FALSE)</f>
        <v>QTDV</v>
      </c>
      <c r="W34" s="1252">
        <f>_xlfn.AGGREGATE(4,7,W$17:W33)+1</f>
        <v>17</v>
      </c>
      <c r="X34" s="1252" t="s">
        <v>2236</v>
      </c>
      <c r="Y34" s="1253" t="s">
        <v>2292</v>
      </c>
      <c r="Z34" s="1254" t="e">
        <f>SUMIF(#REF!,$K34,$H$15:$H$78)</f>
        <v>#REF!</v>
      </c>
    </row>
    <row r="35" spans="1:35" s="1148" customFormat="1" ht="25.5" customHeight="1">
      <c r="A35" s="1132">
        <f>_xlfn.AGGREGATE(4,7,A$12:A34)+1</f>
        <v>23</v>
      </c>
      <c r="B35" s="1133" t="s">
        <v>1522</v>
      </c>
      <c r="C35" s="1153" t="s">
        <v>1633</v>
      </c>
      <c r="D35" s="1179">
        <v>1603205357238</v>
      </c>
      <c r="E35" s="1058" t="str">
        <f>VLOOKUP(B35,TH.Q2!B40:E371,4,FALSE)</f>
        <v>NV - TT Đào tạo và Quản lý vật tư thiết bị</v>
      </c>
      <c r="F35" s="1136">
        <v>3.03</v>
      </c>
      <c r="G35" s="1137"/>
      <c r="H35" s="1393">
        <f t="shared" si="2"/>
        <v>0</v>
      </c>
      <c r="I35" s="1138"/>
      <c r="J35" s="1138" t="str">
        <f>VLOOKUP(B35,'[15]Gui chi Quynh'!$B$11:$E$396,4,FALSE)</f>
        <v>A2</v>
      </c>
      <c r="K35" s="1138">
        <f t="shared" si="3"/>
        <v>0.7</v>
      </c>
      <c r="L35" s="1139">
        <v>23</v>
      </c>
      <c r="M35" s="1139">
        <f>VLOOKUP(B35,'[16]CN BC'!$H$10:$J$275,3,FALSE)</f>
        <v>24</v>
      </c>
      <c r="N35" s="1139">
        <f t="shared" si="4"/>
        <v>23</v>
      </c>
      <c r="O35" s="1140"/>
      <c r="P35" s="1141">
        <f t="shared" si="0"/>
        <v>4963140</v>
      </c>
      <c r="Q35" s="1519">
        <f t="shared" si="5"/>
        <v>2.121</v>
      </c>
      <c r="R35" s="1606">
        <v>2340000</v>
      </c>
      <c r="S35" s="1618">
        <f t="shared" si="6"/>
        <v>4963140</v>
      </c>
      <c r="T35" s="1142">
        <f t="shared" si="1"/>
        <v>23</v>
      </c>
      <c r="U35" s="1143">
        <f>IFERROR(INDEX('[16]CN BC'!$M$10:$M$276,MATCH(B35,'[16]CN BC'!$H$10:$H$276,0)),"")</f>
        <v>0</v>
      </c>
      <c r="V35" s="1144" t="str">
        <f>VLOOKUP(B35,TH.T4!B43:AC373,28,FALSE)</f>
        <v>TTĐT</v>
      </c>
      <c r="W35" s="1252">
        <f>_xlfn.AGGREGATE(4,7,W$17:W34)+1</f>
        <v>18</v>
      </c>
      <c r="X35" s="1252" t="s">
        <v>2293</v>
      </c>
      <c r="Y35" s="1253" t="s">
        <v>2294</v>
      </c>
      <c r="Z35" s="1254" t="e">
        <f>SUMIF(#REF!,$K35,$H$15:$H$78)</f>
        <v>#REF!</v>
      </c>
      <c r="AA35" s="1146"/>
      <c r="AB35" s="1146"/>
      <c r="AC35" s="1146"/>
      <c r="AD35" s="1146"/>
      <c r="AE35" s="1146"/>
    </row>
    <row r="36" spans="1:35" s="1148" customFormat="1" ht="29.25" customHeight="1">
      <c r="A36" s="1132">
        <f>_xlfn.AGGREGATE(4,7,A$12:A35)+1</f>
        <v>24</v>
      </c>
      <c r="B36" s="1133" t="s">
        <v>1523</v>
      </c>
      <c r="C36" s="1153" t="s">
        <v>1634</v>
      </c>
      <c r="D36" s="1166">
        <v>1603205302590</v>
      </c>
      <c r="E36" s="1058" t="str">
        <f>VLOOKUP(B36,TH.Q2!B41:E372,4,FALSE)</f>
        <v>NV - TT Đào tạo và Quản lý vật tư thiết bị</v>
      </c>
      <c r="F36" s="1136">
        <v>3.34</v>
      </c>
      <c r="G36" s="1137"/>
      <c r="H36" s="1393">
        <f t="shared" si="2"/>
        <v>0</v>
      </c>
      <c r="I36" s="1138"/>
      <c r="J36" s="1138" t="str">
        <f>VLOOKUP(B36,'[15]Gui chi Quynh'!$B$11:$E$396,4,FALSE)</f>
        <v>A3</v>
      </c>
      <c r="K36" s="1138">
        <f t="shared" si="3"/>
        <v>0.6</v>
      </c>
      <c r="L36" s="1139">
        <v>23</v>
      </c>
      <c r="M36" s="1139">
        <f>VLOOKUP(B36,'[16]CN BC'!$H$10:$J$275,3,FALSE)</f>
        <v>24</v>
      </c>
      <c r="N36" s="1139">
        <f t="shared" si="4"/>
        <v>23</v>
      </c>
      <c r="O36" s="1140"/>
      <c r="P36" s="1141">
        <f t="shared" si="0"/>
        <v>4689359.9999999991</v>
      </c>
      <c r="Q36" s="1519">
        <f t="shared" si="5"/>
        <v>2.0039999999999996</v>
      </c>
      <c r="R36" s="1606">
        <v>2340000</v>
      </c>
      <c r="S36" s="1618">
        <f t="shared" si="6"/>
        <v>4689359.9999999991</v>
      </c>
      <c r="T36" s="1142">
        <f t="shared" si="1"/>
        <v>24</v>
      </c>
      <c r="U36" s="1143">
        <f>IFERROR(INDEX('[16]CN BC'!$M$10:$M$276,MATCH(B36,'[16]CN BC'!$H$10:$H$276,0)),"")</f>
        <v>0</v>
      </c>
      <c r="V36" s="1144" t="str">
        <f>VLOOKUP(B36,TH.T4!B44:AC374,28,FALSE)</f>
        <v>TTĐT</v>
      </c>
      <c r="W36" s="1252">
        <f>_xlfn.AGGREGATE(4,7,W$17:W35)+1</f>
        <v>19</v>
      </c>
      <c r="X36" s="1252" t="s">
        <v>2229</v>
      </c>
      <c r="Y36" s="1253" t="s">
        <v>2295</v>
      </c>
      <c r="Z36" s="1254" t="e">
        <f>SUMIF(#REF!,$K36,$H$15:$H$78)</f>
        <v>#REF!</v>
      </c>
      <c r="AA36" s="1146"/>
      <c r="AB36" s="1146"/>
      <c r="AC36" s="1146"/>
      <c r="AD36" s="1146"/>
      <c r="AE36" s="1146"/>
    </row>
    <row r="37" spans="1:35" s="1148" customFormat="1" ht="26.25" customHeight="1">
      <c r="A37" s="1132">
        <f>_xlfn.AGGREGATE(4,7,A$12:A36)+1</f>
        <v>25</v>
      </c>
      <c r="B37" s="1164" t="s">
        <v>1606</v>
      </c>
      <c r="C37" s="1165" t="s">
        <v>1635</v>
      </c>
      <c r="D37" s="1180" t="s">
        <v>1604</v>
      </c>
      <c r="E37" s="1058" t="str">
        <f>VLOOKUP(B37,TH.Q2!B42:E373,4,FALSE)</f>
        <v>Phó GĐ TT Đào tạo và Quản lý thiết bị</v>
      </c>
      <c r="F37" s="1160">
        <v>3</v>
      </c>
      <c r="G37" s="1137"/>
      <c r="H37" s="1393">
        <f t="shared" si="2"/>
        <v>0</v>
      </c>
      <c r="I37" s="1138">
        <v>0.35</v>
      </c>
      <c r="J37" s="1138" t="str">
        <f>VLOOKUP(B37,'[15]Gui chi Quynh'!$B$11:$E$396,4,FALSE)</f>
        <v>A1</v>
      </c>
      <c r="K37" s="1138">
        <f t="shared" si="3"/>
        <v>0.8</v>
      </c>
      <c r="L37" s="1139">
        <v>23</v>
      </c>
      <c r="M37" s="1139">
        <f>VLOOKUP(B37,'[16]CN BC'!$H$10:$J$275,3,FALSE)</f>
        <v>29</v>
      </c>
      <c r="N37" s="1139">
        <f t="shared" si="4"/>
        <v>23</v>
      </c>
      <c r="O37" s="1140"/>
      <c r="P37" s="1141">
        <f t="shared" si="0"/>
        <v>6271200</v>
      </c>
      <c r="Q37" s="1519">
        <f t="shared" si="5"/>
        <v>2.68</v>
      </c>
      <c r="R37" s="1606">
        <v>2340000</v>
      </c>
      <c r="S37" s="1618">
        <f t="shared" si="6"/>
        <v>6271200</v>
      </c>
      <c r="T37" s="1142">
        <f t="shared" si="1"/>
        <v>25</v>
      </c>
      <c r="U37" s="1143">
        <f>IFERROR(INDEX('[16]CN BC'!$M$10:$M$276,MATCH(B37,'[16]CN BC'!$H$10:$H$276,0)),"")</f>
        <v>0</v>
      </c>
      <c r="V37" s="1144" t="str">
        <f>VLOOKUP(B37,TH.T4!B45:AC375,28,FALSE)</f>
        <v>TTĐT</v>
      </c>
      <c r="W37" s="1252">
        <f>_xlfn.AGGREGATE(4,7,W$17:W36)+1</f>
        <v>20</v>
      </c>
      <c r="X37" s="1252" t="s">
        <v>2222</v>
      </c>
      <c r="Y37" s="1253" t="s">
        <v>2296</v>
      </c>
      <c r="Z37" s="1254" t="e">
        <f>SUMIF(#REF!,$K37,$H$15:$H$78)</f>
        <v>#REF!</v>
      </c>
    </row>
    <row r="38" spans="1:35" s="1148" customFormat="1" ht="26.25" customHeight="1">
      <c r="A38" s="1132">
        <f>_xlfn.AGGREGATE(4,7,A$12:A37)+1</f>
        <v>26</v>
      </c>
      <c r="B38" s="1164" t="s">
        <v>1843</v>
      </c>
      <c r="C38" s="1165" t="s">
        <v>1955</v>
      </c>
      <c r="D38" s="1181" t="s">
        <v>1936</v>
      </c>
      <c r="E38" s="1058" t="str">
        <f>VLOOKUP(B38,TH.Q2!B43:E374,4,FALSE)</f>
        <v>NV - TT Đào tạo và Quản lý vật tư thiết bị</v>
      </c>
      <c r="F38" s="1136">
        <v>2.67</v>
      </c>
      <c r="G38" s="1137"/>
      <c r="H38" s="1393">
        <f t="shared" si="2"/>
        <v>0</v>
      </c>
      <c r="I38" s="1138"/>
      <c r="J38" s="1138" t="str">
        <f>VLOOKUP(B38,'[15]Gui chi Quynh'!$B$11:$E$396,4,FALSE)</f>
        <v>A2</v>
      </c>
      <c r="K38" s="1138">
        <f t="shared" si="3"/>
        <v>0.7</v>
      </c>
      <c r="L38" s="1139">
        <v>23</v>
      </c>
      <c r="M38" s="1139">
        <f>VLOOKUP(B38,'[16]CN BC'!$H$10:$J$275,3,FALSE)</f>
        <v>24</v>
      </c>
      <c r="N38" s="1139">
        <f t="shared" si="4"/>
        <v>23</v>
      </c>
      <c r="O38" s="1140"/>
      <c r="P38" s="1141">
        <f t="shared" si="0"/>
        <v>4373460</v>
      </c>
      <c r="Q38" s="1519">
        <f t="shared" si="5"/>
        <v>1.869</v>
      </c>
      <c r="R38" s="1606">
        <v>2340000</v>
      </c>
      <c r="S38" s="1618">
        <f t="shared" si="6"/>
        <v>4373460</v>
      </c>
      <c r="T38" s="1142">
        <f t="shared" si="1"/>
        <v>26</v>
      </c>
      <c r="U38" s="1143">
        <f>IFERROR(INDEX('[16]CN BC'!$M$10:$M$276,MATCH(B38,'[16]CN BC'!$H$10:$H$276,0)),"")</f>
        <v>0</v>
      </c>
      <c r="V38" s="1144" t="str">
        <f>VLOOKUP(B38,TH.T4!B46:AC376,28,FALSE)</f>
        <v>TTĐT</v>
      </c>
      <c r="W38" s="1252">
        <f>_xlfn.AGGREGATE(4,7,W$17:W37)+1</f>
        <v>21</v>
      </c>
      <c r="X38" s="1252" t="s">
        <v>2223</v>
      </c>
      <c r="Y38" s="1253" t="s">
        <v>2297</v>
      </c>
      <c r="Z38" s="1254" t="e">
        <f>SUMIF(#REF!,$K38,$H$15:$H$78)</f>
        <v>#REF!</v>
      </c>
      <c r="AA38" s="1146"/>
      <c r="AB38" s="1146"/>
      <c r="AC38" s="1146"/>
      <c r="AD38" s="1146"/>
      <c r="AE38" s="1146"/>
    </row>
    <row r="39" spans="1:35" s="1148" customFormat="1" ht="27" customHeight="1">
      <c r="A39" s="1132">
        <f>_xlfn.AGGREGATE(4,7,A$12:A38)+1</f>
        <v>27</v>
      </c>
      <c r="B39" s="1133" t="s">
        <v>1856</v>
      </c>
      <c r="C39" s="1153" t="s">
        <v>1652</v>
      </c>
      <c r="D39" s="1154" t="s">
        <v>1293</v>
      </c>
      <c r="E39" s="383" t="str">
        <f>VLOOKUP(B39,TH.Q2!B44:E375,4,FALSE)</f>
        <v>Nhân viên phòng Quản trị - Dịch vụ</v>
      </c>
      <c r="F39" s="1136">
        <v>4.9800000000000004</v>
      </c>
      <c r="G39" s="1137">
        <v>0.06</v>
      </c>
      <c r="H39" s="1400">
        <f t="shared" si="2"/>
        <v>0.29899999999999999</v>
      </c>
      <c r="I39" s="1138">
        <v>0.25</v>
      </c>
      <c r="J39" s="1138" t="str">
        <f>VLOOKUP(B39,'[15]Gui chi Quynh'!$B$11:$E$396,4,FALSE)</f>
        <v>A3</v>
      </c>
      <c r="K39" s="1138">
        <f t="shared" si="3"/>
        <v>0.6</v>
      </c>
      <c r="L39" s="1139">
        <v>23</v>
      </c>
      <c r="M39" s="1139">
        <f>VLOOKUP(B39,'[16]CN BC'!$H$10:$J$275,3,FALSE)</f>
        <v>27</v>
      </c>
      <c r="N39" s="1139">
        <f t="shared" si="4"/>
        <v>23</v>
      </c>
      <c r="O39" s="1155"/>
      <c r="P39" s="1141">
        <f t="shared" si="0"/>
        <v>7762716</v>
      </c>
      <c r="Q39" s="1519">
        <f t="shared" si="5"/>
        <v>3.3174000000000001</v>
      </c>
      <c r="R39" s="1606">
        <v>2340000</v>
      </c>
      <c r="S39" s="1618">
        <f t="shared" si="6"/>
        <v>7762716</v>
      </c>
      <c r="T39" s="1142">
        <f t="shared" si="1"/>
        <v>27</v>
      </c>
      <c r="U39" s="1143">
        <f>IFERROR(INDEX('[16]CN BC'!$M$10:$M$276,MATCH(B39,'[16]CN BC'!$H$10:$H$276,0)),"")</f>
        <v>0</v>
      </c>
      <c r="V39" s="1189" t="str">
        <f>VLOOKUP(B39,TH.T4!B47:AC377,28,FALSE)</f>
        <v>QTDV</v>
      </c>
      <c r="W39" s="1255">
        <f>_xlfn.AGGREGATE(4,7,W$17:W38)+1</f>
        <v>22</v>
      </c>
      <c r="X39" s="1255" t="s">
        <v>2298</v>
      </c>
      <c r="Y39" s="1256" t="s">
        <v>2299</v>
      </c>
      <c r="Z39" s="1257" t="e">
        <f>SUMIF(#REF!,$K39,$H$15:$H$78)</f>
        <v>#REF!</v>
      </c>
    </row>
    <row r="40" spans="1:35" s="1148" customFormat="1" ht="30" customHeight="1">
      <c r="A40" s="1132">
        <f>_xlfn.AGGREGATE(4,7,A$12:A39)+1</f>
        <v>28</v>
      </c>
      <c r="B40" s="1133" t="s">
        <v>1462</v>
      </c>
      <c r="C40" s="1153" t="s">
        <v>1654</v>
      </c>
      <c r="D40" s="1168">
        <v>1603205182619</v>
      </c>
      <c r="E40" s="1058" t="str">
        <f>VLOOKUP(B40,TH.Q2!B45:E376,4,FALSE)</f>
        <v>Nhân viên phòng Quản trị - Dịch vụ</v>
      </c>
      <c r="F40" s="1136">
        <v>3.66</v>
      </c>
      <c r="G40" s="1137"/>
      <c r="H40" s="1393">
        <f t="shared" si="2"/>
        <v>0</v>
      </c>
      <c r="I40" s="1138"/>
      <c r="J40" s="1138" t="str">
        <f>VLOOKUP(B40,'[15]Gui chi Quynh'!$B$11:$E$396,4,FALSE)</f>
        <v>A3</v>
      </c>
      <c r="K40" s="1138">
        <f t="shared" si="3"/>
        <v>0.6</v>
      </c>
      <c r="L40" s="1139">
        <v>23</v>
      </c>
      <c r="M40" s="1139">
        <f>VLOOKUP(B40,'[16]CN BC'!$H$10:$J$275,3,FALSE)</f>
        <v>27</v>
      </c>
      <c r="N40" s="1139">
        <f t="shared" si="4"/>
        <v>23</v>
      </c>
      <c r="O40" s="1140"/>
      <c r="P40" s="1141">
        <f t="shared" si="0"/>
        <v>5138640</v>
      </c>
      <c r="Q40" s="1519">
        <f t="shared" si="5"/>
        <v>2.1960000000000002</v>
      </c>
      <c r="R40" s="1606">
        <v>2340000</v>
      </c>
      <c r="S40" s="1618">
        <f t="shared" si="6"/>
        <v>5138640</v>
      </c>
      <c r="T40" s="1142">
        <f t="shared" si="1"/>
        <v>28</v>
      </c>
      <c r="U40" s="1143">
        <f>IFERROR(INDEX('[16]CN BC'!$M$10:$M$276,MATCH(B40,'[16]CN BC'!$H$10:$H$276,0)),"")</f>
        <v>0</v>
      </c>
      <c r="V40" s="1144" t="str">
        <f>VLOOKUP(B40,TH.T4!B48:AC378,28,FALSE)</f>
        <v>QTDV</v>
      </c>
      <c r="W40" s="1252">
        <f>_xlfn.AGGREGATE(4,7,W$17:W39)+1</f>
        <v>23</v>
      </c>
      <c r="X40" s="1252" t="s">
        <v>2228</v>
      </c>
      <c r="Y40" s="1253" t="s">
        <v>2300</v>
      </c>
      <c r="Z40" s="1254" t="e">
        <f>SUMIF(#REF!,$K40,$H$15:$H$78)</f>
        <v>#REF!</v>
      </c>
    </row>
    <row r="41" spans="1:35" s="1148" customFormat="1" ht="27" customHeight="1">
      <c r="A41" s="1132">
        <f>_xlfn.AGGREGATE(4,7,A$12:A40)+1</f>
        <v>29</v>
      </c>
      <c r="B41" s="1133" t="s">
        <v>2012</v>
      </c>
      <c r="C41" s="1153"/>
      <c r="D41" s="1168"/>
      <c r="E41" s="383" t="str">
        <f>VLOOKUP(B41,TH.Q2!B46:E377,4,FALSE)</f>
        <v>Nhân viên phòng Quản trị - Dịch vụ</v>
      </c>
      <c r="F41" s="1136">
        <v>4.0599999999999996</v>
      </c>
      <c r="G41" s="1137">
        <v>0.11</v>
      </c>
      <c r="H41" s="1400">
        <f t="shared" si="2"/>
        <v>0.44700000000000001</v>
      </c>
      <c r="I41" s="1138">
        <v>0.35</v>
      </c>
      <c r="J41" s="1138" t="str">
        <f>VLOOKUP(B41,'[15]Gui chi Quynh'!$B$11:$E$396,4,FALSE)</f>
        <v>A1</v>
      </c>
      <c r="K41" s="1138">
        <f t="shared" si="3"/>
        <v>0.8</v>
      </c>
      <c r="L41" s="1139">
        <v>23</v>
      </c>
      <c r="M41" s="1139">
        <f>VLOOKUP(B41,'[16]CN BC'!$H$10:$J$275,3,FALSE)</f>
        <v>27</v>
      </c>
      <c r="N41" s="1139">
        <f t="shared" si="4"/>
        <v>23</v>
      </c>
      <c r="O41" s="1155"/>
      <c r="P41" s="1141">
        <f t="shared" si="0"/>
        <v>9092303.9999999981</v>
      </c>
      <c r="Q41" s="1519">
        <f t="shared" si="5"/>
        <v>3.8855999999999993</v>
      </c>
      <c r="R41" s="1606">
        <v>2340000</v>
      </c>
      <c r="S41" s="1618">
        <f t="shared" si="6"/>
        <v>9092303.9999999981</v>
      </c>
      <c r="T41" s="1142">
        <f t="shared" si="1"/>
        <v>29</v>
      </c>
      <c r="U41" s="1143">
        <f>IFERROR(INDEX('[16]CN BC'!$M$10:$M$276,MATCH(B41,'[16]CN BC'!$H$10:$H$276,0)),"")</f>
        <v>0</v>
      </c>
      <c r="V41" s="1189" t="str">
        <f>VLOOKUP(B41,TH.T4!B49:AC379,28,FALSE)</f>
        <v>QTDV</v>
      </c>
      <c r="W41" s="1255">
        <f>_xlfn.AGGREGATE(4,7,W$17:W40)+1</f>
        <v>24</v>
      </c>
      <c r="X41" s="1255" t="s">
        <v>2235</v>
      </c>
      <c r="Y41" s="1256" t="s">
        <v>2301</v>
      </c>
      <c r="Z41" s="1257" t="e">
        <f>SUMIF(#REF!,$K41,$H$15:$H$78)</f>
        <v>#REF!</v>
      </c>
    </row>
    <row r="42" spans="1:35" s="1146" customFormat="1" ht="27" customHeight="1">
      <c r="A42" s="1132">
        <f>_xlfn.AGGREGATE(4,7,A$12:A41)+1</f>
        <v>30</v>
      </c>
      <c r="B42" s="1172" t="s">
        <v>1852</v>
      </c>
      <c r="C42" s="1149" t="s">
        <v>1636</v>
      </c>
      <c r="D42" s="1173" t="s">
        <v>1258</v>
      </c>
      <c r="E42" s="1058" t="str">
        <f>VLOOKUP(B42,TH.Q2!B47:E378,4,FALSE)</f>
        <v>Trưởng TT Y tế</v>
      </c>
      <c r="F42" s="1178">
        <v>4.6500000000000004</v>
      </c>
      <c r="G42" s="1182"/>
      <c r="H42" s="1393">
        <f t="shared" si="2"/>
        <v>0</v>
      </c>
      <c r="I42" s="1176">
        <v>0.45</v>
      </c>
      <c r="J42" s="1138" t="str">
        <f>VLOOKUP(B42,'[15]Gui chi Quynh'!$B$11:$E$396,4,FALSE)</f>
        <v>A1</v>
      </c>
      <c r="K42" s="1138">
        <f t="shared" si="3"/>
        <v>0.8</v>
      </c>
      <c r="L42" s="1139">
        <v>23</v>
      </c>
      <c r="M42" s="1139">
        <f>VLOOKUP(B42,'[16]CN BC'!$H$10:$J$275,3,FALSE)</f>
        <v>27</v>
      </c>
      <c r="N42" s="1139">
        <f t="shared" si="4"/>
        <v>23</v>
      </c>
      <c r="O42" s="1140"/>
      <c r="P42" s="1141">
        <f t="shared" si="0"/>
        <v>9547200.0000000019</v>
      </c>
      <c r="Q42" s="1519">
        <f t="shared" si="5"/>
        <v>4.080000000000001</v>
      </c>
      <c r="R42" s="1606">
        <v>2340000</v>
      </c>
      <c r="S42" s="1618">
        <f t="shared" si="6"/>
        <v>9547200.0000000019</v>
      </c>
      <c r="T42" s="1142">
        <f t="shared" si="1"/>
        <v>30</v>
      </c>
      <c r="U42" s="1143">
        <f>IFERROR(INDEX('[16]CN BC'!$M$10:$M$276,MATCH(B42,'[16]CN BC'!$H$10:$H$276,0)),"")</f>
        <v>0</v>
      </c>
      <c r="V42" s="1144" t="str">
        <f>VLOOKUP(B42,TH.T4!B50:AC380,28,FALSE)</f>
        <v>TTYT</v>
      </c>
      <c r="W42" s="1252">
        <f>_xlfn.AGGREGATE(4,7,W$17:W41)+1</f>
        <v>25</v>
      </c>
      <c r="X42" s="1255" t="s">
        <v>2225</v>
      </c>
      <c r="Y42" s="1256" t="s">
        <v>2302</v>
      </c>
      <c r="Z42" s="1257" t="e">
        <f>SUMIF(#REF!,$K42,$H$15:$H$78)</f>
        <v>#REF!</v>
      </c>
    </row>
    <row r="43" spans="1:35" s="1146" customFormat="1" ht="27" customHeight="1">
      <c r="A43" s="1132">
        <f>_xlfn.AGGREGATE(4,7,A$12:A42)+1</f>
        <v>31</v>
      </c>
      <c r="B43" s="1172" t="s">
        <v>1454</v>
      </c>
      <c r="C43" s="1149" t="s">
        <v>1637</v>
      </c>
      <c r="D43" s="1177">
        <v>1603205247426</v>
      </c>
      <c r="E43" s="1058" t="str">
        <f>VLOOKUP(B43,TH.Q2!B48:E379,4,FALSE)</f>
        <v>Nhân viên Trung tâm Y tế</v>
      </c>
      <c r="F43" s="1174">
        <v>3.66</v>
      </c>
      <c r="G43" s="1175"/>
      <c r="H43" s="1393">
        <f t="shared" si="2"/>
        <v>0</v>
      </c>
      <c r="I43" s="1176"/>
      <c r="J43" s="1138" t="str">
        <f>VLOOKUP(B43,'[15]Gui chi Quynh'!$B$11:$E$396,4,FALSE)</f>
        <v>A3</v>
      </c>
      <c r="K43" s="1138">
        <f t="shared" si="3"/>
        <v>0.6</v>
      </c>
      <c r="L43" s="1139">
        <v>23</v>
      </c>
      <c r="M43" s="1139">
        <f>VLOOKUP(B43,'[16]CN BC'!$H$10:$J$275,3,FALSE)</f>
        <v>27</v>
      </c>
      <c r="N43" s="1139">
        <f t="shared" si="4"/>
        <v>23</v>
      </c>
      <c r="O43" s="1140"/>
      <c r="P43" s="1141">
        <f t="shared" si="0"/>
        <v>5138640</v>
      </c>
      <c r="Q43" s="1519">
        <f t="shared" si="5"/>
        <v>2.1960000000000002</v>
      </c>
      <c r="R43" s="1606">
        <v>2340000</v>
      </c>
      <c r="S43" s="1618">
        <f t="shared" si="6"/>
        <v>5138640</v>
      </c>
      <c r="T43" s="1142">
        <f t="shared" si="1"/>
        <v>31</v>
      </c>
      <c r="U43" s="1143">
        <f>IFERROR(INDEX('[16]CN BC'!$M$10:$M$276,MATCH(B43,'[16]CN BC'!$H$10:$H$276,0)),"")</f>
        <v>0</v>
      </c>
      <c r="V43" s="1144" t="str">
        <f>VLOOKUP(B43,TH.T4!B51:AC381,28,FALSE)</f>
        <v>TTYT</v>
      </c>
      <c r="W43" s="1130"/>
      <c r="Y43" s="1147"/>
    </row>
    <row r="44" spans="1:35" s="1148" customFormat="1" ht="27" customHeight="1">
      <c r="A44" s="1132">
        <f>_xlfn.AGGREGATE(4,7,A$12:A43)+1</f>
        <v>32</v>
      </c>
      <c r="B44" s="1133" t="s">
        <v>1445</v>
      </c>
      <c r="C44" s="1149" t="s">
        <v>1638</v>
      </c>
      <c r="D44" s="1150" t="s">
        <v>1576</v>
      </c>
      <c r="E44" s="1058" t="str">
        <f>VLOOKUP(B44,TH.Q2!B49:E380,4,FALSE)</f>
        <v>TP. Kế hoạch - Tài chính</v>
      </c>
      <c r="F44" s="1160">
        <v>4.9800000000000004</v>
      </c>
      <c r="G44" s="1137">
        <v>0.38</v>
      </c>
      <c r="H44" s="1393">
        <f t="shared" si="2"/>
        <v>1.8919999999999999</v>
      </c>
      <c r="I44" s="1138">
        <v>0.45</v>
      </c>
      <c r="J44" s="1138" t="str">
        <f>VLOOKUP(B44,'[15]Gui chi Quynh'!$B$11:$E$396,4,FALSE)</f>
        <v>A1</v>
      </c>
      <c r="K44" s="1138">
        <f t="shared" si="3"/>
        <v>0.8</v>
      </c>
      <c r="L44" s="1139">
        <v>23</v>
      </c>
      <c r="M44" s="1139">
        <f>VLOOKUP(B44,'[16]CN BC'!$H$10:$J$275,3,FALSE)</f>
        <v>29</v>
      </c>
      <c r="N44" s="1139">
        <f t="shared" si="4"/>
        <v>23</v>
      </c>
      <c r="O44" s="1140"/>
      <c r="P44" s="1141">
        <f t="shared" si="0"/>
        <v>13706784</v>
      </c>
      <c r="Q44" s="1519">
        <f t="shared" si="5"/>
        <v>5.8575999999999997</v>
      </c>
      <c r="R44" s="1606">
        <v>2340000</v>
      </c>
      <c r="S44" s="1618">
        <f t="shared" si="6"/>
        <v>13706784</v>
      </c>
      <c r="T44" s="1142">
        <f t="shared" si="1"/>
        <v>32</v>
      </c>
      <c r="U44" s="1143">
        <f>IFERROR(INDEX('[16]CN BC'!$M$10:$M$276,MATCH(B44,'[16]CN BC'!$H$10:$H$276,0)),"")</f>
        <v>0</v>
      </c>
      <c r="V44" s="1144" t="str">
        <f>VLOOKUP(B44,TH.T4!B52:AC382,28,FALSE)</f>
        <v>KHTC</v>
      </c>
      <c r="W44" s="1130"/>
      <c r="X44" s="1146"/>
      <c r="Y44" s="1147"/>
      <c r="Z44" s="1146"/>
      <c r="AA44" s="1146"/>
      <c r="AB44" s="1146"/>
      <c r="AC44" s="1146"/>
      <c r="AD44" s="1146"/>
      <c r="AE44" s="1146"/>
      <c r="AF44" s="1146"/>
      <c r="AG44" s="1146"/>
      <c r="AH44" s="1146"/>
      <c r="AI44" s="1146"/>
    </row>
    <row r="45" spans="1:35" s="1146" customFormat="1" ht="26.25" customHeight="1">
      <c r="A45" s="1132">
        <f>_xlfn.AGGREGATE(4,7,A$12:A44)+1</f>
        <v>33</v>
      </c>
      <c r="B45" s="1172" t="s">
        <v>1455</v>
      </c>
      <c r="C45" s="1149" t="s">
        <v>1640</v>
      </c>
      <c r="D45" s="1173" t="s">
        <v>368</v>
      </c>
      <c r="E45" s="1058" t="str">
        <f>VLOOKUP(B45,TH.Q2!B50:E381,4,FALSE)</f>
        <v>NV phòng KH-TC</v>
      </c>
      <c r="F45" s="1174">
        <v>3.99</v>
      </c>
      <c r="G45" s="1175"/>
      <c r="H45" s="1393">
        <f t="shared" si="2"/>
        <v>0</v>
      </c>
      <c r="I45" s="1176"/>
      <c r="J45" s="1138" t="str">
        <f>VLOOKUP(B45,'[15]Gui chi Quynh'!$B$11:$E$396,4,FALSE)</f>
        <v>A1</v>
      </c>
      <c r="K45" s="1138">
        <f t="shared" si="3"/>
        <v>0.8</v>
      </c>
      <c r="L45" s="1139">
        <v>23</v>
      </c>
      <c r="M45" s="1139">
        <f>VLOOKUP(B45,'[16]CN BC'!$H$10:$J$275,3,FALSE)</f>
        <v>27</v>
      </c>
      <c r="N45" s="1139">
        <f t="shared" si="4"/>
        <v>23</v>
      </c>
      <c r="O45" s="1140"/>
      <c r="P45" s="1141">
        <f t="shared" si="0"/>
        <v>7469280</v>
      </c>
      <c r="Q45" s="1519">
        <f t="shared" si="5"/>
        <v>3.1920000000000002</v>
      </c>
      <c r="R45" s="1606">
        <v>2340000</v>
      </c>
      <c r="S45" s="1618">
        <f t="shared" si="6"/>
        <v>7469280</v>
      </c>
      <c r="T45" s="1142">
        <f t="shared" si="1"/>
        <v>33</v>
      </c>
      <c r="U45" s="1143">
        <f>IFERROR(INDEX('[16]CN BC'!$M$10:$M$276,MATCH(B45,'[16]CN BC'!$H$10:$H$276,0)),"")</f>
        <v>0</v>
      </c>
      <c r="V45" s="1144" t="str">
        <f>VLOOKUP(B45,TH.T4!B53:AC383,28,FALSE)</f>
        <v>KHTC</v>
      </c>
      <c r="W45" s="1130"/>
      <c r="Y45" s="1147"/>
    </row>
    <row r="46" spans="1:35" s="1148" customFormat="1" ht="27" customHeight="1">
      <c r="A46" s="1132">
        <f>_xlfn.AGGREGATE(4,7,A$12:A45)+1</f>
        <v>34</v>
      </c>
      <c r="B46" s="1133" t="s">
        <v>1456</v>
      </c>
      <c r="C46" s="1153" t="s">
        <v>1641</v>
      </c>
      <c r="D46" s="1168">
        <v>1603205178873</v>
      </c>
      <c r="E46" s="1058" t="str">
        <f>VLOOKUP(B46,TH.Q2!B51:E382,4,FALSE)</f>
        <v>NV phòng KH-TC</v>
      </c>
      <c r="F46" s="1136">
        <v>3.66</v>
      </c>
      <c r="G46" s="1137"/>
      <c r="H46" s="1393">
        <f t="shared" si="2"/>
        <v>0</v>
      </c>
      <c r="I46" s="1138"/>
      <c r="J46" s="1138" t="str">
        <f>VLOOKUP(B46,'[15]Gui chi Quynh'!$B$11:$E$396,4,FALSE)</f>
        <v>A1</v>
      </c>
      <c r="K46" s="1138">
        <f t="shared" si="3"/>
        <v>0.8</v>
      </c>
      <c r="L46" s="1139">
        <v>23</v>
      </c>
      <c r="M46" s="1139">
        <f>VLOOKUP(B46,'[16]CN BC'!$H$10:$J$275,3,FALSE)</f>
        <v>27</v>
      </c>
      <c r="N46" s="1139">
        <f t="shared" si="4"/>
        <v>23</v>
      </c>
      <c r="O46" s="1140"/>
      <c r="P46" s="1141">
        <f t="shared" si="0"/>
        <v>6851520</v>
      </c>
      <c r="Q46" s="1519">
        <f t="shared" si="5"/>
        <v>2.9279999999999999</v>
      </c>
      <c r="R46" s="1606">
        <v>2340000</v>
      </c>
      <c r="S46" s="1618">
        <f t="shared" si="6"/>
        <v>6851520</v>
      </c>
      <c r="T46" s="1142">
        <f t="shared" si="1"/>
        <v>34</v>
      </c>
      <c r="U46" s="1143">
        <f>IFERROR(INDEX('[16]CN BC'!$M$10:$M$276,MATCH(B46,'[16]CN BC'!$H$10:$H$276,0)),"")</f>
        <v>0</v>
      </c>
      <c r="V46" s="1144" t="str">
        <f>VLOOKUP(B46,TH.T4!B54:AC384,28,FALSE)</f>
        <v>KHTC</v>
      </c>
      <c r="W46" s="1130"/>
      <c r="X46" s="1146"/>
      <c r="Y46" s="1147"/>
      <c r="Z46" s="1146"/>
      <c r="AA46" s="1146"/>
      <c r="AB46" s="1146"/>
      <c r="AC46" s="1146"/>
      <c r="AD46" s="1146"/>
      <c r="AE46" s="1146"/>
    </row>
    <row r="47" spans="1:35" s="1148" customFormat="1" ht="27" customHeight="1">
      <c r="A47" s="1132">
        <f>_xlfn.AGGREGATE(4,7,A$12:A46)+1</f>
        <v>35</v>
      </c>
      <c r="B47" s="1133" t="s">
        <v>1457</v>
      </c>
      <c r="C47" s="1153" t="s">
        <v>1642</v>
      </c>
      <c r="D47" s="1166">
        <v>1603205372861</v>
      </c>
      <c r="E47" s="1058" t="str">
        <f>VLOOKUP(B47,TH.Q2!B52:E383,4,FALSE)</f>
        <v>NV phòng KH-TC</v>
      </c>
      <c r="F47" s="1160">
        <v>3</v>
      </c>
      <c r="G47" s="1137"/>
      <c r="H47" s="1393">
        <f t="shared" si="2"/>
        <v>0</v>
      </c>
      <c r="I47" s="1138"/>
      <c r="J47" s="1138" t="str">
        <f>VLOOKUP(B47,'[15]Gui chi Quynh'!$B$11:$E$396,4,FALSE)</f>
        <v>A3</v>
      </c>
      <c r="K47" s="1138">
        <f t="shared" si="3"/>
        <v>0.6</v>
      </c>
      <c r="L47" s="1139">
        <v>23</v>
      </c>
      <c r="M47" s="1139">
        <f>VLOOKUP(B47,'[16]CN BC'!$H$10:$J$275,3,FALSE)</f>
        <v>27</v>
      </c>
      <c r="N47" s="1139">
        <f t="shared" si="4"/>
        <v>23</v>
      </c>
      <c r="O47" s="1140"/>
      <c r="P47" s="1141">
        <f t="shared" si="0"/>
        <v>4212000</v>
      </c>
      <c r="Q47" s="1519">
        <f t="shared" si="5"/>
        <v>1.8</v>
      </c>
      <c r="R47" s="1606">
        <v>2340000</v>
      </c>
      <c r="S47" s="1618">
        <f t="shared" si="6"/>
        <v>4212000</v>
      </c>
      <c r="T47" s="1142">
        <f t="shared" si="1"/>
        <v>35</v>
      </c>
      <c r="U47" s="1143">
        <f>IFERROR(INDEX('[16]CN BC'!$M$10:$M$276,MATCH(B47,'[16]CN BC'!$H$10:$H$276,0)),"")</f>
        <v>0</v>
      </c>
      <c r="V47" s="1144" t="str">
        <f>VLOOKUP(B47,TH.T4!B55:AC385,28,FALSE)</f>
        <v>KHTC</v>
      </c>
      <c r="W47" s="1130"/>
      <c r="X47" s="1146"/>
      <c r="Y47" s="1147"/>
      <c r="Z47" s="1146"/>
      <c r="AA47" s="1146"/>
      <c r="AB47" s="1146"/>
      <c r="AC47" s="1146"/>
      <c r="AD47" s="1146"/>
      <c r="AE47" s="1146"/>
    </row>
    <row r="48" spans="1:35" s="1148" customFormat="1" ht="27" customHeight="1">
      <c r="A48" s="1132">
        <f>_xlfn.AGGREGATE(4,7,A$12:A47)+1</f>
        <v>36</v>
      </c>
      <c r="B48" s="1133" t="s">
        <v>1859</v>
      </c>
      <c r="C48" s="1153" t="s">
        <v>1665</v>
      </c>
      <c r="D48" s="1179">
        <v>1603205185357</v>
      </c>
      <c r="E48" s="1058" t="str">
        <f>VLOOKUP(B48,TH.Q2!B53:E384,4,FALSE)</f>
        <v>NV Phòng KH-TC</v>
      </c>
      <c r="F48" s="1160">
        <v>3.66</v>
      </c>
      <c r="G48" s="1137"/>
      <c r="H48" s="1393">
        <f t="shared" si="2"/>
        <v>0</v>
      </c>
      <c r="I48" s="1138"/>
      <c r="J48" s="1138" t="str">
        <f>VLOOKUP(B48,'[15]Gui chi Quynh'!$B$11:$E$396,4,FALSE)</f>
        <v>A1</v>
      </c>
      <c r="K48" s="1138">
        <f t="shared" si="3"/>
        <v>0.8</v>
      </c>
      <c r="L48" s="1139">
        <v>23</v>
      </c>
      <c r="M48" s="1139">
        <f>VLOOKUP(B48,'[16]CN BC'!$H$10:$J$275,3,FALSE)</f>
        <v>27</v>
      </c>
      <c r="N48" s="1139">
        <f t="shared" si="4"/>
        <v>23</v>
      </c>
      <c r="O48" s="1140"/>
      <c r="P48" s="1141">
        <f t="shared" si="0"/>
        <v>6851520</v>
      </c>
      <c r="Q48" s="1519">
        <f t="shared" si="5"/>
        <v>2.9279999999999999</v>
      </c>
      <c r="R48" s="1606">
        <v>2340000</v>
      </c>
      <c r="S48" s="1618">
        <f t="shared" si="6"/>
        <v>6851520</v>
      </c>
      <c r="T48" s="1142">
        <f t="shared" si="1"/>
        <v>36</v>
      </c>
      <c r="U48" s="1143">
        <f>IFERROR(INDEX('[16]CN BC'!$M$10:$M$276,MATCH(B48,'[16]CN BC'!$H$10:$H$276,0)),"")</f>
        <v>0</v>
      </c>
      <c r="V48" s="1144" t="str">
        <f>VLOOKUP(B48,TH.T4!B56:AC386,28,FALSE)</f>
        <v>KHTC</v>
      </c>
      <c r="W48" s="1171"/>
      <c r="Y48" s="1158"/>
    </row>
    <row r="49" spans="1:35" s="1148" customFormat="1" ht="24.75" customHeight="1">
      <c r="A49" s="1132">
        <f>_xlfn.AGGREGATE(4,7,A$12:A48)+1</f>
        <v>37</v>
      </c>
      <c r="B49" s="1133" t="s">
        <v>1459</v>
      </c>
      <c r="C49" s="1153" t="s">
        <v>1645</v>
      </c>
      <c r="D49" s="1166" t="s">
        <v>1578</v>
      </c>
      <c r="E49" s="1058" t="str">
        <f>VLOOKUP(B49,TH.Q2!B54:E385,4,FALSE)</f>
        <v>Trưởng phòng Thanh tra GD - Quan hệ DN</v>
      </c>
      <c r="F49" s="1136">
        <v>4.32</v>
      </c>
      <c r="G49" s="1137"/>
      <c r="H49" s="1393">
        <f t="shared" si="2"/>
        <v>0</v>
      </c>
      <c r="I49" s="1138">
        <v>0.45</v>
      </c>
      <c r="J49" s="1138" t="str">
        <f>VLOOKUP(B49,'[15]Gui chi Quynh'!$B$11:$E$396,4,FALSE)</f>
        <v>A1</v>
      </c>
      <c r="K49" s="1138">
        <f t="shared" si="3"/>
        <v>0.8</v>
      </c>
      <c r="L49" s="1139">
        <v>23</v>
      </c>
      <c r="M49" s="1139">
        <f>VLOOKUP(B49,'[16]CN BC'!$H$10:$J$275,3,FALSE)</f>
        <v>27</v>
      </c>
      <c r="N49" s="1139">
        <f t="shared" si="4"/>
        <v>23</v>
      </c>
      <c r="O49" s="1140"/>
      <c r="P49" s="1141">
        <f t="shared" si="0"/>
        <v>8929440.0000000019</v>
      </c>
      <c r="Q49" s="1519">
        <f t="shared" si="5"/>
        <v>3.8160000000000007</v>
      </c>
      <c r="R49" s="1606">
        <v>2340000</v>
      </c>
      <c r="S49" s="1618">
        <f t="shared" si="6"/>
        <v>8929440.0000000019</v>
      </c>
      <c r="T49" s="1142">
        <f t="shared" si="1"/>
        <v>37</v>
      </c>
      <c r="U49" s="1143">
        <f>IFERROR(INDEX('[16]CN BC'!$M$10:$M$276,MATCH(B49,'[16]CN BC'!$H$10:$H$276,0)),"")</f>
        <v>0</v>
      </c>
      <c r="V49" s="1144" t="str">
        <f>VLOOKUP(B49,TH.T4!B57:AC387,28,FALSE)</f>
        <v>TTrGD</v>
      </c>
      <c r="W49" s="1130"/>
      <c r="X49" s="1146"/>
      <c r="Y49" s="1147"/>
    </row>
    <row r="50" spans="1:35" s="1148" customFormat="1" ht="29.25" customHeight="1">
      <c r="A50" s="1132">
        <f>_xlfn.AGGREGATE(4,7,A$12:A49)+1</f>
        <v>38</v>
      </c>
      <c r="B50" s="1133" t="s">
        <v>1541</v>
      </c>
      <c r="C50" s="1153" t="s">
        <v>1802</v>
      </c>
      <c r="D50" s="1166">
        <v>1603205356140</v>
      </c>
      <c r="E50" s="383" t="str">
        <f>VLOOKUP(B50,TH.Q2!B55:E386,4,FALSE)</f>
        <v>Nhân viên phòng Thanh tra GD - Quan hệ DN</v>
      </c>
      <c r="F50" s="1136">
        <v>4.32</v>
      </c>
      <c r="G50" s="1137"/>
      <c r="H50" s="1400">
        <f t="shared" si="2"/>
        <v>0</v>
      </c>
      <c r="I50" s="1138"/>
      <c r="J50" s="1138" t="str">
        <f>VLOOKUP(B50,'[15]Gui chi Quynh'!$B$11:$E$396,4,FALSE)</f>
        <v>A4</v>
      </c>
      <c r="K50" s="1138">
        <f t="shared" si="3"/>
        <v>0.5</v>
      </c>
      <c r="L50" s="1139">
        <v>23</v>
      </c>
      <c r="M50" s="1139">
        <f>VLOOKUP(B50,'[16]CN BC'!$H$10:$J$275,3,FALSE)</f>
        <v>25</v>
      </c>
      <c r="N50" s="1139">
        <f t="shared" si="4"/>
        <v>23</v>
      </c>
      <c r="O50" s="1155"/>
      <c r="P50" s="1141">
        <f t="shared" si="0"/>
        <v>5054400</v>
      </c>
      <c r="Q50" s="1519">
        <f t="shared" si="5"/>
        <v>2.16</v>
      </c>
      <c r="R50" s="1606">
        <v>2340000</v>
      </c>
      <c r="S50" s="1618">
        <f t="shared" si="6"/>
        <v>5054400</v>
      </c>
      <c r="T50" s="1142">
        <f t="shared" si="1"/>
        <v>38</v>
      </c>
      <c r="U50" s="1143">
        <f>IFERROR(INDEX('[16]CN BC'!$M$10:$M$276,MATCH(B50,'[16]CN BC'!$H$10:$H$276,0)),"")</f>
        <v>0</v>
      </c>
      <c r="V50" s="1189" t="str">
        <f>VLOOKUP(B50,TH.T4!B58:AC388,28,FALSE)</f>
        <v>TTrGD</v>
      </c>
      <c r="W50" s="1171"/>
      <c r="Y50" s="1158"/>
    </row>
    <row r="51" spans="1:35" s="1148" customFormat="1" ht="29.25" customHeight="1">
      <c r="A51" s="1132">
        <f>_xlfn.AGGREGATE(4,7,A$12:A50)+1</f>
        <v>39</v>
      </c>
      <c r="B51" s="1183" t="s">
        <v>1556</v>
      </c>
      <c r="C51" s="1153" t="s">
        <v>1648</v>
      </c>
      <c r="D51" s="1179">
        <v>1603205182727</v>
      </c>
      <c r="E51" s="1058" t="str">
        <f>VLOOKUP(B51,TH.Q2!B56:E387,4,FALSE)</f>
        <v>Nhân viên phòng Thanh tra GD - Quan hệ DN</v>
      </c>
      <c r="F51" s="1160">
        <v>4.6500000000000004</v>
      </c>
      <c r="G51" s="1184"/>
      <c r="H51" s="1393">
        <f t="shared" si="2"/>
        <v>0</v>
      </c>
      <c r="I51" s="1136"/>
      <c r="J51" s="1138" t="str">
        <f>VLOOKUP(B51,'[15]Gui chi Quynh'!$B$11:$E$396,4,FALSE)</f>
        <v>A3</v>
      </c>
      <c r="K51" s="1138">
        <f t="shared" si="3"/>
        <v>0.6</v>
      </c>
      <c r="L51" s="1139">
        <v>23</v>
      </c>
      <c r="M51" s="1139">
        <f>VLOOKUP(B51,'[16]CN BC'!$H$10:$J$275,3,FALSE)</f>
        <v>22.5</v>
      </c>
      <c r="N51" s="1139">
        <f t="shared" si="4"/>
        <v>22.5</v>
      </c>
      <c r="O51" s="1140"/>
      <c r="P51" s="1141">
        <f t="shared" si="0"/>
        <v>6386673.9130434785</v>
      </c>
      <c r="Q51" s="1519">
        <f t="shared" si="5"/>
        <v>2.7293478260869568</v>
      </c>
      <c r="R51" s="1606">
        <v>2340000</v>
      </c>
      <c r="S51" s="1618">
        <f t="shared" si="6"/>
        <v>6386673.9130434785</v>
      </c>
      <c r="T51" s="1142">
        <f t="shared" si="1"/>
        <v>39</v>
      </c>
      <c r="U51" s="1143" t="str">
        <f>IFERROR(INDEX('[16]CN BC'!$M$10:$M$276,MATCH(B51,'[16]CN BC'!$H$10:$H$276,0)),"")</f>
        <v>Trừ 2 ngày nghỉ phép 4+7/10</v>
      </c>
      <c r="V51" s="1144" t="str">
        <f>VLOOKUP(B51,TH.T4!B59:AC389,28,FALSE)</f>
        <v>TTrGD</v>
      </c>
      <c r="W51" s="1130"/>
      <c r="X51" s="1146"/>
      <c r="Y51" s="1147"/>
      <c r="Z51" s="1146"/>
      <c r="AA51" s="1146"/>
      <c r="AB51" s="1146"/>
      <c r="AC51" s="1146"/>
      <c r="AD51" s="1146"/>
      <c r="AE51" s="1146"/>
    </row>
    <row r="52" spans="1:35" s="1148" customFormat="1" ht="30.75" customHeight="1">
      <c r="A52" s="1132">
        <f>_xlfn.AGGREGATE(4,7,A$12:A51)+1</f>
        <v>40</v>
      </c>
      <c r="B52" s="1133" t="s">
        <v>1854</v>
      </c>
      <c r="C52" s="1153" t="s">
        <v>1616</v>
      </c>
      <c r="D52" s="1154" t="s">
        <v>1260</v>
      </c>
      <c r="E52" s="383" t="str">
        <f>VLOOKUP(B52,TH.Q2!B57:E388,4,FALSE)</f>
        <v>Nhân viên phòng Thanh tra GD - Quan hệ DN</v>
      </c>
      <c r="F52" s="1136">
        <v>4.9800000000000004</v>
      </c>
      <c r="G52" s="1137">
        <v>0.08</v>
      </c>
      <c r="H52" s="1400">
        <f t="shared" si="2"/>
        <v>0.39800000000000002</v>
      </c>
      <c r="I52" s="1138"/>
      <c r="J52" s="1138" t="str">
        <f>VLOOKUP(B52,'[15]Gui chi Quynh'!$B$11:$E$396,4,FALSE)</f>
        <v>A2</v>
      </c>
      <c r="K52" s="1138">
        <f t="shared" si="3"/>
        <v>0.7</v>
      </c>
      <c r="L52" s="1139">
        <v>23</v>
      </c>
      <c r="M52" s="1139">
        <f>VLOOKUP(B52,'[16]CN BC'!$H$10:$J$275,3,FALSE)</f>
        <v>24</v>
      </c>
      <c r="N52" s="1139">
        <f t="shared" si="4"/>
        <v>23</v>
      </c>
      <c r="O52" s="1155"/>
      <c r="P52" s="1141">
        <f t="shared" si="0"/>
        <v>8809164</v>
      </c>
      <c r="Q52" s="1519">
        <f t="shared" si="5"/>
        <v>3.7646000000000002</v>
      </c>
      <c r="R52" s="1606">
        <v>2340000</v>
      </c>
      <c r="S52" s="1618">
        <f t="shared" si="6"/>
        <v>8809164</v>
      </c>
      <c r="T52" s="1142">
        <f t="shared" si="1"/>
        <v>40</v>
      </c>
      <c r="U52" s="1143">
        <f>IFERROR(INDEX('[16]CN BC'!$M$10:$M$276,MATCH(B52,'[16]CN BC'!$H$10:$H$276,0)),"")</f>
        <v>0</v>
      </c>
      <c r="V52" s="1189" t="str">
        <f>VLOOKUP(B52,TH.T4!B60:AC390,28,FALSE)</f>
        <v>TTrGD</v>
      </c>
      <c r="W52" s="1579"/>
      <c r="X52" s="1158"/>
      <c r="Y52" s="1158">
        <v>5000000</v>
      </c>
    </row>
    <row r="53" spans="1:35" s="1148" customFormat="1" ht="28.5" customHeight="1">
      <c r="A53" s="1132">
        <f>_xlfn.AGGREGATE(4,7,A$12:A52)+1</f>
        <v>41</v>
      </c>
      <c r="B53" s="1133" t="s">
        <v>1460</v>
      </c>
      <c r="C53" s="1153" t="s">
        <v>1650</v>
      </c>
      <c r="D53" s="1168">
        <v>1603205189653</v>
      </c>
      <c r="E53" s="1058" t="str">
        <f>VLOOKUP(B53,TH.Q2!B58:E389,4,FALSE)</f>
        <v>Nhân viên phòng Thanh tra GD - Quan hệ DN</v>
      </c>
      <c r="F53" s="1136">
        <v>3.99</v>
      </c>
      <c r="G53" s="1137"/>
      <c r="H53" s="1393">
        <f t="shared" si="2"/>
        <v>0</v>
      </c>
      <c r="I53" s="1138"/>
      <c r="J53" s="1138" t="str">
        <f>VLOOKUP(B53,'[15]Gui chi Quynh'!$B$11:$E$396,4,FALSE)</f>
        <v>A3</v>
      </c>
      <c r="K53" s="1138">
        <f t="shared" si="3"/>
        <v>0.6</v>
      </c>
      <c r="L53" s="1139">
        <v>23</v>
      </c>
      <c r="M53" s="1139">
        <f>VLOOKUP(B53,'[16]CN BC'!$H$10:$J$275,3,FALSE)</f>
        <v>24</v>
      </c>
      <c r="N53" s="1139">
        <f t="shared" si="4"/>
        <v>23</v>
      </c>
      <c r="O53" s="1140"/>
      <c r="P53" s="1141">
        <f t="shared" si="0"/>
        <v>5601960</v>
      </c>
      <c r="Q53" s="1519">
        <f t="shared" si="5"/>
        <v>2.3940000000000001</v>
      </c>
      <c r="R53" s="1606">
        <v>2340000</v>
      </c>
      <c r="S53" s="1618">
        <f t="shared" si="6"/>
        <v>5601960</v>
      </c>
      <c r="T53" s="1142">
        <f t="shared" si="1"/>
        <v>41</v>
      </c>
      <c r="U53" s="1143">
        <f>IFERROR(INDEX('[16]CN BC'!$M$10:$M$276,MATCH(B53,'[16]CN BC'!$H$10:$H$276,0)),"")</f>
        <v>0</v>
      </c>
      <c r="V53" s="1144" t="str">
        <f>VLOOKUP(B53,TH.T4!B61:AC391,28,FALSE)</f>
        <v>TTrGD</v>
      </c>
      <c r="W53" s="1171"/>
      <c r="Y53" s="1158"/>
    </row>
    <row r="54" spans="1:35" s="1148" customFormat="1" ht="27" customHeight="1">
      <c r="A54" s="1132">
        <f>_xlfn.AGGREGATE(4,7,A$12:A53)+1</f>
        <v>42</v>
      </c>
      <c r="B54" s="1133" t="s">
        <v>1461</v>
      </c>
      <c r="C54" s="1153" t="s">
        <v>1653</v>
      </c>
      <c r="D54" s="1154" t="s">
        <v>370</v>
      </c>
      <c r="E54" s="1058" t="str">
        <f>VLOOKUP(B54,TH.Q2!B59:E390,4,FALSE)</f>
        <v>Nhân viên phòng Thanh tra GD - Quan hệ DN</v>
      </c>
      <c r="F54" s="1160">
        <v>3.66</v>
      </c>
      <c r="G54" s="1137"/>
      <c r="H54" s="1393">
        <f t="shared" si="2"/>
        <v>0</v>
      </c>
      <c r="I54" s="1138"/>
      <c r="J54" s="1138" t="str">
        <f>VLOOKUP(B54,'[15]Gui chi Quynh'!$B$11:$E$396,4,FALSE)</f>
        <v>A4</v>
      </c>
      <c r="K54" s="1138">
        <f t="shared" si="3"/>
        <v>0.5</v>
      </c>
      <c r="L54" s="1139">
        <v>23</v>
      </c>
      <c r="M54" s="1139">
        <f>VLOOKUP(B54,'[16]CN BC'!$H$10:$J$275,3,FALSE)</f>
        <v>24</v>
      </c>
      <c r="N54" s="1139">
        <f t="shared" si="4"/>
        <v>23</v>
      </c>
      <c r="O54" s="1140"/>
      <c r="P54" s="1141">
        <f t="shared" si="0"/>
        <v>4282200</v>
      </c>
      <c r="Q54" s="1519">
        <f t="shared" si="5"/>
        <v>1.83</v>
      </c>
      <c r="R54" s="1606">
        <v>2340000</v>
      </c>
      <c r="S54" s="1618">
        <f t="shared" si="6"/>
        <v>4282200</v>
      </c>
      <c r="T54" s="1142">
        <f t="shared" si="1"/>
        <v>42</v>
      </c>
      <c r="U54" s="1143">
        <f>IFERROR(INDEX('[16]CN BC'!$M$10:$M$276,MATCH(B54,'[16]CN BC'!$H$10:$H$276,0)),"")</f>
        <v>0</v>
      </c>
      <c r="V54" s="1144" t="str">
        <f>VLOOKUP(B54,TH.T4!B62:AC392,28,FALSE)</f>
        <v>TTrGD</v>
      </c>
      <c r="W54" s="1130"/>
      <c r="X54" s="1146"/>
      <c r="Y54" s="1147"/>
      <c r="Z54" s="1146"/>
      <c r="AA54" s="1146"/>
      <c r="AB54" s="1146"/>
      <c r="AC54" s="1146"/>
      <c r="AD54" s="1146"/>
      <c r="AE54" s="1146"/>
    </row>
    <row r="55" spans="1:35" s="1148" customFormat="1" ht="27" customHeight="1">
      <c r="A55" s="1132">
        <f>_xlfn.AGGREGATE(4,7,A$12:A54)+1</f>
        <v>43</v>
      </c>
      <c r="B55" s="1133" t="s">
        <v>848</v>
      </c>
      <c r="C55" s="1153" t="s">
        <v>1655</v>
      </c>
      <c r="D55" s="1154" t="s">
        <v>1263</v>
      </c>
      <c r="E55" s="1058" t="str">
        <f>VLOOKUP(B55,TH.Q2!B60:E391,4,FALSE)</f>
        <v>Nhân viên phòng Thanh tra GD - Quan hệ DN</v>
      </c>
      <c r="F55" s="1136">
        <v>4.32</v>
      </c>
      <c r="G55" s="1137"/>
      <c r="H55" s="1393">
        <f t="shared" si="2"/>
        <v>0</v>
      </c>
      <c r="I55" s="1138"/>
      <c r="J55" s="1138" t="str">
        <f>VLOOKUP(B55,'[15]Gui chi Quynh'!$B$11:$E$396,4,FALSE)</f>
        <v>A2</v>
      </c>
      <c r="K55" s="1138">
        <f t="shared" si="3"/>
        <v>0.7</v>
      </c>
      <c r="L55" s="1139">
        <v>23</v>
      </c>
      <c r="M55" s="1139">
        <f>VLOOKUP(B55,'[16]CN BC'!$H$10:$J$275,3,FALSE)</f>
        <v>25</v>
      </c>
      <c r="N55" s="1139">
        <f t="shared" si="4"/>
        <v>23</v>
      </c>
      <c r="O55" s="1140"/>
      <c r="P55" s="1141">
        <f t="shared" si="0"/>
        <v>7076160</v>
      </c>
      <c r="Q55" s="1519">
        <f t="shared" si="5"/>
        <v>3.024</v>
      </c>
      <c r="R55" s="1606">
        <v>2340000</v>
      </c>
      <c r="S55" s="1618">
        <f t="shared" si="6"/>
        <v>7076160</v>
      </c>
      <c r="T55" s="1142">
        <f t="shared" si="1"/>
        <v>43</v>
      </c>
      <c r="U55" s="1143">
        <f>IFERROR(INDEX('[16]CN BC'!$M$10:$M$276,MATCH(B55,'[16]CN BC'!$H$10:$H$276,0)),"")</f>
        <v>0</v>
      </c>
      <c r="V55" s="1144" t="str">
        <f>VLOOKUP(B55,TH.T4!B63:AC393,28,FALSE)</f>
        <v>TTrGD</v>
      </c>
      <c r="W55" s="1130"/>
      <c r="X55" s="1146"/>
      <c r="Y55" s="1147"/>
      <c r="Z55" s="1146"/>
      <c r="AA55" s="1146"/>
      <c r="AB55" s="1146"/>
      <c r="AC55" s="1146"/>
      <c r="AD55" s="1146"/>
      <c r="AE55" s="1146"/>
    </row>
    <row r="56" spans="1:35" s="1148" customFormat="1" ht="27" customHeight="1">
      <c r="A56" s="1132">
        <f>_xlfn.AGGREGATE(4,7,A$12:A55)+1</f>
        <v>44</v>
      </c>
      <c r="B56" s="1133" t="s">
        <v>1857</v>
      </c>
      <c r="C56" s="1153" t="s">
        <v>1656</v>
      </c>
      <c r="D56" s="1168" t="s">
        <v>1358</v>
      </c>
      <c r="E56" s="1058" t="str">
        <f>VLOOKUP(B56,TH.Q2!B61:E392,4,FALSE)</f>
        <v>Nhân viên phòng Thanh tra GD - Quan hệ DN</v>
      </c>
      <c r="F56" s="1136">
        <v>4.32</v>
      </c>
      <c r="G56" s="1137"/>
      <c r="H56" s="1393">
        <f t="shared" si="2"/>
        <v>0</v>
      </c>
      <c r="I56" s="1138"/>
      <c r="J56" s="1138" t="str">
        <f>VLOOKUP(B56,'[15]Gui chi Quynh'!$B$11:$E$396,4,FALSE)</f>
        <v>A3</v>
      </c>
      <c r="K56" s="1138">
        <f t="shared" si="3"/>
        <v>0.6</v>
      </c>
      <c r="L56" s="1139">
        <v>23</v>
      </c>
      <c r="M56" s="1139">
        <f>VLOOKUP(B56,'[16]CN BC'!$H$10:$J$275,3,FALSE)</f>
        <v>22</v>
      </c>
      <c r="N56" s="1139">
        <f t="shared" si="4"/>
        <v>22</v>
      </c>
      <c r="O56" s="1140"/>
      <c r="P56" s="1141">
        <f t="shared" si="0"/>
        <v>5801572.173913043</v>
      </c>
      <c r="Q56" s="1519">
        <f t="shared" si="5"/>
        <v>2.4793043478260866</v>
      </c>
      <c r="R56" s="1606">
        <v>2340000</v>
      </c>
      <c r="S56" s="1618">
        <f t="shared" si="6"/>
        <v>5801572.173913043</v>
      </c>
      <c r="T56" s="1142">
        <f t="shared" si="1"/>
        <v>44</v>
      </c>
      <c r="U56" s="1143" t="str">
        <f>IFERROR(INDEX('[16]CN BC'!$M$10:$M$276,MATCH(B56,'[16]CN BC'!$H$10:$H$276,0)),"")</f>
        <v>Trừ 2 ngày nghỉ phép 1+2/10</v>
      </c>
      <c r="V56" s="1144" t="str">
        <f>VLOOKUP(B56,TH.T4!B64:AC394,28,FALSE)</f>
        <v>TTrGD</v>
      </c>
      <c r="W56" s="1130"/>
      <c r="X56" s="1146"/>
      <c r="Y56" s="1147"/>
      <c r="Z56" s="1146"/>
      <c r="AA56" s="1146"/>
      <c r="AB56" s="1146"/>
      <c r="AC56" s="1146"/>
      <c r="AD56" s="1146"/>
      <c r="AE56" s="1146"/>
    </row>
    <row r="57" spans="1:35" s="1148" customFormat="1" ht="27" customHeight="1">
      <c r="A57" s="1132">
        <f>_xlfn.AGGREGATE(4,7,A$12:A56)+1</f>
        <v>45</v>
      </c>
      <c r="B57" s="1133" t="s">
        <v>1851</v>
      </c>
      <c r="C57" s="1149" t="s">
        <v>1632</v>
      </c>
      <c r="D57" s="1185" t="s">
        <v>1575</v>
      </c>
      <c r="E57" s="1058" t="str">
        <f>VLOOKUP(B57,TH.Q2!B62:E393,4,FALSE)</f>
        <v>Nhân viên phòng Thanh tra GD - Quan hệ DN</v>
      </c>
      <c r="F57" s="1160">
        <v>3.66</v>
      </c>
      <c r="G57" s="1137"/>
      <c r="H57" s="1393">
        <f t="shared" si="2"/>
        <v>0</v>
      </c>
      <c r="I57" s="1138"/>
      <c r="J57" s="1138" t="str">
        <f>VLOOKUP(B57,'[15]Gui chi Quynh'!$B$11:$E$396,4,FALSE)</f>
        <v>A3</v>
      </c>
      <c r="K57" s="1138">
        <f t="shared" si="3"/>
        <v>0.6</v>
      </c>
      <c r="L57" s="1139">
        <v>23</v>
      </c>
      <c r="M57" s="1139">
        <f>VLOOKUP(B57,'[16]CN BC'!$H$10:$J$275,3,FALSE)</f>
        <v>24</v>
      </c>
      <c r="N57" s="1139">
        <f t="shared" si="4"/>
        <v>23</v>
      </c>
      <c r="O57" s="1140"/>
      <c r="P57" s="1141">
        <f t="shared" si="0"/>
        <v>5138640</v>
      </c>
      <c r="Q57" s="1519">
        <f t="shared" si="5"/>
        <v>2.1960000000000002</v>
      </c>
      <c r="R57" s="1606">
        <v>2340000</v>
      </c>
      <c r="S57" s="1618">
        <f t="shared" si="6"/>
        <v>5138640</v>
      </c>
      <c r="T57" s="1142">
        <f t="shared" si="1"/>
        <v>45</v>
      </c>
      <c r="U57" s="1143">
        <f>IFERROR(INDEX('[16]CN BC'!$M$10:$M$276,MATCH(B57,'[16]CN BC'!$H$10:$H$276,0)),"")</f>
        <v>0</v>
      </c>
      <c r="V57" s="1144" t="str">
        <f>VLOOKUP(B57,TH.T4!B65:AC395,28,FALSE)</f>
        <v>TTrGD</v>
      </c>
      <c r="W57" s="1130"/>
      <c r="X57" s="1146"/>
      <c r="Y57" s="1147"/>
      <c r="Z57" s="1146"/>
      <c r="AA57" s="1146"/>
      <c r="AB57" s="1146"/>
      <c r="AC57" s="1146"/>
      <c r="AD57" s="1146"/>
      <c r="AE57" s="1146"/>
      <c r="AF57" s="1146"/>
      <c r="AG57" s="1146"/>
      <c r="AH57" s="1146"/>
      <c r="AI57" s="1146"/>
    </row>
    <row r="58" spans="1:35" s="1148" customFormat="1" ht="27" customHeight="1">
      <c r="A58" s="1132">
        <f>_xlfn.AGGREGATE(4,7,A$12:A57)+1</f>
        <v>46</v>
      </c>
      <c r="B58" s="1133" t="s">
        <v>1561</v>
      </c>
      <c r="C58" s="1153" t="s">
        <v>1657</v>
      </c>
      <c r="D58" s="1150" t="s">
        <v>1562</v>
      </c>
      <c r="E58" s="1058" t="str">
        <f>VLOOKUP(B58,TH.Q2!B63:E394,4,FALSE)</f>
        <v>Nhân viên phòng Tuyển sinh - Đào tạo</v>
      </c>
      <c r="F58" s="1160">
        <v>3.66</v>
      </c>
      <c r="G58" s="1137"/>
      <c r="H58" s="1393">
        <f t="shared" si="2"/>
        <v>0</v>
      </c>
      <c r="I58" s="1138"/>
      <c r="J58" s="1138" t="str">
        <f>VLOOKUP(B58,'[15]Gui chi Quynh'!$B$11:$E$396,4,FALSE)</f>
        <v>A2</v>
      </c>
      <c r="K58" s="1138">
        <f t="shared" si="3"/>
        <v>0.7</v>
      </c>
      <c r="L58" s="1139">
        <v>23</v>
      </c>
      <c r="M58" s="1139">
        <f>VLOOKUP(B58,'[16]CN BC'!$H$10:$J$275,3,FALSE)</f>
        <v>22.5</v>
      </c>
      <c r="N58" s="1139">
        <f t="shared" si="4"/>
        <v>22.5</v>
      </c>
      <c r="O58" s="1140"/>
      <c r="P58" s="1141">
        <f t="shared" si="0"/>
        <v>5864752.173913043</v>
      </c>
      <c r="Q58" s="1519">
        <f t="shared" si="5"/>
        <v>2.5063043478260867</v>
      </c>
      <c r="R58" s="1606">
        <v>2340000</v>
      </c>
      <c r="S58" s="1618">
        <f t="shared" si="6"/>
        <v>5864752.173913043</v>
      </c>
      <c r="T58" s="1142">
        <f t="shared" si="1"/>
        <v>46</v>
      </c>
      <c r="U58" s="1143" t="str">
        <f>IFERROR(INDEX('[16]CN BC'!$M$10:$M$276,MATCH(B58,'[16]CN BC'!$H$10:$H$276,0)),"")</f>
        <v>Trừ 1 ngày nghỉ phép 28/10</v>
      </c>
      <c r="V58" s="1144" t="str">
        <f>VLOOKUP(B58,TH.T4!B66:AC396,28,FALSE)</f>
        <v>TSĐT</v>
      </c>
      <c r="W58" s="1130"/>
      <c r="X58" s="1146"/>
      <c r="Y58" s="1158"/>
    </row>
    <row r="59" spans="1:35" s="1148" customFormat="1" ht="30" customHeight="1">
      <c r="A59" s="1132">
        <f>_xlfn.AGGREGATE(4,7,A$12:A58)+1</f>
        <v>47</v>
      </c>
      <c r="B59" s="1133" t="s">
        <v>1463</v>
      </c>
      <c r="C59" s="1153" t="s">
        <v>1617</v>
      </c>
      <c r="D59" s="1154" t="s">
        <v>1573</v>
      </c>
      <c r="E59" s="1058" t="str">
        <f>VLOOKUP(B59,TH.Q2!B64:E395,4,FALSE)</f>
        <v>Trưởng phòng Tuyển sinh - Đào tạo</v>
      </c>
      <c r="F59" s="1160">
        <v>4.74</v>
      </c>
      <c r="G59" s="1137"/>
      <c r="H59" s="1393">
        <f t="shared" si="2"/>
        <v>0</v>
      </c>
      <c r="I59" s="1138">
        <v>0.45</v>
      </c>
      <c r="J59" s="1138" t="str">
        <f>VLOOKUP(B59,'[15]Gui chi Quynh'!$B$11:$E$396,4,FALSE)</f>
        <v>A1</v>
      </c>
      <c r="K59" s="1138">
        <f t="shared" si="3"/>
        <v>0.8</v>
      </c>
      <c r="L59" s="1139">
        <v>23</v>
      </c>
      <c r="M59" s="1139">
        <f>VLOOKUP(B59,'[16]CN BC'!$H$10:$J$275,3,FALSE)</f>
        <v>24.5</v>
      </c>
      <c r="N59" s="1139">
        <f t="shared" si="4"/>
        <v>23</v>
      </c>
      <c r="O59" s="1140"/>
      <c r="P59" s="1141">
        <f t="shared" si="0"/>
        <v>9715680</v>
      </c>
      <c r="Q59" s="1519">
        <f t="shared" si="5"/>
        <v>4.1520000000000001</v>
      </c>
      <c r="R59" s="1606">
        <v>2340000</v>
      </c>
      <c r="S59" s="1618">
        <f t="shared" si="6"/>
        <v>9715680</v>
      </c>
      <c r="T59" s="1142">
        <f t="shared" si="1"/>
        <v>47</v>
      </c>
      <c r="U59" s="1143">
        <f>IFERROR(INDEX('[16]CN BC'!$M$10:$M$276,MATCH(B59,'[16]CN BC'!$H$10:$H$276,0)),"")</f>
        <v>0</v>
      </c>
      <c r="V59" s="1144" t="str">
        <f>VLOOKUP(B59,TH.T4!B67:AC397,28,FALSE)</f>
        <v>TSĐT</v>
      </c>
      <c r="W59" s="1131"/>
      <c r="X59" s="1146"/>
      <c r="Y59" s="1147"/>
      <c r="Z59" s="1146"/>
      <c r="AA59" s="1146"/>
      <c r="AB59" s="1146"/>
      <c r="AC59" s="1146"/>
      <c r="AD59" s="1146"/>
      <c r="AE59" s="1146"/>
    </row>
    <row r="60" spans="1:35" s="1146" customFormat="1" ht="24.75" customHeight="1">
      <c r="A60" s="1132">
        <f>_xlfn.AGGREGATE(4,7,A$12:A59)+1</f>
        <v>48</v>
      </c>
      <c r="B60" s="1172" t="s">
        <v>1902</v>
      </c>
      <c r="C60" s="1149" t="s">
        <v>1785</v>
      </c>
      <c r="D60" s="1173" t="s">
        <v>1391</v>
      </c>
      <c r="E60" s="1058" t="str">
        <f>VLOOKUP(B60,TH.Q2!B65:E396,4,FALSE)</f>
        <v>Phó TP. Tuyể sinh - Đào tạo</v>
      </c>
      <c r="F60" s="1174">
        <v>4.32</v>
      </c>
      <c r="G60" s="1175"/>
      <c r="H60" s="1393">
        <f t="shared" si="2"/>
        <v>0</v>
      </c>
      <c r="I60" s="1176">
        <v>0.35</v>
      </c>
      <c r="J60" s="1138" t="str">
        <f>VLOOKUP(B60,'[15]Gui chi Quynh'!$B$11:$E$396,4,FALSE)</f>
        <v>A2</v>
      </c>
      <c r="K60" s="1138">
        <f t="shared" si="3"/>
        <v>0.7</v>
      </c>
      <c r="L60" s="1139">
        <v>23</v>
      </c>
      <c r="M60" s="1139">
        <f>VLOOKUP(B60,'[16]CN BC'!$H$10:$J$275,3,FALSE)</f>
        <v>23</v>
      </c>
      <c r="N60" s="1139">
        <f t="shared" si="4"/>
        <v>23</v>
      </c>
      <c r="O60" s="1140"/>
      <c r="P60" s="1141">
        <f t="shared" si="0"/>
        <v>7649459.9999999991</v>
      </c>
      <c r="Q60" s="1519">
        <f t="shared" si="5"/>
        <v>3.2689999999999997</v>
      </c>
      <c r="R60" s="1606">
        <v>2340000</v>
      </c>
      <c r="S60" s="1618">
        <f t="shared" si="6"/>
        <v>7649459.9999999991</v>
      </c>
      <c r="T60" s="1142">
        <f t="shared" si="1"/>
        <v>48</v>
      </c>
      <c r="U60" s="1143">
        <f>IFERROR(INDEX('[16]CN BC'!$M$10:$M$276,MATCH(B60,'[16]CN BC'!$H$10:$H$276,0)),"")</f>
        <v>0</v>
      </c>
      <c r="V60" s="1144" t="str">
        <f>VLOOKUP(B60,TH.T4!B68:AC398,28,FALSE)</f>
        <v>TSĐT</v>
      </c>
      <c r="W60" s="1130"/>
      <c r="Y60" s="1147"/>
    </row>
    <row r="61" spans="1:35" s="1148" customFormat="1" ht="29.25" customHeight="1">
      <c r="A61" s="1132">
        <f>_xlfn.AGGREGATE(4,7,A$12:A60)+1</f>
        <v>49</v>
      </c>
      <c r="B61" s="1133" t="s">
        <v>1858</v>
      </c>
      <c r="C61" s="1153" t="s">
        <v>1659</v>
      </c>
      <c r="D61" s="1154" t="s">
        <v>1285</v>
      </c>
      <c r="E61" s="1058" t="str">
        <f>VLOOKUP(B61,TH.Q2!B66:E397,4,FALSE)</f>
        <v>Nhân viên phòng TS - Đào tạo</v>
      </c>
      <c r="F61" s="1136">
        <v>4.6500000000000004</v>
      </c>
      <c r="G61" s="1137"/>
      <c r="H61" s="1393">
        <f t="shared" si="2"/>
        <v>0</v>
      </c>
      <c r="I61" s="1138"/>
      <c r="J61" s="1138" t="str">
        <f>VLOOKUP(B61,'[15]Gui chi Quynh'!$B$11:$E$396,4,FALSE)</f>
        <v>A1</v>
      </c>
      <c r="K61" s="1138">
        <f t="shared" si="3"/>
        <v>0.8</v>
      </c>
      <c r="L61" s="1139">
        <v>23</v>
      </c>
      <c r="M61" s="1139">
        <f>VLOOKUP(B61,'[16]CN BC'!$H$10:$J$275,3,FALSE)</f>
        <v>25</v>
      </c>
      <c r="N61" s="1139">
        <f t="shared" si="4"/>
        <v>23</v>
      </c>
      <c r="O61" s="1140"/>
      <c r="P61" s="1141">
        <f t="shared" si="0"/>
        <v>8704800</v>
      </c>
      <c r="Q61" s="1519">
        <f t="shared" si="5"/>
        <v>3.72</v>
      </c>
      <c r="R61" s="1606">
        <v>2340000</v>
      </c>
      <c r="S61" s="1618">
        <f t="shared" si="6"/>
        <v>8704800</v>
      </c>
      <c r="T61" s="1142">
        <f t="shared" si="1"/>
        <v>49</v>
      </c>
      <c r="U61" s="1143">
        <f>IFERROR(INDEX('[16]CN BC'!$M$10:$M$276,MATCH(B61,'[16]CN BC'!$H$10:$H$276,0)),"")</f>
        <v>0</v>
      </c>
      <c r="V61" s="1144" t="str">
        <f>VLOOKUP(B61,TH.T4!B69:AC399,28,FALSE)</f>
        <v>TSĐT</v>
      </c>
      <c r="W61" s="1130"/>
      <c r="X61" s="1146"/>
      <c r="Y61" s="1147"/>
      <c r="Z61" s="1146"/>
      <c r="AA61" s="1146"/>
      <c r="AB61" s="1146"/>
      <c r="AC61" s="1146"/>
      <c r="AD61" s="1146"/>
      <c r="AE61" s="1146"/>
    </row>
    <row r="62" spans="1:35" s="1148" customFormat="1" ht="30.75" customHeight="1">
      <c r="A62" s="1132">
        <f>_xlfn.AGGREGATE(4,7,A$12:A61)+1</f>
        <v>50</v>
      </c>
      <c r="B62" s="1133" t="s">
        <v>1465</v>
      </c>
      <c r="C62" s="1153" t="s">
        <v>1661</v>
      </c>
      <c r="D62" s="1168">
        <v>1603205182394</v>
      </c>
      <c r="E62" s="1058" t="str">
        <f>VLOOKUP(B62,TH.Q2!B67:E398,4,FALSE)</f>
        <v>Nhân viên phòng TS - Đào tạo</v>
      </c>
      <c r="F62" s="1136">
        <v>3.99</v>
      </c>
      <c r="G62" s="1137"/>
      <c r="H62" s="1393">
        <f t="shared" si="2"/>
        <v>0</v>
      </c>
      <c r="I62" s="1138"/>
      <c r="J62" s="1138" t="str">
        <f>VLOOKUP(B62,'[15]Gui chi Quynh'!$B$11:$E$396,4,FALSE)</f>
        <v>A3</v>
      </c>
      <c r="K62" s="1138">
        <f t="shared" si="3"/>
        <v>0.6</v>
      </c>
      <c r="L62" s="1139">
        <v>23</v>
      </c>
      <c r="M62" s="1139">
        <f>VLOOKUP(B62,'[16]CN BC'!$H$10:$J$275,3,FALSE)</f>
        <v>24.5</v>
      </c>
      <c r="N62" s="1139">
        <f t="shared" si="4"/>
        <v>23</v>
      </c>
      <c r="O62" s="1140"/>
      <c r="P62" s="1141">
        <f t="shared" si="0"/>
        <v>5601960</v>
      </c>
      <c r="Q62" s="1519">
        <f t="shared" si="5"/>
        <v>2.3940000000000001</v>
      </c>
      <c r="R62" s="1606">
        <v>2340000</v>
      </c>
      <c r="S62" s="1618">
        <f t="shared" si="6"/>
        <v>5601960</v>
      </c>
      <c r="T62" s="1142">
        <f t="shared" si="1"/>
        <v>50</v>
      </c>
      <c r="U62" s="1143">
        <f>IFERROR(INDEX('[16]CN BC'!$M$10:$M$276,MATCH(B62,'[16]CN BC'!$H$10:$H$276,0)),"")</f>
        <v>0</v>
      </c>
      <c r="V62" s="1144" t="str">
        <f>VLOOKUP(B62,TH.T4!B70:AC400,28,FALSE)</f>
        <v>TSĐT</v>
      </c>
      <c r="W62" s="1130"/>
      <c r="X62" s="1146"/>
      <c r="Y62" s="1147"/>
      <c r="Z62" s="1146"/>
      <c r="AA62" s="1146"/>
      <c r="AB62" s="1146"/>
      <c r="AC62" s="1146"/>
      <c r="AD62" s="1146"/>
      <c r="AE62" s="1146"/>
    </row>
    <row r="63" spans="1:35" s="1148" customFormat="1" ht="27" customHeight="1">
      <c r="A63" s="1132">
        <f>_xlfn.AGGREGATE(4,7,A$12:A62)+1</f>
        <v>51</v>
      </c>
      <c r="B63" s="1133" t="s">
        <v>844</v>
      </c>
      <c r="C63" s="1153" t="s">
        <v>1662</v>
      </c>
      <c r="D63" s="1168" t="s">
        <v>369</v>
      </c>
      <c r="E63" s="1058" t="str">
        <f>VLOOKUP(B63,TH.Q2!B68:E399,4,FALSE)</f>
        <v>Nhân viên phòng TS - Đào tạo</v>
      </c>
      <c r="F63" s="1136">
        <v>3.66</v>
      </c>
      <c r="G63" s="1137"/>
      <c r="H63" s="1393">
        <f t="shared" si="2"/>
        <v>0</v>
      </c>
      <c r="I63" s="1138"/>
      <c r="J63" s="1138" t="str">
        <f>VLOOKUP(B63,'[15]Gui chi Quynh'!$B$11:$E$396,4,FALSE)</f>
        <v>A3</v>
      </c>
      <c r="K63" s="1138">
        <f t="shared" si="3"/>
        <v>0.6</v>
      </c>
      <c r="L63" s="1139">
        <v>23</v>
      </c>
      <c r="M63" s="1139">
        <f>VLOOKUP(B63,'[16]CN BC'!$H$10:$J$275,3,FALSE)</f>
        <v>24.5</v>
      </c>
      <c r="N63" s="1139">
        <f t="shared" si="4"/>
        <v>23</v>
      </c>
      <c r="O63" s="1140"/>
      <c r="P63" s="1141">
        <f t="shared" si="0"/>
        <v>5138640</v>
      </c>
      <c r="Q63" s="1519">
        <f t="shared" si="5"/>
        <v>2.1960000000000002</v>
      </c>
      <c r="R63" s="1606">
        <v>2340000</v>
      </c>
      <c r="S63" s="1618">
        <f t="shared" si="6"/>
        <v>5138640</v>
      </c>
      <c r="T63" s="1142">
        <f t="shared" si="1"/>
        <v>51</v>
      </c>
      <c r="U63" s="1143">
        <f>IFERROR(INDEX('[16]CN BC'!$M$10:$M$276,MATCH(B63,'[16]CN BC'!$H$10:$H$276,0)),"")</f>
        <v>0</v>
      </c>
      <c r="V63" s="1144" t="str">
        <f>VLOOKUP(B63,TH.T4!B71:AC401,28,FALSE)</f>
        <v>TSĐT</v>
      </c>
      <c r="W63" s="1130"/>
      <c r="X63" s="1146"/>
      <c r="Y63" s="1147"/>
      <c r="Z63" s="1146"/>
      <c r="AA63" s="1146"/>
      <c r="AB63" s="1146"/>
      <c r="AC63" s="1146"/>
      <c r="AD63" s="1146"/>
      <c r="AE63" s="1146"/>
    </row>
    <row r="64" spans="1:35" s="1148" customFormat="1" ht="24.75" customHeight="1">
      <c r="A64" s="1132">
        <f>_xlfn.AGGREGATE(4,7,A$12:A63)+1</f>
        <v>52</v>
      </c>
      <c r="B64" s="1183" t="s">
        <v>1557</v>
      </c>
      <c r="C64" s="1153" t="s">
        <v>1664</v>
      </c>
      <c r="D64" s="1179">
        <v>1603205182762</v>
      </c>
      <c r="E64" s="1058" t="str">
        <f>VLOOKUP(B64,TH.Q2!B69:E400,4,FALSE)</f>
        <v>Nhân viên phòng TS - Đào tạo</v>
      </c>
      <c r="F64" s="1160">
        <v>3.96</v>
      </c>
      <c r="G64" s="1184"/>
      <c r="H64" s="1393">
        <f t="shared" si="2"/>
        <v>0</v>
      </c>
      <c r="I64" s="1136"/>
      <c r="J64" s="1138" t="str">
        <f>VLOOKUP(B64,'[15]Gui chi Quynh'!$B$11:$E$396,4,FALSE)</f>
        <v>A1</v>
      </c>
      <c r="K64" s="1138">
        <f t="shared" si="3"/>
        <v>0.8</v>
      </c>
      <c r="L64" s="1139">
        <v>23</v>
      </c>
      <c r="M64" s="1139">
        <f>VLOOKUP(B64,'[16]CN BC'!$H$10:$J$275,3,FALSE)</f>
        <v>26</v>
      </c>
      <c r="N64" s="1139">
        <f t="shared" si="4"/>
        <v>23</v>
      </c>
      <c r="O64" s="1140"/>
      <c r="P64" s="1141">
        <f t="shared" si="0"/>
        <v>7413120</v>
      </c>
      <c r="Q64" s="1519">
        <f t="shared" si="5"/>
        <v>3.1680000000000001</v>
      </c>
      <c r="R64" s="1606">
        <v>2340000</v>
      </c>
      <c r="S64" s="1618">
        <f t="shared" si="6"/>
        <v>7413120</v>
      </c>
      <c r="T64" s="1142">
        <f t="shared" si="1"/>
        <v>52</v>
      </c>
      <c r="U64" s="1143">
        <f>IFERROR(INDEX('[16]CN BC'!$M$10:$M$276,MATCH(B64,'[16]CN BC'!$H$10:$H$276,0)),"")</f>
        <v>0</v>
      </c>
      <c r="V64" s="1144" t="str">
        <f>VLOOKUP(B64,TH.T4!B72:AC402,28,FALSE)</f>
        <v>TSĐT</v>
      </c>
      <c r="W64" s="1130"/>
      <c r="X64" s="1146"/>
      <c r="Y64" s="1147"/>
      <c r="Z64" s="1146"/>
      <c r="AA64" s="1146"/>
      <c r="AB64" s="1146"/>
      <c r="AC64" s="1146"/>
      <c r="AD64" s="1146"/>
      <c r="AE64" s="1146"/>
    </row>
    <row r="65" spans="1:35" s="1148" customFormat="1" ht="24.75" customHeight="1">
      <c r="A65" s="1132">
        <f>_xlfn.AGGREGATE(4,7,A$12:A64)+1</f>
        <v>53</v>
      </c>
      <c r="B65" s="1133" t="s">
        <v>1524</v>
      </c>
      <c r="C65" s="1153" t="s">
        <v>1666</v>
      </c>
      <c r="D65" s="1168">
        <v>1603205182178</v>
      </c>
      <c r="E65" s="1058" t="str">
        <f>VLOOKUP(B65,TH.Q2!B70:E401,4,FALSE)</f>
        <v>Nhân viên phòng TS - Đào tạo</v>
      </c>
      <c r="F65" s="1136">
        <v>3.66</v>
      </c>
      <c r="G65" s="1137"/>
      <c r="H65" s="1393">
        <f t="shared" si="2"/>
        <v>0</v>
      </c>
      <c r="I65" s="1138"/>
      <c r="J65" s="1138" t="str">
        <f>VLOOKUP(B65,'[15]Gui chi Quynh'!$B$11:$E$396,4,FALSE)</f>
        <v>A2</v>
      </c>
      <c r="K65" s="1138">
        <f t="shared" si="3"/>
        <v>0.7</v>
      </c>
      <c r="L65" s="1139">
        <v>23</v>
      </c>
      <c r="M65" s="1139">
        <f>VLOOKUP(B65,'[16]CN BC'!$H$10:$J$275,3,FALSE)</f>
        <v>25</v>
      </c>
      <c r="N65" s="1139">
        <f t="shared" si="4"/>
        <v>23</v>
      </c>
      <c r="O65" s="1140"/>
      <c r="P65" s="1141">
        <f t="shared" si="0"/>
        <v>5995080</v>
      </c>
      <c r="Q65" s="1519">
        <f t="shared" si="5"/>
        <v>2.5619999999999998</v>
      </c>
      <c r="R65" s="1606">
        <v>2340000</v>
      </c>
      <c r="S65" s="1618">
        <f t="shared" si="6"/>
        <v>5995080</v>
      </c>
      <c r="T65" s="1142">
        <f t="shared" si="1"/>
        <v>53</v>
      </c>
      <c r="U65" s="1143">
        <f>IFERROR(INDEX('[16]CN BC'!$M$10:$M$276,MATCH(B65,'[16]CN BC'!$H$10:$H$276,0)),"")</f>
        <v>0</v>
      </c>
      <c r="V65" s="1144" t="str">
        <f>VLOOKUP(B65,TH.T4!B73:AC403,28,FALSE)</f>
        <v>TSĐT</v>
      </c>
      <c r="W65" s="1130"/>
      <c r="X65" s="1146"/>
      <c r="Y65" s="1147"/>
    </row>
    <row r="66" spans="1:35" s="1148" customFormat="1" ht="24.75" customHeight="1">
      <c r="A66" s="1132">
        <f>_xlfn.AGGREGATE(4,7,A$12:A65)+1</f>
        <v>54</v>
      </c>
      <c r="B66" s="1164" t="s">
        <v>1860</v>
      </c>
      <c r="C66" s="1165" t="s">
        <v>1667</v>
      </c>
      <c r="D66" s="1166">
        <v>1603205351697</v>
      </c>
      <c r="E66" s="383" t="str">
        <f>VLOOKUP(B66,TH.Q2!B71:E402,4,FALSE)</f>
        <v>Nhân viên phòng TS - Đào tạo</v>
      </c>
      <c r="F66" s="1160">
        <v>3.66</v>
      </c>
      <c r="G66" s="1137"/>
      <c r="H66" s="1400">
        <f t="shared" si="2"/>
        <v>0</v>
      </c>
      <c r="I66" s="1138"/>
      <c r="J66" s="1138" t="str">
        <f>VLOOKUP(B66,'[15]Gui chi Quynh'!$B$11:$E$396,4,FALSE)</f>
        <v>A1</v>
      </c>
      <c r="K66" s="1138">
        <f t="shared" si="3"/>
        <v>0.8</v>
      </c>
      <c r="L66" s="1139">
        <v>23</v>
      </c>
      <c r="M66" s="1139">
        <f>VLOOKUP(B66,'[16]CN BC'!$H$10:$J$275,3,FALSE)</f>
        <v>24.5</v>
      </c>
      <c r="N66" s="1139">
        <f t="shared" si="4"/>
        <v>23</v>
      </c>
      <c r="O66" s="1155"/>
      <c r="P66" s="1141">
        <f t="shared" si="0"/>
        <v>6851520</v>
      </c>
      <c r="Q66" s="1519">
        <f t="shared" si="5"/>
        <v>2.9279999999999999</v>
      </c>
      <c r="R66" s="1606">
        <v>2340000</v>
      </c>
      <c r="S66" s="1618">
        <f t="shared" si="6"/>
        <v>6851520</v>
      </c>
      <c r="T66" s="1142">
        <f t="shared" si="1"/>
        <v>54</v>
      </c>
      <c r="U66" s="1143">
        <f>IFERROR(INDEX('[16]CN BC'!$M$10:$M$276,MATCH(B66,'[16]CN BC'!$H$10:$H$276,0)),"")</f>
        <v>0</v>
      </c>
      <c r="V66" s="1189" t="str">
        <f>VLOOKUP(B66,TH.T4!B74:AC404,28,FALSE)</f>
        <v>TSĐT</v>
      </c>
      <c r="W66" s="1227"/>
      <c r="Y66" s="1158"/>
    </row>
    <row r="67" spans="1:35" s="1148" customFormat="1" ht="24.75" customHeight="1">
      <c r="A67" s="1132">
        <f>_xlfn.AGGREGATE(4,7,A$12:A66)+1</f>
        <v>55</v>
      </c>
      <c r="B67" s="1133" t="s">
        <v>1484</v>
      </c>
      <c r="C67" s="1153" t="s">
        <v>1649</v>
      </c>
      <c r="D67" s="1166">
        <v>1603205357194</v>
      </c>
      <c r="E67" s="1058" t="str">
        <f>VLOOKUP(B67,TH.Q2!B72:E403,4,FALSE)</f>
        <v>Nhân viên phòng Tuyển sinh - Đào tạo</v>
      </c>
      <c r="F67" s="1186">
        <v>3.33</v>
      </c>
      <c r="G67" s="1137"/>
      <c r="H67" s="1393">
        <f t="shared" si="2"/>
        <v>0</v>
      </c>
      <c r="I67" s="1138"/>
      <c r="J67" s="1138" t="str">
        <f>VLOOKUP(B67,'[15]Gui chi Quynh'!$B$11:$E$396,4,FALSE)</f>
        <v>A2</v>
      </c>
      <c r="K67" s="1138">
        <f t="shared" si="3"/>
        <v>0.7</v>
      </c>
      <c r="L67" s="1139">
        <v>23</v>
      </c>
      <c r="M67" s="1139">
        <f>VLOOKUP(B67,'[16]CN BC'!$H$10:$J$275,3,FALSE)</f>
        <v>26</v>
      </c>
      <c r="N67" s="1139">
        <f t="shared" si="4"/>
        <v>23</v>
      </c>
      <c r="O67" s="1140"/>
      <c r="P67" s="1141">
        <f t="shared" si="0"/>
        <v>5454540</v>
      </c>
      <c r="Q67" s="1519">
        <f t="shared" si="5"/>
        <v>2.331</v>
      </c>
      <c r="R67" s="1606">
        <v>2340000</v>
      </c>
      <c r="S67" s="1618">
        <f t="shared" si="6"/>
        <v>5454540</v>
      </c>
      <c r="T67" s="1142">
        <f t="shared" si="1"/>
        <v>55</v>
      </c>
      <c r="U67" s="1143">
        <f>IFERROR(INDEX('[16]CN BC'!$M$10:$M$276,MATCH(B67,'[16]CN BC'!$H$10:$H$276,0)),"")</f>
        <v>0</v>
      </c>
      <c r="V67" s="1144" t="str">
        <f>VLOOKUP(B67,TH.T4!B75:AC405,28,FALSE)</f>
        <v>KTĐBCL</v>
      </c>
      <c r="W67" s="1130"/>
      <c r="X67" s="1146"/>
      <c r="Y67" s="1147"/>
    </row>
    <row r="68" spans="1:35" s="1146" customFormat="1" ht="24.75" customHeight="1">
      <c r="A68" s="1132">
        <f>_xlfn.AGGREGATE(4,7,A$12:A67)+1</f>
        <v>56</v>
      </c>
      <c r="B68" s="1172" t="s">
        <v>1861</v>
      </c>
      <c r="C68" s="1149" t="s">
        <v>1668</v>
      </c>
      <c r="D68" s="1173" t="s">
        <v>1361</v>
      </c>
      <c r="E68" s="1058" t="str">
        <f>VLOOKUP(B68,TH.Q2!B73:E404,4,FALSE)</f>
        <v>Trưởng phòng Khảo thí và ĐBCL</v>
      </c>
      <c r="F68" s="1174">
        <v>4.6500000000000004</v>
      </c>
      <c r="G68" s="1175"/>
      <c r="H68" s="1393">
        <f t="shared" si="2"/>
        <v>0</v>
      </c>
      <c r="I68" s="1138">
        <v>0.45</v>
      </c>
      <c r="J68" s="1138" t="str">
        <f>VLOOKUP(B68,'[15]Gui chi Quynh'!$B$11:$E$396,4,FALSE)</f>
        <v>A2</v>
      </c>
      <c r="K68" s="1138">
        <f t="shared" si="3"/>
        <v>0.7</v>
      </c>
      <c r="L68" s="1139">
        <v>23</v>
      </c>
      <c r="M68" s="1139">
        <f>VLOOKUP(B68,'[16]CN BC'!$H$10:$J$275,3,FALSE)</f>
        <v>23</v>
      </c>
      <c r="N68" s="1139">
        <f t="shared" si="4"/>
        <v>23</v>
      </c>
      <c r="O68" s="1140"/>
      <c r="P68" s="1141">
        <f t="shared" si="0"/>
        <v>8353800.0000000009</v>
      </c>
      <c r="Q68" s="1519">
        <f t="shared" si="5"/>
        <v>3.5700000000000003</v>
      </c>
      <c r="R68" s="1606">
        <v>2340000</v>
      </c>
      <c r="S68" s="1618">
        <f t="shared" si="6"/>
        <v>8353800.0000000009</v>
      </c>
      <c r="T68" s="1142">
        <f t="shared" si="1"/>
        <v>56</v>
      </c>
      <c r="U68" s="1143">
        <f>IFERROR(INDEX('[16]CN BC'!$M$10:$M$276,MATCH(B68,'[16]CN BC'!$H$10:$H$276,0)),"")</f>
        <v>0</v>
      </c>
      <c r="V68" s="1144" t="str">
        <f>VLOOKUP(B68,TH.T4!B76:AC406,28,FALSE)</f>
        <v>KTĐBCL</v>
      </c>
      <c r="W68" s="1130"/>
      <c r="Y68" s="1147"/>
    </row>
    <row r="69" spans="1:35" s="1146" customFormat="1" ht="24.75" customHeight="1">
      <c r="A69" s="1132">
        <f>_xlfn.AGGREGATE(4,7,A$12:A68)+1</f>
        <v>57</v>
      </c>
      <c r="B69" s="1172" t="s">
        <v>1853</v>
      </c>
      <c r="C69" s="1149" t="s">
        <v>1639</v>
      </c>
      <c r="D69" s="1173" t="s">
        <v>1271</v>
      </c>
      <c r="E69" s="1058" t="str">
        <f>VLOOKUP(B69,TH.Q2!B74:E405,4,FALSE)</f>
        <v>Phó TP. Kế hoạch - Tài chính</v>
      </c>
      <c r="F69" s="1136">
        <v>4.32</v>
      </c>
      <c r="G69" s="1175"/>
      <c r="H69" s="1393">
        <f t="shared" si="2"/>
        <v>0</v>
      </c>
      <c r="I69" s="1176">
        <v>0.35</v>
      </c>
      <c r="J69" s="1138" t="str">
        <f>VLOOKUP(B69,'[15]Gui chi Quynh'!$B$11:$E$396,4,FALSE)</f>
        <v>A1</v>
      </c>
      <c r="K69" s="1138">
        <f t="shared" si="3"/>
        <v>0.8</v>
      </c>
      <c r="L69" s="1139">
        <v>23</v>
      </c>
      <c r="M69" s="1139">
        <f>VLOOKUP(B69,'[16]CN BC'!$H$10:$J$275,3,FALSE)</f>
        <v>25</v>
      </c>
      <c r="N69" s="1139">
        <f t="shared" si="4"/>
        <v>23</v>
      </c>
      <c r="O69" s="1140"/>
      <c r="P69" s="1141">
        <f t="shared" si="0"/>
        <v>8742240</v>
      </c>
      <c r="Q69" s="1519">
        <f t="shared" si="5"/>
        <v>3.7360000000000002</v>
      </c>
      <c r="R69" s="1606">
        <v>2340000</v>
      </c>
      <c r="S69" s="1618">
        <f t="shared" si="6"/>
        <v>8742240</v>
      </c>
      <c r="T69" s="1142">
        <f t="shared" si="1"/>
        <v>57</v>
      </c>
      <c r="U69" s="1143">
        <f>IFERROR(INDEX('[16]CN BC'!$M$10:$M$276,MATCH(B69,'[16]CN BC'!$H$10:$H$276,0)),"")</f>
        <v>0</v>
      </c>
      <c r="V69" s="1144" t="str">
        <f>VLOOKUP(B69,TH.T4!B77:AC407,28,FALSE)</f>
        <v>KTĐBCL</v>
      </c>
      <c r="W69" s="1129"/>
      <c r="Y69" s="1147"/>
    </row>
    <row r="70" spans="1:35" s="1148" customFormat="1" ht="27.75" customHeight="1">
      <c r="A70" s="1132">
        <f>_xlfn.AGGREGATE(4,7,A$12:A69)+1</f>
        <v>58</v>
      </c>
      <c r="B70" s="1133" t="s">
        <v>1862</v>
      </c>
      <c r="C70" s="1153" t="s">
        <v>1669</v>
      </c>
      <c r="D70" s="1154" t="s">
        <v>497</v>
      </c>
      <c r="E70" s="1058" t="str">
        <f>VLOOKUP(B70,TH.Q2!B75:E406,4,FALSE)</f>
        <v>Nhân viên phòng Khảo thí và ĐBCL</v>
      </c>
      <c r="F70" s="1136">
        <v>4.9800000000000004</v>
      </c>
      <c r="G70" s="1137">
        <v>0.2</v>
      </c>
      <c r="H70" s="1393">
        <f t="shared" si="2"/>
        <v>0.996</v>
      </c>
      <c r="I70" s="1138"/>
      <c r="J70" s="1138" t="str">
        <f>VLOOKUP(B70,'[15]Gui chi Quynh'!$B$11:$E$396,4,FALSE)</f>
        <v>A3</v>
      </c>
      <c r="K70" s="1138">
        <f t="shared" si="3"/>
        <v>0.6</v>
      </c>
      <c r="L70" s="1139">
        <v>23</v>
      </c>
      <c r="M70" s="1139">
        <f>VLOOKUP(B70,'[16]CN BC'!$H$10:$J$275,3,FALSE)</f>
        <v>23</v>
      </c>
      <c r="N70" s="1139">
        <f t="shared" si="4"/>
        <v>23</v>
      </c>
      <c r="O70" s="1140"/>
      <c r="P70" s="1141">
        <f t="shared" si="0"/>
        <v>8390304</v>
      </c>
      <c r="Q70" s="1519">
        <f t="shared" si="5"/>
        <v>3.5855999999999999</v>
      </c>
      <c r="R70" s="1606">
        <v>2340000</v>
      </c>
      <c r="S70" s="1618">
        <f t="shared" si="6"/>
        <v>8390304</v>
      </c>
      <c r="T70" s="1142">
        <f t="shared" si="1"/>
        <v>58</v>
      </c>
      <c r="U70" s="1143">
        <f>IFERROR(INDEX('[16]CN BC'!$M$10:$M$276,MATCH(B70,'[16]CN BC'!$H$10:$H$276,0)),"")</f>
        <v>0</v>
      </c>
      <c r="V70" s="1144" t="str">
        <f>VLOOKUP(B70,TH.T4!B78:AC408,28,FALSE)</f>
        <v>KTĐBCL</v>
      </c>
      <c r="W70" s="1171"/>
      <c r="Y70" s="1158"/>
    </row>
    <row r="71" spans="1:35" s="1148" customFormat="1" ht="27" customHeight="1">
      <c r="A71" s="1132">
        <f>_xlfn.AGGREGATE(4,7,A$12:A70)+1</f>
        <v>59</v>
      </c>
      <c r="B71" s="1133" t="s">
        <v>842</v>
      </c>
      <c r="C71" s="1153" t="s">
        <v>1671</v>
      </c>
      <c r="D71" s="1154" t="s">
        <v>396</v>
      </c>
      <c r="E71" s="1058" t="str">
        <f>VLOOKUP(B71,TH.Q2!B76:E407,4,FALSE)</f>
        <v>Nhân viên phòng Khảo thí và ĐBCL</v>
      </c>
      <c r="F71" s="1136">
        <v>3.66</v>
      </c>
      <c r="G71" s="1137"/>
      <c r="H71" s="1393">
        <f t="shared" si="2"/>
        <v>0</v>
      </c>
      <c r="I71" s="1138"/>
      <c r="J71" s="1138" t="str">
        <f>VLOOKUP(B71,'[15]Gui chi Quynh'!$B$11:$E$396,4,FALSE)</f>
        <v>A3</v>
      </c>
      <c r="K71" s="1138">
        <f t="shared" si="3"/>
        <v>0.6</v>
      </c>
      <c r="L71" s="1139">
        <v>23</v>
      </c>
      <c r="M71" s="1139">
        <f>VLOOKUP(B71,'[16]CN BC'!$H$10:$J$275,3,FALSE)</f>
        <v>25</v>
      </c>
      <c r="N71" s="1139">
        <f t="shared" si="4"/>
        <v>23</v>
      </c>
      <c r="O71" s="1140"/>
      <c r="P71" s="1141">
        <f t="shared" si="0"/>
        <v>5138640</v>
      </c>
      <c r="Q71" s="1519">
        <f t="shared" si="5"/>
        <v>2.1960000000000002</v>
      </c>
      <c r="R71" s="1606">
        <v>2340000</v>
      </c>
      <c r="S71" s="1618">
        <f t="shared" si="6"/>
        <v>5138640</v>
      </c>
      <c r="T71" s="1142">
        <f t="shared" si="1"/>
        <v>59</v>
      </c>
      <c r="U71" s="1143">
        <f>IFERROR(INDEX('[16]CN BC'!$M$10:$M$276,MATCH(B71,'[16]CN BC'!$H$10:$H$276,0)),"")</f>
        <v>0</v>
      </c>
      <c r="V71" s="1144" t="str">
        <f>VLOOKUP(B71,TH.T4!B79:AC409,28,FALSE)</f>
        <v>KTĐBCL</v>
      </c>
      <c r="W71" s="1130"/>
      <c r="X71" s="1146"/>
      <c r="Y71" s="1147"/>
      <c r="Z71" s="1146"/>
      <c r="AA71" s="1146"/>
      <c r="AB71" s="1146"/>
      <c r="AC71" s="1146"/>
      <c r="AD71" s="1146"/>
      <c r="AE71" s="1146"/>
    </row>
    <row r="72" spans="1:35" s="1148" customFormat="1" ht="27" customHeight="1">
      <c r="A72" s="1132">
        <f>_xlfn.AGGREGATE(4,7,A$12:A71)+1</f>
        <v>60</v>
      </c>
      <c r="B72" s="1133" t="s">
        <v>1551</v>
      </c>
      <c r="C72" s="1149" t="s">
        <v>1672</v>
      </c>
      <c r="D72" s="1179">
        <v>1603205182756</v>
      </c>
      <c r="E72" s="1058" t="str">
        <f>VLOOKUP(B72,TH.Q2!B77:E408,4,FALSE)</f>
        <v>Nhân viên phòng Khảo thí và ĐBCL</v>
      </c>
      <c r="F72" s="1136">
        <v>3.66</v>
      </c>
      <c r="G72" s="1137"/>
      <c r="H72" s="1393">
        <f t="shared" si="2"/>
        <v>0</v>
      </c>
      <c r="I72" s="1138"/>
      <c r="J72" s="1138" t="str">
        <f>VLOOKUP(B72,'[15]Gui chi Quynh'!$B$11:$E$396,4,FALSE)</f>
        <v>A2</v>
      </c>
      <c r="K72" s="1138">
        <f t="shared" si="3"/>
        <v>0.7</v>
      </c>
      <c r="L72" s="1139">
        <v>23</v>
      </c>
      <c r="M72" s="1139">
        <f>VLOOKUP(B72,'[16]CN BC'!$H$10:$J$275,3,FALSE)</f>
        <v>26</v>
      </c>
      <c r="N72" s="1139">
        <f t="shared" si="4"/>
        <v>23</v>
      </c>
      <c r="O72" s="1140"/>
      <c r="P72" s="1141">
        <f t="shared" si="0"/>
        <v>5995080</v>
      </c>
      <c r="Q72" s="1519">
        <f t="shared" si="5"/>
        <v>2.5619999999999998</v>
      </c>
      <c r="R72" s="1606">
        <v>2340000</v>
      </c>
      <c r="S72" s="1618">
        <f t="shared" si="6"/>
        <v>5995080</v>
      </c>
      <c r="T72" s="1142">
        <f t="shared" si="1"/>
        <v>60</v>
      </c>
      <c r="U72" s="1143">
        <f>IFERROR(INDEX('[16]CN BC'!$M$10:$M$276,MATCH(B72,'[16]CN BC'!$H$10:$H$276,0)),"")</f>
        <v>0</v>
      </c>
      <c r="V72" s="1144" t="str">
        <f>VLOOKUP(B72,TH.T4!B80:AC410,28,FALSE)</f>
        <v>KTĐBCL</v>
      </c>
      <c r="W72" s="1130"/>
      <c r="X72" s="1587"/>
      <c r="Y72" s="1147"/>
      <c r="Z72" s="1146"/>
      <c r="AA72" s="1146"/>
      <c r="AB72" s="1146"/>
      <c r="AC72" s="1146"/>
      <c r="AD72" s="1146"/>
      <c r="AE72" s="1146"/>
      <c r="AF72" s="1146"/>
      <c r="AG72" s="1146"/>
      <c r="AH72" s="1146"/>
      <c r="AI72" s="1146"/>
    </row>
    <row r="73" spans="1:35" s="1148" customFormat="1" ht="27" customHeight="1">
      <c r="A73" s="1132">
        <f>_xlfn.AGGREGATE(4,7,A$12:A72)+1</f>
        <v>61</v>
      </c>
      <c r="B73" s="1133" t="s">
        <v>1521</v>
      </c>
      <c r="C73" s="1149" t="s">
        <v>1673</v>
      </c>
      <c r="D73" s="1185">
        <v>1603205286752</v>
      </c>
      <c r="E73" s="1058" t="str">
        <f>VLOOKUP(B73,TH.Q2!B78:E409,4,FALSE)</f>
        <v>Nhân viên phòng Khảo thí và ĐBCL</v>
      </c>
      <c r="F73" s="1160">
        <v>3.66</v>
      </c>
      <c r="G73" s="1137"/>
      <c r="H73" s="1393">
        <f t="shared" si="2"/>
        <v>0</v>
      </c>
      <c r="I73" s="1138"/>
      <c r="J73" s="1138" t="str">
        <f>VLOOKUP(B73,'[15]Gui chi Quynh'!$B$11:$E$396,4,FALSE)</f>
        <v>A2</v>
      </c>
      <c r="K73" s="1138">
        <f t="shared" si="3"/>
        <v>0.7</v>
      </c>
      <c r="L73" s="1139">
        <v>23</v>
      </c>
      <c r="M73" s="1139">
        <f>VLOOKUP(B73,'[16]CN BC'!$H$10:$J$275,3,FALSE)</f>
        <v>25</v>
      </c>
      <c r="N73" s="1139">
        <f t="shared" si="4"/>
        <v>23</v>
      </c>
      <c r="O73" s="1140"/>
      <c r="P73" s="1141">
        <f t="shared" si="0"/>
        <v>5995080</v>
      </c>
      <c r="Q73" s="1519">
        <f t="shared" si="5"/>
        <v>2.5619999999999998</v>
      </c>
      <c r="R73" s="1606">
        <v>2340000</v>
      </c>
      <c r="S73" s="1618">
        <f t="shared" si="6"/>
        <v>5995080</v>
      </c>
      <c r="T73" s="1142">
        <f t="shared" si="1"/>
        <v>61</v>
      </c>
      <c r="U73" s="1143">
        <f>IFERROR(INDEX('[16]CN BC'!$M$10:$M$276,MATCH(B73,'[16]CN BC'!$H$10:$H$276,0)),"")</f>
        <v>0</v>
      </c>
      <c r="V73" s="1144" t="str">
        <f>VLOOKUP(B73,TH.T4!B81:AC411,28,FALSE)</f>
        <v>KTĐBCL</v>
      </c>
      <c r="W73" s="1130"/>
      <c r="X73" s="1146"/>
      <c r="Y73" s="1187"/>
      <c r="Z73" s="1146"/>
      <c r="AA73" s="1146"/>
      <c r="AB73" s="1146"/>
      <c r="AC73" s="1146"/>
      <c r="AD73" s="1146"/>
      <c r="AE73" s="1146"/>
      <c r="AF73" s="1146"/>
      <c r="AG73" s="1146"/>
      <c r="AH73" s="1146"/>
      <c r="AI73" s="1146"/>
    </row>
    <row r="74" spans="1:35" s="1148" customFormat="1" ht="27" customHeight="1">
      <c r="A74" s="1132">
        <f>_xlfn.AGGREGATE(4,7,A$12:A73)+1</f>
        <v>62</v>
      </c>
      <c r="B74" s="1133" t="s">
        <v>1841</v>
      </c>
      <c r="C74" s="1153" t="s">
        <v>1956</v>
      </c>
      <c r="D74" s="1188" t="s">
        <v>1931</v>
      </c>
      <c r="E74" s="1058" t="s">
        <v>2394</v>
      </c>
      <c r="F74" s="1160">
        <v>3</v>
      </c>
      <c r="G74" s="1137"/>
      <c r="H74" s="1393">
        <f t="shared" si="2"/>
        <v>0</v>
      </c>
      <c r="I74" s="1138">
        <v>0.35</v>
      </c>
      <c r="J74" s="1138" t="str">
        <f>VLOOKUP(B74,'[15]Gui chi Quynh'!$B$11:$E$396,4,FALSE)</f>
        <v>A1</v>
      </c>
      <c r="K74" s="1138">
        <f t="shared" si="3"/>
        <v>0.8</v>
      </c>
      <c r="L74" s="1139">
        <v>23</v>
      </c>
      <c r="M74" s="1139">
        <f>VLOOKUP(B74,'[16]CN BC'!$H$10:$J$275,3,FALSE)</f>
        <v>27</v>
      </c>
      <c r="N74" s="1139">
        <f t="shared" si="4"/>
        <v>23</v>
      </c>
      <c r="O74" s="1140"/>
      <c r="P74" s="1141">
        <f t="shared" si="0"/>
        <v>6271200</v>
      </c>
      <c r="Q74" s="1519">
        <f t="shared" si="5"/>
        <v>2.68</v>
      </c>
      <c r="R74" s="1606">
        <v>2340000</v>
      </c>
      <c r="S74" s="1618">
        <f t="shared" si="6"/>
        <v>6271200</v>
      </c>
      <c r="T74" s="1142">
        <f t="shared" si="1"/>
        <v>62</v>
      </c>
      <c r="U74" s="1143">
        <f>IFERROR(INDEX('[16]CN BC'!$M$10:$M$276,MATCH(B74,'[16]CN BC'!$H$10:$H$276,0)),"")</f>
        <v>0</v>
      </c>
      <c r="V74" s="1144" t="str">
        <f>VLOOKUP(B74,TH.T4!B82:AC412,28,FALSE)</f>
        <v>TTĐHDL</v>
      </c>
      <c r="W74" s="1130"/>
      <c r="X74" s="1146"/>
      <c r="Y74" s="1147"/>
      <c r="Z74" s="1146"/>
      <c r="AA74" s="1146"/>
      <c r="AB74" s="1146"/>
      <c r="AC74" s="1146"/>
      <c r="AD74" s="1146"/>
      <c r="AE74" s="1146"/>
    </row>
    <row r="75" spans="1:35" s="1146" customFormat="1" ht="27" customHeight="1">
      <c r="A75" s="1132">
        <f>_xlfn.AGGREGATE(4,7,A$12:A74)+1</f>
        <v>63</v>
      </c>
      <c r="B75" s="1172" t="s">
        <v>1863</v>
      </c>
      <c r="C75" s="1149" t="s">
        <v>1675</v>
      </c>
      <c r="D75" s="1173" t="s">
        <v>1357</v>
      </c>
      <c r="E75" s="1058" t="str">
        <f>VLOOKUP(B75,TH.Q2!B80:E411,4,FALSE)</f>
        <v>Trưởng TT Điều hành và QLDL</v>
      </c>
      <c r="F75" s="1178">
        <v>3.66</v>
      </c>
      <c r="G75" s="1175"/>
      <c r="H75" s="1393">
        <f t="shared" si="2"/>
        <v>0</v>
      </c>
      <c r="I75" s="1176">
        <v>0.45</v>
      </c>
      <c r="J75" s="1138" t="str">
        <f>VLOOKUP(B75,'[15]Gui chi Quynh'!$B$11:$E$396,4,FALSE)</f>
        <v>A1</v>
      </c>
      <c r="K75" s="1138">
        <f t="shared" si="3"/>
        <v>0.8</v>
      </c>
      <c r="L75" s="1139">
        <v>23</v>
      </c>
      <c r="M75" s="1139">
        <f>VLOOKUP(B75,'[16]CN BC'!$H$10:$J$275,3,FALSE)</f>
        <v>27</v>
      </c>
      <c r="N75" s="1139">
        <f t="shared" si="4"/>
        <v>23</v>
      </c>
      <c r="O75" s="1140"/>
      <c r="P75" s="1141">
        <f t="shared" si="0"/>
        <v>7693920</v>
      </c>
      <c r="Q75" s="1519">
        <f t="shared" si="5"/>
        <v>3.2879999999999998</v>
      </c>
      <c r="R75" s="1606">
        <v>2340000</v>
      </c>
      <c r="S75" s="1618">
        <f t="shared" si="6"/>
        <v>7693920</v>
      </c>
      <c r="T75" s="1142">
        <f t="shared" si="1"/>
        <v>63</v>
      </c>
      <c r="U75" s="1143">
        <f>IFERROR(INDEX('[16]CN BC'!$M$10:$M$276,MATCH(B75,'[16]CN BC'!$H$10:$H$276,0)),"")</f>
        <v>0</v>
      </c>
      <c r="V75" s="1144" t="str">
        <f>VLOOKUP(B75,TH.T4!B83:AC413,28,FALSE)</f>
        <v>TTĐHDL</v>
      </c>
      <c r="W75" s="1130"/>
      <c r="Y75" s="1147"/>
    </row>
    <row r="76" spans="1:35" s="1148" customFormat="1" ht="27" customHeight="1">
      <c r="A76" s="1132">
        <f>_xlfn.AGGREGATE(4,7,A$12:A75)+1</f>
        <v>64</v>
      </c>
      <c r="B76" s="1133" t="s">
        <v>1470</v>
      </c>
      <c r="C76" s="1149" t="s">
        <v>1679</v>
      </c>
      <c r="D76" s="1166" t="s">
        <v>1438</v>
      </c>
      <c r="E76" s="1058" t="str">
        <f>VLOOKUP(B76,TH.Q2!B81:E412,4,FALSE)</f>
        <v>NV Trung tâm ĐH và QLDL</v>
      </c>
      <c r="F76" s="1136">
        <v>3.66</v>
      </c>
      <c r="G76" s="1137"/>
      <c r="H76" s="1393">
        <f t="shared" si="2"/>
        <v>0</v>
      </c>
      <c r="I76" s="1138"/>
      <c r="J76" s="1138" t="str">
        <f>VLOOKUP(B76,'[15]Gui chi Quynh'!$B$11:$E$396,4,FALSE)</f>
        <v>A1</v>
      </c>
      <c r="K76" s="1138">
        <f t="shared" si="3"/>
        <v>0.8</v>
      </c>
      <c r="L76" s="1139">
        <v>23</v>
      </c>
      <c r="M76" s="1139">
        <f>VLOOKUP(B76,'[16]CN BC'!$H$10:$J$275,3,FALSE)</f>
        <v>23</v>
      </c>
      <c r="N76" s="1139">
        <f t="shared" si="4"/>
        <v>23</v>
      </c>
      <c r="O76" s="1140"/>
      <c r="P76" s="1141">
        <f t="shared" si="0"/>
        <v>6851520</v>
      </c>
      <c r="Q76" s="1519">
        <f t="shared" si="5"/>
        <v>2.9279999999999999</v>
      </c>
      <c r="R76" s="1606">
        <v>2340000</v>
      </c>
      <c r="S76" s="1618">
        <f t="shared" si="6"/>
        <v>6851520</v>
      </c>
      <c r="T76" s="1142">
        <f t="shared" si="1"/>
        <v>64</v>
      </c>
      <c r="U76" s="1143">
        <f>IFERROR(INDEX('[16]CN BC'!$M$10:$M$276,MATCH(B76,'[16]CN BC'!$H$10:$H$276,0)),"")</f>
        <v>0</v>
      </c>
      <c r="V76" s="1144" t="str">
        <f>VLOOKUP(B76,TH.T4!B84:AC414,28,FALSE)</f>
        <v>TTĐHDL</v>
      </c>
      <c r="W76" s="1129"/>
      <c r="X76" s="1146"/>
      <c r="Y76" s="1187"/>
      <c r="Z76" s="1146"/>
      <c r="AA76" s="1146"/>
      <c r="AB76" s="1146"/>
      <c r="AC76" s="1146"/>
      <c r="AD76" s="1146"/>
      <c r="AE76" s="1146"/>
      <c r="AF76" s="1146"/>
      <c r="AG76" s="1146"/>
      <c r="AH76" s="1146"/>
      <c r="AI76" s="1146"/>
    </row>
    <row r="77" spans="1:35" s="1148" customFormat="1" ht="27" customHeight="1">
      <c r="A77" s="1132">
        <f>_xlfn.AGGREGATE(4,7,A$12:A76)+1</f>
        <v>65</v>
      </c>
      <c r="B77" s="1133" t="s">
        <v>1466</v>
      </c>
      <c r="C77" s="1153" t="s">
        <v>1663</v>
      </c>
      <c r="D77" s="1166" t="s">
        <v>1579</v>
      </c>
      <c r="E77" s="1058" t="str">
        <f>VLOOKUP(B77,TH.Q2!B82:E413,4,FALSE)</f>
        <v>Nhân viên TT Điều hành và QLDL</v>
      </c>
      <c r="F77" s="1136">
        <v>3.26</v>
      </c>
      <c r="G77" s="1137"/>
      <c r="H77" s="1393">
        <f t="shared" si="2"/>
        <v>0</v>
      </c>
      <c r="I77" s="1138"/>
      <c r="J77" s="1138" t="str">
        <f>VLOOKUP(B77,'[15]Gui chi Quynh'!$B$11:$E$396,4,FALSE)</f>
        <v>A1</v>
      </c>
      <c r="K77" s="1138">
        <f t="shared" si="3"/>
        <v>0.8</v>
      </c>
      <c r="L77" s="1139">
        <v>23</v>
      </c>
      <c r="M77" s="1139">
        <f>VLOOKUP(B77,'[16]CN BC'!$H$10:$J$275,3,FALSE)</f>
        <v>24</v>
      </c>
      <c r="N77" s="1139">
        <f t="shared" si="4"/>
        <v>23</v>
      </c>
      <c r="O77" s="1140"/>
      <c r="P77" s="1141">
        <f t="shared" ref="P77:P140" si="7">(((F77+H77+I77)*$P$9/L77*N77)*K77)+O77</f>
        <v>6102719.9999999991</v>
      </c>
      <c r="Q77" s="1519">
        <f t="shared" si="5"/>
        <v>2.6079999999999997</v>
      </c>
      <c r="R77" s="1606">
        <v>2340000</v>
      </c>
      <c r="S77" s="1618">
        <f t="shared" si="6"/>
        <v>6102719.9999999991</v>
      </c>
      <c r="T77" s="1142">
        <f t="shared" ref="T77:T105" si="8">A77</f>
        <v>65</v>
      </c>
      <c r="U77" s="1143">
        <f>IFERROR(INDEX('[16]CN BC'!$M$10:$M$276,MATCH(B77,'[16]CN BC'!$H$10:$H$276,0)),"")</f>
        <v>0</v>
      </c>
      <c r="V77" s="1144" t="str">
        <f>VLOOKUP(B77,TH.T4!B85:AC415,28,FALSE)</f>
        <v>TTĐHDL</v>
      </c>
      <c r="W77" s="1130"/>
      <c r="X77" s="1146"/>
      <c r="Y77" s="1147"/>
      <c r="Z77" s="1146"/>
      <c r="AA77" s="1146"/>
      <c r="AB77" s="1146"/>
      <c r="AC77" s="1146"/>
      <c r="AD77" s="1146"/>
      <c r="AE77" s="1146"/>
    </row>
    <row r="78" spans="1:35" s="1148" customFormat="1" ht="23.25" customHeight="1">
      <c r="A78" s="1132">
        <f>_xlfn.AGGREGATE(4,7,A$12:A77)+1</f>
        <v>66</v>
      </c>
      <c r="B78" s="1133" t="s">
        <v>1834</v>
      </c>
      <c r="C78" s="1153" t="s">
        <v>1967</v>
      </c>
      <c r="D78" s="1188">
        <v>1603215005599</v>
      </c>
      <c r="E78" s="1058" t="str">
        <f>VLOOKUP(B78,TH.Q2!B83:E414,4,FALSE)</f>
        <v>Phụ trách TT Thư viện</v>
      </c>
      <c r="F78" s="1160">
        <v>3.66</v>
      </c>
      <c r="G78" s="1137"/>
      <c r="H78" s="1393">
        <f t="shared" ref="H78:H142" si="9">ROUND(F78*G78,3)</f>
        <v>0</v>
      </c>
      <c r="I78" s="1138">
        <v>0.45</v>
      </c>
      <c r="J78" s="1138" t="str">
        <f>VLOOKUP(B78,'[15]Gui chi Quynh'!$B$11:$E$396,4,FALSE)</f>
        <v>A1</v>
      </c>
      <c r="K78" s="1138">
        <f t="shared" ref="K78:K142" si="10">IF(J78="A1",0.8,IF(J78="A2",0.7,IF(J78="A3",0.6,IF(J78="A4",0.5,IF(J78="B1",0.35,IF(J78="B2",0.25,IF(J78="C1",0.15,IF(J78="C2",0.1,0))))))))</f>
        <v>0.8</v>
      </c>
      <c r="L78" s="1139">
        <v>23</v>
      </c>
      <c r="M78" s="1139">
        <f>VLOOKUP(B78,'[16]CN BC'!$H$10:$J$275,3,FALSE)</f>
        <v>23</v>
      </c>
      <c r="N78" s="1139">
        <f t="shared" ref="N78:N141" si="11">IF(M78&gt;=L78,L78,IF(M78&lt;L78,M78))</f>
        <v>23</v>
      </c>
      <c r="O78" s="1140"/>
      <c r="P78" s="1141">
        <f t="shared" si="7"/>
        <v>7693920</v>
      </c>
      <c r="Q78" s="1519">
        <f t="shared" ref="Q78:Q141" si="12">P78/R78</f>
        <v>3.2879999999999998</v>
      </c>
      <c r="R78" s="1606">
        <v>2340000</v>
      </c>
      <c r="S78" s="1618">
        <f t="shared" ref="S78:S141" si="13">Q78*R78</f>
        <v>7693920</v>
      </c>
      <c r="T78" s="1142">
        <f t="shared" si="8"/>
        <v>66</v>
      </c>
      <c r="U78" s="1143">
        <f>IFERROR(INDEX('[16]CN BC'!$M$10:$M$276,MATCH(B78,'[16]CN BC'!$H$10:$H$276,0)),"")</f>
        <v>0</v>
      </c>
      <c r="V78" s="1144" t="str">
        <f>VLOOKUP(B78,TH.T4!B86:AC416,28,FALSE)</f>
        <v>TTTV</v>
      </c>
      <c r="W78" s="1130"/>
      <c r="X78" s="1146"/>
      <c r="Y78" s="1147"/>
      <c r="Z78" s="1146"/>
      <c r="AA78" s="1146"/>
      <c r="AB78" s="1146"/>
      <c r="AC78" s="1146"/>
      <c r="AD78" s="1146"/>
      <c r="AE78" s="1146"/>
    </row>
    <row r="79" spans="1:35" s="1148" customFormat="1" ht="27" customHeight="1">
      <c r="A79" s="1132">
        <f>_xlfn.AGGREGATE(4,7,A$12:A78)+1</f>
        <v>67</v>
      </c>
      <c r="B79" s="1133" t="s">
        <v>1468</v>
      </c>
      <c r="C79" s="1153" t="s">
        <v>1676</v>
      </c>
      <c r="D79" s="1166" t="s">
        <v>1580</v>
      </c>
      <c r="E79" s="1058" t="str">
        <f>VLOOKUP(B79,TH.Q2!B84:E415,4,FALSE)</f>
        <v>Nhân viên TT Thư viện</v>
      </c>
      <c r="F79" s="1160">
        <v>3.33</v>
      </c>
      <c r="G79" s="1137"/>
      <c r="H79" s="1393">
        <f t="shared" si="9"/>
        <v>0</v>
      </c>
      <c r="I79" s="1138"/>
      <c r="J79" s="1138" t="str">
        <f>VLOOKUP(B79,'[15]Gui chi Quynh'!$B$11:$E$396,4,FALSE)</f>
        <v>A3</v>
      </c>
      <c r="K79" s="1138">
        <f t="shared" si="10"/>
        <v>0.6</v>
      </c>
      <c r="L79" s="1139">
        <v>23</v>
      </c>
      <c r="M79" s="1139">
        <f>VLOOKUP(B79,'[16]CN BC'!$H$10:$J$275,3,FALSE)</f>
        <v>22.5</v>
      </c>
      <c r="N79" s="1139">
        <f t="shared" si="11"/>
        <v>22.5</v>
      </c>
      <c r="O79" s="1140"/>
      <c r="P79" s="1141">
        <f t="shared" si="7"/>
        <v>4573682.6086956523</v>
      </c>
      <c r="Q79" s="1519">
        <f t="shared" si="12"/>
        <v>1.9545652173913044</v>
      </c>
      <c r="R79" s="1606">
        <v>2340000</v>
      </c>
      <c r="S79" s="1618">
        <f t="shared" si="13"/>
        <v>4573682.6086956523</v>
      </c>
      <c r="T79" s="1142">
        <f t="shared" si="8"/>
        <v>67</v>
      </c>
      <c r="U79" s="1143" t="str">
        <f>IFERROR(INDEX('[16]CN BC'!$M$10:$M$276,MATCH(B79,'[16]CN BC'!$H$10:$H$276,0)),"")</f>
        <v>Trừ 1/2 ngày nghỉ phép 9/10</v>
      </c>
      <c r="V79" s="1144" t="str">
        <f>VLOOKUP(B79,TH.T4!B87:AC417,28,FALSE)</f>
        <v>TTTV</v>
      </c>
      <c r="W79" s="1130"/>
      <c r="X79" s="1146"/>
      <c r="Y79" s="1147"/>
      <c r="Z79" s="1146"/>
      <c r="AA79" s="1146"/>
      <c r="AB79" s="1146"/>
      <c r="AC79" s="1146"/>
      <c r="AD79" s="1146"/>
      <c r="AE79" s="1146"/>
    </row>
    <row r="80" spans="1:35" s="1148" customFormat="1" ht="27" customHeight="1">
      <c r="A80" s="1132">
        <f>_xlfn.AGGREGATE(4,7,A$12:A79)+1</f>
        <v>68</v>
      </c>
      <c r="B80" s="1133" t="s">
        <v>1469</v>
      </c>
      <c r="C80" s="1153" t="s">
        <v>1677</v>
      </c>
      <c r="D80" s="1179">
        <v>1603205185623</v>
      </c>
      <c r="E80" s="1058" t="str">
        <f>VLOOKUP(B80,TH.Q2!B85:E416,4,FALSE)</f>
        <v>Nhân viên TT Thư viện</v>
      </c>
      <c r="F80" s="1160">
        <v>3.33</v>
      </c>
      <c r="G80" s="1137"/>
      <c r="H80" s="1393">
        <f t="shared" si="9"/>
        <v>0</v>
      </c>
      <c r="I80" s="1138"/>
      <c r="J80" s="1138" t="str">
        <f>VLOOKUP(B80,'[15]Gui chi Quynh'!$B$11:$E$396,4,FALSE)</f>
        <v>A3</v>
      </c>
      <c r="K80" s="1138">
        <f t="shared" si="10"/>
        <v>0.6</v>
      </c>
      <c r="L80" s="1139">
        <v>23</v>
      </c>
      <c r="M80" s="1139">
        <f>VLOOKUP(B80,'[16]CN BC'!$H$10:$J$275,3,FALSE)</f>
        <v>23</v>
      </c>
      <c r="N80" s="1139">
        <f t="shared" si="11"/>
        <v>23</v>
      </c>
      <c r="O80" s="1140"/>
      <c r="P80" s="1141">
        <f t="shared" si="7"/>
        <v>4675320</v>
      </c>
      <c r="Q80" s="1519">
        <f t="shared" si="12"/>
        <v>1.998</v>
      </c>
      <c r="R80" s="1606">
        <v>2340000</v>
      </c>
      <c r="S80" s="1618">
        <f t="shared" si="13"/>
        <v>4675320</v>
      </c>
      <c r="T80" s="1142">
        <f t="shared" si="8"/>
        <v>68</v>
      </c>
      <c r="U80" s="1143">
        <f>IFERROR(INDEX('[16]CN BC'!$M$10:$M$276,MATCH(B80,'[16]CN BC'!$H$10:$H$276,0)),"")</f>
        <v>0</v>
      </c>
      <c r="V80" s="1144" t="str">
        <f>VLOOKUP(B80,TH.T4!B88:AC418,28,FALSE)</f>
        <v>TTTV</v>
      </c>
      <c r="W80" s="1130"/>
      <c r="X80" s="1146"/>
      <c r="Y80" s="1147"/>
      <c r="Z80" s="1146"/>
      <c r="AA80" s="1146"/>
      <c r="AB80" s="1146"/>
      <c r="AC80" s="1146"/>
      <c r="AD80" s="1146"/>
      <c r="AE80" s="1146"/>
    </row>
    <row r="81" spans="1:35" s="1148" customFormat="1" ht="27" customHeight="1">
      <c r="A81" s="1132">
        <f>_xlfn.AGGREGATE(4,7,A$12:A80)+1</f>
        <v>69</v>
      </c>
      <c r="B81" s="1133" t="s">
        <v>1864</v>
      </c>
      <c r="C81" s="1153" t="s">
        <v>1678</v>
      </c>
      <c r="D81" s="1154" t="s">
        <v>1402</v>
      </c>
      <c r="E81" s="383" t="str">
        <f>VLOOKUP(B81,TH.Q2!B86:E417,4,FALSE)</f>
        <v>Nhân viên TT Thư viện</v>
      </c>
      <c r="F81" s="1136">
        <v>4.9800000000000004</v>
      </c>
      <c r="G81" s="1137">
        <v>0.06</v>
      </c>
      <c r="H81" s="1400">
        <f t="shared" si="9"/>
        <v>0.29899999999999999</v>
      </c>
      <c r="I81" s="1138"/>
      <c r="J81" s="1138" t="str">
        <f>VLOOKUP(B81,'[15]Gui chi Quynh'!$B$11:$E$396,4,FALSE)</f>
        <v>A4</v>
      </c>
      <c r="K81" s="1138">
        <f t="shared" si="10"/>
        <v>0.5</v>
      </c>
      <c r="L81" s="1139">
        <v>23</v>
      </c>
      <c r="M81" s="1139">
        <f>VLOOKUP(B81,'[16]CN BC'!$H$10:$J$275,3,FALSE)</f>
        <v>23</v>
      </c>
      <c r="N81" s="1139">
        <f t="shared" si="11"/>
        <v>23</v>
      </c>
      <c r="O81" s="1155"/>
      <c r="P81" s="1141">
        <f t="shared" si="7"/>
        <v>6176430.0000000019</v>
      </c>
      <c r="Q81" s="1519">
        <f t="shared" si="12"/>
        <v>2.6395000000000008</v>
      </c>
      <c r="R81" s="1606">
        <v>2340000</v>
      </c>
      <c r="S81" s="1618">
        <f t="shared" si="13"/>
        <v>6176430.0000000019</v>
      </c>
      <c r="T81" s="1142">
        <f t="shared" si="8"/>
        <v>69</v>
      </c>
      <c r="U81" s="1143">
        <f>IFERROR(INDEX('[16]CN BC'!$M$10:$M$276,MATCH(B81,'[16]CN BC'!$H$10:$H$276,0)),"")</f>
        <v>0</v>
      </c>
      <c r="V81" s="1189" t="str">
        <f>VLOOKUP(B81,TH.T4!B89:AC419,28,FALSE)</f>
        <v>TTTV</v>
      </c>
      <c r="W81" s="1171"/>
      <c r="Y81" s="1158"/>
    </row>
    <row r="82" spans="1:35" s="1148" customFormat="1" ht="31.5" customHeight="1">
      <c r="A82" s="1132">
        <f>_xlfn.AGGREGATE(4,7,A$12:A81)+1</f>
        <v>70</v>
      </c>
      <c r="B82" s="1133" t="s">
        <v>1471</v>
      </c>
      <c r="C82" s="1153" t="s">
        <v>1680</v>
      </c>
      <c r="D82" s="1166" t="s">
        <v>1581</v>
      </c>
      <c r="E82" s="1058" t="str">
        <f>VLOOKUP(B82,TH.Q2!B87:E418,4,FALSE)</f>
        <v>Trưởng phòng KHCN &amp; HTQT</v>
      </c>
      <c r="F82" s="1136">
        <v>4.9800000000000004</v>
      </c>
      <c r="G82" s="1137"/>
      <c r="H82" s="1393">
        <f t="shared" si="9"/>
        <v>0</v>
      </c>
      <c r="I82" s="1138">
        <v>0.45</v>
      </c>
      <c r="J82" s="1138" t="str">
        <f>VLOOKUP(B82,'[15]Gui chi Quynh'!$B$11:$E$396,4,FALSE)</f>
        <v>A1</v>
      </c>
      <c r="K82" s="1138">
        <f t="shared" si="10"/>
        <v>0.8</v>
      </c>
      <c r="L82" s="1139">
        <v>23</v>
      </c>
      <c r="M82" s="1139">
        <f>VLOOKUP(B82,'[16]CN BC'!$H$10:$J$275,3,FALSE)</f>
        <v>24</v>
      </c>
      <c r="N82" s="1139">
        <f t="shared" si="11"/>
        <v>23</v>
      </c>
      <c r="O82" s="1140"/>
      <c r="P82" s="1141">
        <f t="shared" si="7"/>
        <v>10164960.000000002</v>
      </c>
      <c r="Q82" s="1519">
        <f t="shared" si="12"/>
        <v>4.3440000000000012</v>
      </c>
      <c r="R82" s="1606">
        <v>2340000</v>
      </c>
      <c r="S82" s="1618">
        <f t="shared" si="13"/>
        <v>10164960.000000002</v>
      </c>
      <c r="T82" s="1142">
        <f t="shared" si="8"/>
        <v>70</v>
      </c>
      <c r="U82" s="1143">
        <f>IFERROR(INDEX('[16]CN BC'!$M$10:$M$276,MATCH(B82,'[16]CN BC'!$H$10:$H$276,0)),"")</f>
        <v>0</v>
      </c>
      <c r="V82" s="1144" t="str">
        <f>VLOOKUP(B82,TH.T4!B90:AC420,28,FALSE)</f>
        <v>QLKH</v>
      </c>
      <c r="W82" s="1171"/>
      <c r="Y82" s="1158"/>
    </row>
    <row r="83" spans="1:35" s="1148" customFormat="1" ht="26.25" customHeight="1">
      <c r="A83" s="1132">
        <f>_xlfn.AGGREGATE(4,7,A$12:A82)+1</f>
        <v>71</v>
      </c>
      <c r="B83" s="1164" t="s">
        <v>2009</v>
      </c>
      <c r="C83" s="1165"/>
      <c r="D83" s="1166"/>
      <c r="E83" s="1058" t="str">
        <f>VLOOKUP(B83,TH.Q2!B88:E419,4,FALSE)</f>
        <v>NV Phòng KHCN &amp; HTQT</v>
      </c>
      <c r="F83" s="1160">
        <v>3.66</v>
      </c>
      <c r="G83" s="1137"/>
      <c r="H83" s="1393">
        <f t="shared" si="9"/>
        <v>0</v>
      </c>
      <c r="I83" s="1138"/>
      <c r="J83" s="1138" t="str">
        <f>VLOOKUP(B83,'[15]Gui chi Quynh'!$B$11:$E$396,4,FALSE)</f>
        <v>A2</v>
      </c>
      <c r="K83" s="1138">
        <f t="shared" si="10"/>
        <v>0.7</v>
      </c>
      <c r="L83" s="1139">
        <v>23</v>
      </c>
      <c r="M83" s="1139">
        <f>VLOOKUP(B83,'[16]CN BC'!$H$10:$J$275,3,FALSE)</f>
        <v>24</v>
      </c>
      <c r="N83" s="1139">
        <f t="shared" si="11"/>
        <v>23</v>
      </c>
      <c r="O83" s="1140"/>
      <c r="P83" s="1141">
        <f t="shared" si="7"/>
        <v>5995080</v>
      </c>
      <c r="Q83" s="1519">
        <f t="shared" si="12"/>
        <v>2.5619999999999998</v>
      </c>
      <c r="R83" s="1606">
        <v>2340000</v>
      </c>
      <c r="S83" s="1618">
        <f t="shared" si="13"/>
        <v>5995080</v>
      </c>
      <c r="T83" s="1142">
        <f t="shared" si="8"/>
        <v>71</v>
      </c>
      <c r="U83" s="1143">
        <f>IFERROR(INDEX('[16]CN BC'!$M$10:$M$276,MATCH(B83,'[16]CN BC'!$H$10:$H$276,0)),"")</f>
        <v>0</v>
      </c>
      <c r="V83" s="1144" t="str">
        <f>VLOOKUP(B83,TH.T4!B91:AC421,28,FALSE)</f>
        <v>QLKH</v>
      </c>
      <c r="W83" s="1171"/>
      <c r="Y83" s="1158"/>
    </row>
    <row r="84" spans="1:35" s="1148" customFormat="1" ht="28.5" customHeight="1">
      <c r="A84" s="1132">
        <f>_xlfn.AGGREGATE(4,7,A$12:A83)+1</f>
        <v>72</v>
      </c>
      <c r="B84" s="1164" t="s">
        <v>1830</v>
      </c>
      <c r="C84" s="1165" t="s">
        <v>1829</v>
      </c>
      <c r="D84" s="1190">
        <v>1603205354978</v>
      </c>
      <c r="E84" s="1058" t="str">
        <f>VLOOKUP(B84,TH.Q2!B89:E420,4,FALSE)</f>
        <v>Giám đốc TT Đào tạo và Quản lý vật tư thiết bị</v>
      </c>
      <c r="F84" s="1160">
        <v>3</v>
      </c>
      <c r="G84" s="1137"/>
      <c r="H84" s="1393">
        <f t="shared" si="9"/>
        <v>0</v>
      </c>
      <c r="I84" s="1138">
        <v>0.45</v>
      </c>
      <c r="J84" s="1138" t="str">
        <f>VLOOKUP(B84,'[15]Gui chi Quynh'!$B$11:$E$396,4,FALSE)</f>
        <v>A1</v>
      </c>
      <c r="K84" s="1138">
        <f t="shared" si="10"/>
        <v>0.8</v>
      </c>
      <c r="L84" s="1139">
        <v>23</v>
      </c>
      <c r="M84" s="1139">
        <f>VLOOKUP(B84,'[16]CN BC'!$H$10:$J$275,3,FALSE)</f>
        <v>31</v>
      </c>
      <c r="N84" s="1139">
        <f t="shared" si="11"/>
        <v>23</v>
      </c>
      <c r="O84" s="1140"/>
      <c r="P84" s="1141">
        <f t="shared" si="7"/>
        <v>6458400</v>
      </c>
      <c r="Q84" s="1519">
        <f t="shared" si="12"/>
        <v>2.76</v>
      </c>
      <c r="R84" s="1606">
        <v>2340000</v>
      </c>
      <c r="S84" s="1618">
        <f t="shared" si="13"/>
        <v>6458399.9999999991</v>
      </c>
      <c r="T84" s="1191">
        <f t="shared" si="8"/>
        <v>72</v>
      </c>
      <c r="U84" s="1143">
        <f>IFERROR(INDEX('[16]CN BC'!$M$10:$M$276,MATCH(B84,'[16]CN BC'!$H$10:$H$276,0)),"")</f>
        <v>0</v>
      </c>
      <c r="V84" s="1144" t="str">
        <f>VLOOKUP(B84,TH.T4!B92:AC422,28,FALSE)</f>
        <v>TTĐT</v>
      </c>
      <c r="W84" s="1147"/>
      <c r="X84" s="1146"/>
      <c r="Y84" s="1146"/>
      <c r="Z84" s="1146"/>
      <c r="AA84" s="1146"/>
      <c r="AB84" s="1146"/>
      <c r="AC84" s="1146"/>
      <c r="AD84" s="1146"/>
      <c r="AE84" s="1146"/>
    </row>
    <row r="85" spans="1:35" s="1130" customFormat="1" ht="28.5" customHeight="1">
      <c r="A85" s="1132">
        <f>_xlfn.AGGREGATE(4,7,A$12:A84)+1</f>
        <v>73</v>
      </c>
      <c r="B85" s="1172" t="s">
        <v>2005</v>
      </c>
      <c r="C85" s="1192" t="s">
        <v>1826</v>
      </c>
      <c r="D85" s="1193" t="s">
        <v>12</v>
      </c>
      <c r="E85" s="1058" t="str">
        <f>VLOOKUP(B85,TH.Q2!B90:E421,4,FALSE)</f>
        <v>TT Đào tạo và Quản lý vật tư thiết bị</v>
      </c>
      <c r="F85" s="1176">
        <v>3.34</v>
      </c>
      <c r="G85" s="1194"/>
      <c r="H85" s="1393">
        <f t="shared" si="9"/>
        <v>0</v>
      </c>
      <c r="I85" s="1194">
        <v>0</v>
      </c>
      <c r="J85" s="1138" t="str">
        <f>VLOOKUP(B85,'[15]Gui chi Quynh'!$B$11:$E$396,4,FALSE)</f>
        <v>A4</v>
      </c>
      <c r="K85" s="1138">
        <f t="shared" si="10"/>
        <v>0.5</v>
      </c>
      <c r="L85" s="1139">
        <v>23</v>
      </c>
      <c r="M85" s="1139">
        <f>VLOOKUP(B85,'[16]CN BC'!$H$10:$J$275,3,FALSE)</f>
        <v>28</v>
      </c>
      <c r="N85" s="1139">
        <f t="shared" si="11"/>
        <v>23</v>
      </c>
      <c r="O85" s="1140"/>
      <c r="P85" s="1141">
        <f t="shared" si="7"/>
        <v>3907799.9999999995</v>
      </c>
      <c r="Q85" s="1519">
        <f t="shared" si="12"/>
        <v>1.6699999999999997</v>
      </c>
      <c r="R85" s="1606">
        <v>2340000</v>
      </c>
      <c r="S85" s="1618">
        <f t="shared" si="13"/>
        <v>3907799.9999999995</v>
      </c>
      <c r="T85" s="1195">
        <f t="shared" si="8"/>
        <v>73</v>
      </c>
      <c r="U85" s="1143">
        <f>IFERROR(INDEX('[16]CN BC'!$M$10:$M$276,MATCH(B85,'[16]CN BC'!$H$10:$H$276,0)),"")</f>
        <v>0</v>
      </c>
      <c r="V85" s="1144" t="str">
        <f>VLOOKUP(B85,TH.T4!B93:AC423,28,FALSE)</f>
        <v>TTĐT</v>
      </c>
    </row>
    <row r="86" spans="1:35" s="1148" customFormat="1" ht="27" customHeight="1">
      <c r="A86" s="1132">
        <f>_xlfn.AGGREGATE(4,7,A$12:A85)+1</f>
        <v>74</v>
      </c>
      <c r="B86" s="1164" t="s">
        <v>1607</v>
      </c>
      <c r="C86" s="1165" t="s">
        <v>1957</v>
      </c>
      <c r="D86" s="1181">
        <v>1603215003961</v>
      </c>
      <c r="E86" s="1058" t="str">
        <f>VLOOKUP(B86,TH.Q2!B91:E422,4,FALSE)</f>
        <v>Trưởng khoa Xây dựng - Nhiệt lạnh</v>
      </c>
      <c r="F86" s="1160">
        <v>3.66</v>
      </c>
      <c r="G86" s="1137"/>
      <c r="H86" s="1393">
        <f t="shared" si="9"/>
        <v>0</v>
      </c>
      <c r="I86" s="1138">
        <v>0.45</v>
      </c>
      <c r="J86" s="1138" t="str">
        <f>VLOOKUP(B86,'[15]Gui chi Quynh'!$B$11:$E$396,4,FALSE)</f>
        <v>A1</v>
      </c>
      <c r="K86" s="1138">
        <f t="shared" si="10"/>
        <v>0.8</v>
      </c>
      <c r="L86" s="1139">
        <v>23</v>
      </c>
      <c r="M86" s="1139">
        <f>VLOOKUP(B86,'[16]CN BC'!$H$10:$J$275,3,FALSE)</f>
        <v>23</v>
      </c>
      <c r="N86" s="1139">
        <f t="shared" si="11"/>
        <v>23</v>
      </c>
      <c r="O86" s="1140"/>
      <c r="P86" s="1141">
        <f t="shared" si="7"/>
        <v>7693920</v>
      </c>
      <c r="Q86" s="1519">
        <f t="shared" si="12"/>
        <v>3.2879999999999998</v>
      </c>
      <c r="R86" s="1606">
        <v>2340000</v>
      </c>
      <c r="S86" s="1618">
        <f t="shared" si="13"/>
        <v>7693920</v>
      </c>
      <c r="T86" s="1142">
        <f t="shared" si="8"/>
        <v>74</v>
      </c>
      <c r="U86" s="1143">
        <f>IFERROR(INDEX('[16]CN BC'!$M$10:$M$276,MATCH(B86,'[16]CN BC'!$H$10:$H$276,0)),"")</f>
        <v>0</v>
      </c>
      <c r="V86" s="1144" t="str">
        <f>VLOOKUP(B86,TH.T4!B94:AC424,28,FALSE)</f>
        <v>XD-NL</v>
      </c>
      <c r="W86" s="1171"/>
      <c r="Y86" s="1158"/>
    </row>
    <row r="87" spans="1:35" s="1148" customFormat="1" ht="31.5" customHeight="1">
      <c r="A87" s="1132">
        <f>_xlfn.AGGREGATE(4,7,A$12:A86)+1</f>
        <v>75</v>
      </c>
      <c r="B87" s="1133" t="s">
        <v>1924</v>
      </c>
      <c r="C87" s="1153" t="s">
        <v>1958</v>
      </c>
      <c r="D87" s="1188" t="s">
        <v>1935</v>
      </c>
      <c r="E87" s="1058" t="str">
        <f>VLOOKUP(B87,TH.Q2!B92:E423,4,FALSE)</f>
        <v>Giảng viên khoa Xây dựng - Nhiệt lạnh</v>
      </c>
      <c r="F87" s="1160">
        <v>3</v>
      </c>
      <c r="G87" s="1137"/>
      <c r="H87" s="1393">
        <f t="shared" si="9"/>
        <v>0</v>
      </c>
      <c r="I87" s="1138"/>
      <c r="J87" s="1138" t="str">
        <f>VLOOKUP(B87,'[15]Gui chi Quynh'!$B$11:$E$396,4,FALSE)</f>
        <v>A4</v>
      </c>
      <c r="K87" s="1138">
        <f t="shared" si="10"/>
        <v>0.5</v>
      </c>
      <c r="L87" s="1139">
        <v>23</v>
      </c>
      <c r="M87" s="1139">
        <f>VLOOKUP(B87,'[16]CN BC'!$H$10:$J$275,3,FALSE)</f>
        <v>23</v>
      </c>
      <c r="N87" s="1139">
        <f t="shared" si="11"/>
        <v>23</v>
      </c>
      <c r="O87" s="1140"/>
      <c r="P87" s="1141">
        <f t="shared" si="7"/>
        <v>3510000</v>
      </c>
      <c r="Q87" s="1519">
        <f t="shared" si="12"/>
        <v>1.5</v>
      </c>
      <c r="R87" s="1606">
        <v>2340000</v>
      </c>
      <c r="S87" s="1618">
        <f t="shared" si="13"/>
        <v>3510000</v>
      </c>
      <c r="T87" s="1142">
        <f t="shared" si="8"/>
        <v>75</v>
      </c>
      <c r="U87" s="1143">
        <f>IFERROR(INDEX('[16]CN BC'!$M$10:$M$276,MATCH(B87,'[16]CN BC'!$H$10:$H$276,0)),"")</f>
        <v>0</v>
      </c>
      <c r="V87" s="1144" t="str">
        <f>VLOOKUP(B87,TH.T4!B95:AC425,28,FALSE)</f>
        <v>XD-NL</v>
      </c>
      <c r="W87" s="1171"/>
      <c r="Y87" s="1158"/>
    </row>
    <row r="88" spans="1:35" s="1148" customFormat="1" ht="31.5" customHeight="1">
      <c r="A88" s="1132">
        <f>_xlfn.AGGREGATE(4,7,A$12:A87)+1</f>
        <v>76</v>
      </c>
      <c r="B88" s="1133" t="s">
        <v>1944</v>
      </c>
      <c r="C88" s="1153" t="s">
        <v>1959</v>
      </c>
      <c r="D88" s="1181"/>
      <c r="E88" s="1058" t="str">
        <f>VLOOKUP(B88,TH.Q2!B93:E424,4,FALSE)</f>
        <v>Giảng viên khoa Xây dựng - Nhiệt lạnh</v>
      </c>
      <c r="F88" s="1136">
        <v>2.34</v>
      </c>
      <c r="G88" s="1137"/>
      <c r="H88" s="1393">
        <f t="shared" si="9"/>
        <v>0</v>
      </c>
      <c r="I88" s="1138"/>
      <c r="J88" s="1138" t="str">
        <f>VLOOKUP(B88,'[15]Gui chi Quynh'!$B$11:$E$396,4,FALSE)</f>
        <v>A2</v>
      </c>
      <c r="K88" s="1138">
        <f t="shared" si="10"/>
        <v>0.7</v>
      </c>
      <c r="L88" s="1139">
        <v>23</v>
      </c>
      <c r="M88" s="1139">
        <f>VLOOKUP(B88,'[16]CN BC'!$H$10:$J$275,3,FALSE)</f>
        <v>23</v>
      </c>
      <c r="N88" s="1139">
        <f t="shared" si="11"/>
        <v>23</v>
      </c>
      <c r="O88" s="1140"/>
      <c r="P88" s="1141">
        <f t="shared" si="7"/>
        <v>3832919.9999999995</v>
      </c>
      <c r="Q88" s="1519">
        <f t="shared" si="12"/>
        <v>1.6379999999999999</v>
      </c>
      <c r="R88" s="1606">
        <v>2340000</v>
      </c>
      <c r="S88" s="1618">
        <f t="shared" si="13"/>
        <v>3832920</v>
      </c>
      <c r="T88" s="1142">
        <f t="shared" si="8"/>
        <v>76</v>
      </c>
      <c r="U88" s="1143">
        <f>IFERROR(INDEX('[16]CN BC'!$M$10:$M$276,MATCH(B88,'[16]CN BC'!$H$10:$H$276,0)),"")</f>
        <v>0</v>
      </c>
      <c r="V88" s="1144" t="str">
        <f>VLOOKUP(B88,TH.T4!B96:AC426,28,FALSE)</f>
        <v>XD-NL</v>
      </c>
      <c r="W88" s="1171"/>
      <c r="Y88" s="1158"/>
    </row>
    <row r="89" spans="1:35" s="1148" customFormat="1" ht="25.5" customHeight="1">
      <c r="A89" s="1132">
        <f>_xlfn.AGGREGATE(4,7,A$12:A88)+1</f>
        <v>77</v>
      </c>
      <c r="B89" s="1133" t="s">
        <v>1472</v>
      </c>
      <c r="C89" s="1149" t="s">
        <v>1682</v>
      </c>
      <c r="D89" s="1166" t="s">
        <v>1582</v>
      </c>
      <c r="E89" s="1058" t="str">
        <f>VLOOKUP(B89,TH.Q2!B94:E425,4,FALSE)</f>
        <v>Trưởng khoa Kinh tế</v>
      </c>
      <c r="F89" s="1160">
        <v>3.99</v>
      </c>
      <c r="G89" s="1137"/>
      <c r="H89" s="1393">
        <f t="shared" si="9"/>
        <v>0</v>
      </c>
      <c r="I89" s="1138">
        <v>0.45</v>
      </c>
      <c r="J89" s="1138" t="str">
        <f>VLOOKUP(B89,'[15]Gui chi Quynh'!$B$11:$E$396,4,FALSE)</f>
        <v>A2</v>
      </c>
      <c r="K89" s="1138">
        <f t="shared" si="10"/>
        <v>0.7</v>
      </c>
      <c r="L89" s="1139">
        <v>23</v>
      </c>
      <c r="M89" s="1139">
        <f>VLOOKUP(B89,'[16]CN BC'!$H$10:$J$275,3,FALSE)</f>
        <v>23</v>
      </c>
      <c r="N89" s="1139">
        <f t="shared" si="11"/>
        <v>23</v>
      </c>
      <c r="O89" s="1140"/>
      <c r="P89" s="1141">
        <f t="shared" si="7"/>
        <v>7272720</v>
      </c>
      <c r="Q89" s="1519">
        <f t="shared" si="12"/>
        <v>3.1080000000000001</v>
      </c>
      <c r="R89" s="1606">
        <v>2340000</v>
      </c>
      <c r="S89" s="1618">
        <f t="shared" si="13"/>
        <v>7272720</v>
      </c>
      <c r="T89" s="1142">
        <f t="shared" si="8"/>
        <v>77</v>
      </c>
      <c r="U89" s="1143">
        <f>IFERROR(INDEX('[16]CN BC'!$M$10:$M$276,MATCH(B89,'[16]CN BC'!$H$10:$H$276,0)),"")</f>
        <v>0</v>
      </c>
      <c r="V89" s="1144" t="str">
        <f>VLOOKUP(B89,TH.T4!B97:AC427,28,FALSE)</f>
        <v>KT</v>
      </c>
      <c r="W89" s="1130"/>
      <c r="X89" s="1146"/>
      <c r="Y89" s="1147"/>
      <c r="Z89" s="1146"/>
      <c r="AA89" s="1146"/>
      <c r="AB89" s="1146"/>
      <c r="AC89" s="1146"/>
      <c r="AD89" s="1146"/>
      <c r="AE89" s="1146"/>
      <c r="AF89" s="1146"/>
      <c r="AG89" s="1146"/>
      <c r="AH89" s="1146"/>
      <c r="AI89" s="1146"/>
    </row>
    <row r="90" spans="1:35" s="1148" customFormat="1" ht="25.15" customHeight="1">
      <c r="A90" s="1132">
        <f>_xlfn.AGGREGATE(4,7,A$12:A89)+1</f>
        <v>78</v>
      </c>
      <c r="B90" s="1133" t="s">
        <v>1566</v>
      </c>
      <c r="C90" s="1153" t="s">
        <v>1681</v>
      </c>
      <c r="D90" s="1196" t="s">
        <v>1567</v>
      </c>
      <c r="E90" s="1058" t="str">
        <f>VLOOKUP(B90,TH.Q2!B95:E426,4,FALSE)</f>
        <v>Giảng viên khoa Kinh tế</v>
      </c>
      <c r="F90" s="1160">
        <v>3.33</v>
      </c>
      <c r="G90" s="1137"/>
      <c r="H90" s="1393">
        <f t="shared" si="9"/>
        <v>0</v>
      </c>
      <c r="I90" s="1138"/>
      <c r="J90" s="1138" t="str">
        <f>VLOOKUP(B90,'[15]Gui chi Quynh'!$B$11:$E$396,4,FALSE)</f>
        <v>A3</v>
      </c>
      <c r="K90" s="1138">
        <f t="shared" si="10"/>
        <v>0.6</v>
      </c>
      <c r="L90" s="1139">
        <v>23</v>
      </c>
      <c r="M90" s="1139">
        <f>VLOOKUP(B90,'[16]CN BC'!$H$10:$J$275,3,FALSE)</f>
        <v>23</v>
      </c>
      <c r="N90" s="1139">
        <f t="shared" si="11"/>
        <v>23</v>
      </c>
      <c r="O90" s="1140"/>
      <c r="P90" s="1141">
        <f t="shared" si="7"/>
        <v>4675320</v>
      </c>
      <c r="Q90" s="1519">
        <f t="shared" si="12"/>
        <v>1.998</v>
      </c>
      <c r="R90" s="1606">
        <v>2340000</v>
      </c>
      <c r="S90" s="1618">
        <f t="shared" si="13"/>
        <v>4675320</v>
      </c>
      <c r="T90" s="1142">
        <f t="shared" si="8"/>
        <v>78</v>
      </c>
      <c r="U90" s="1143">
        <f>IFERROR(INDEX('[16]CN BC'!$M$10:$M$276,MATCH(B90,'[16]CN BC'!$H$10:$H$276,0)),"")</f>
        <v>0</v>
      </c>
      <c r="V90" s="1144" t="str">
        <f>VLOOKUP(B90,TH.T4!B98:AC428,28,FALSE)</f>
        <v>KT</v>
      </c>
      <c r="W90" s="1130"/>
      <c r="X90" s="1146"/>
      <c r="Y90" s="1147"/>
    </row>
    <row r="91" spans="1:35" s="1148" customFormat="1" ht="25.15" customHeight="1">
      <c r="A91" s="1132">
        <f>_xlfn.AGGREGATE(4,7,A$12:A90)+1</f>
        <v>79</v>
      </c>
      <c r="B91" s="1133" t="s">
        <v>1831</v>
      </c>
      <c r="C91" s="1153" t="s">
        <v>1960</v>
      </c>
      <c r="D91" s="1198">
        <v>1603215005603</v>
      </c>
      <c r="E91" s="1058" t="str">
        <f>VLOOKUP(B91,TH.Q2!B96:E427,4,FALSE)</f>
        <v>Giảng viên khoa 
Kinh tế</v>
      </c>
      <c r="F91" s="1160">
        <v>3</v>
      </c>
      <c r="G91" s="1137"/>
      <c r="H91" s="1393">
        <f t="shared" si="9"/>
        <v>0</v>
      </c>
      <c r="I91" s="1138"/>
      <c r="J91" s="1138" t="str">
        <f>VLOOKUP(B91,'[15]Gui chi Quynh'!$B$11:$E$396,4,FALSE)</f>
        <v>A4</v>
      </c>
      <c r="K91" s="1138">
        <f t="shared" si="10"/>
        <v>0.5</v>
      </c>
      <c r="L91" s="1139">
        <v>23</v>
      </c>
      <c r="M91" s="1139">
        <f>VLOOKUP(B91,'[16]CN BC'!$H$10:$J$275,3,FALSE)</f>
        <v>23</v>
      </c>
      <c r="N91" s="1139">
        <f t="shared" si="11"/>
        <v>23</v>
      </c>
      <c r="O91" s="1140"/>
      <c r="P91" s="1141">
        <f t="shared" si="7"/>
        <v>3510000</v>
      </c>
      <c r="Q91" s="1519">
        <f t="shared" si="12"/>
        <v>1.5</v>
      </c>
      <c r="R91" s="1606">
        <v>2340000</v>
      </c>
      <c r="S91" s="1618">
        <f t="shared" si="13"/>
        <v>3510000</v>
      </c>
      <c r="T91" s="1142">
        <f t="shared" si="8"/>
        <v>79</v>
      </c>
      <c r="U91" s="1143">
        <f>IFERROR(INDEX('[16]CN BC'!$M$10:$M$276,MATCH(B91,'[16]CN BC'!$H$10:$H$276,0)),"")</f>
        <v>0</v>
      </c>
      <c r="V91" s="1144" t="str">
        <f>VLOOKUP(B91,TH.T4!B99:AC429,28,FALSE)</f>
        <v>KT</v>
      </c>
      <c r="W91" s="1130"/>
      <c r="X91" s="1146"/>
      <c r="Y91" s="1147"/>
      <c r="Z91" s="1146"/>
      <c r="AA91" s="1146"/>
      <c r="AB91" s="1146"/>
      <c r="AC91" s="1146"/>
      <c r="AD91" s="1146"/>
      <c r="AE91" s="1146"/>
    </row>
    <row r="92" spans="1:35" s="1148" customFormat="1" ht="26.25" customHeight="1">
      <c r="A92" s="1132">
        <f>_xlfn.AGGREGATE(4,7,A$12:A91)+1</f>
        <v>80</v>
      </c>
      <c r="B92" s="1133" t="s">
        <v>1473</v>
      </c>
      <c r="C92" s="1153" t="s">
        <v>1683</v>
      </c>
      <c r="D92" s="1166" t="s">
        <v>1583</v>
      </c>
      <c r="E92" s="1058" t="str">
        <f>VLOOKUP(B92,TH.Q2!B97:E428,4,FALSE)</f>
        <v>Phó Trưởng khoa Kinh tế</v>
      </c>
      <c r="F92" s="1160">
        <v>3.66</v>
      </c>
      <c r="G92" s="1137"/>
      <c r="H92" s="1393">
        <f t="shared" si="9"/>
        <v>0</v>
      </c>
      <c r="I92" s="1138">
        <v>0.35</v>
      </c>
      <c r="J92" s="1138" t="str">
        <f>VLOOKUP(B92,'[15]Gui chi Quynh'!$B$11:$E$396,4,FALSE)</f>
        <v>A2</v>
      </c>
      <c r="K92" s="1138">
        <f t="shared" si="10"/>
        <v>0.7</v>
      </c>
      <c r="L92" s="1139">
        <v>23</v>
      </c>
      <c r="M92" s="1139">
        <f>VLOOKUP(B92,'[16]CN BC'!$H$10:$J$275,3,FALSE)</f>
        <v>23</v>
      </c>
      <c r="N92" s="1139">
        <f t="shared" si="11"/>
        <v>23</v>
      </c>
      <c r="O92" s="1140"/>
      <c r="P92" s="1141">
        <f t="shared" si="7"/>
        <v>6568380</v>
      </c>
      <c r="Q92" s="1519">
        <f t="shared" si="12"/>
        <v>2.8069999999999999</v>
      </c>
      <c r="R92" s="1606">
        <v>2340000</v>
      </c>
      <c r="S92" s="1618">
        <f t="shared" si="13"/>
        <v>6568380</v>
      </c>
      <c r="T92" s="1142">
        <f t="shared" si="8"/>
        <v>80</v>
      </c>
      <c r="U92" s="1143">
        <f>IFERROR(INDEX('[16]CN BC'!$M$10:$M$276,MATCH(B92,'[16]CN BC'!$H$10:$H$276,0)),"")</f>
        <v>0</v>
      </c>
      <c r="V92" s="1144" t="str">
        <f>VLOOKUP(B92,TH.T4!B100:AC430,28,FALSE)</f>
        <v>KT</v>
      </c>
      <c r="W92" s="1171"/>
      <c r="Y92" s="1158"/>
    </row>
    <row r="93" spans="1:35" s="1148" customFormat="1" ht="26.25" customHeight="1">
      <c r="A93" s="1132">
        <f>_xlfn.AGGREGATE(4,7,A$12:A92)+1</f>
        <v>81</v>
      </c>
      <c r="B93" s="1199" t="s">
        <v>1928</v>
      </c>
      <c r="C93" s="1153" t="s">
        <v>1961</v>
      </c>
      <c r="D93" s="1181" t="s">
        <v>1934</v>
      </c>
      <c r="E93" s="1058" t="str">
        <f>VLOOKUP(B93,TH.Q2!B98:E429,4,FALSE)</f>
        <v>Giảng viên khoa Du lịch - Khách sạn</v>
      </c>
      <c r="F93" s="1197">
        <v>2.34</v>
      </c>
      <c r="G93" s="1137"/>
      <c r="H93" s="1393">
        <f t="shared" si="9"/>
        <v>0</v>
      </c>
      <c r="I93" s="1138"/>
      <c r="J93" s="1138" t="str">
        <f>VLOOKUP(B93,'[15]Gui chi Quynh'!$B$11:$E$396,4,FALSE)</f>
        <v>A4</v>
      </c>
      <c r="K93" s="1138">
        <f t="shared" si="10"/>
        <v>0.5</v>
      </c>
      <c r="L93" s="1139">
        <v>23</v>
      </c>
      <c r="M93" s="1139">
        <f>VLOOKUP(B93,'[16]CN BC'!$H$10:$J$275,3,FALSE)</f>
        <v>23</v>
      </c>
      <c r="N93" s="1139">
        <f t="shared" si="11"/>
        <v>23</v>
      </c>
      <c r="O93" s="1140"/>
      <c r="P93" s="1141">
        <f t="shared" si="7"/>
        <v>2737800</v>
      </c>
      <c r="Q93" s="1519">
        <f t="shared" si="12"/>
        <v>1.17</v>
      </c>
      <c r="R93" s="1606">
        <v>2340000</v>
      </c>
      <c r="S93" s="1618">
        <f t="shared" si="13"/>
        <v>2737800</v>
      </c>
      <c r="T93" s="1142">
        <f t="shared" si="8"/>
        <v>81</v>
      </c>
      <c r="U93" s="1143">
        <f>IFERROR(INDEX('[16]CN BC'!$M$10:$M$276,MATCH(B93,'[16]CN BC'!$H$10:$H$276,0)),"")</f>
        <v>0</v>
      </c>
      <c r="V93" s="1144" t="str">
        <f>VLOOKUP(B93,TH.T4!B101:AC431,28,FALSE)</f>
        <v>KT</v>
      </c>
      <c r="W93" s="1171"/>
      <c r="Y93" s="1158"/>
    </row>
    <row r="94" spans="1:35" s="1148" customFormat="1" ht="32.25" customHeight="1">
      <c r="A94" s="1132">
        <f>_xlfn.AGGREGATE(4,7,A$12:A93)+1</f>
        <v>82</v>
      </c>
      <c r="B94" s="1133" t="s">
        <v>1474</v>
      </c>
      <c r="C94" s="1153" t="s">
        <v>1684</v>
      </c>
      <c r="D94" s="1166" t="s">
        <v>1584</v>
      </c>
      <c r="E94" s="1058" t="str">
        <f>VLOOKUP(B94,TH.Q2!B99:E430,4,FALSE)</f>
        <v>Giảng viên khoa Kinh tế</v>
      </c>
      <c r="F94" s="1160">
        <v>3.33</v>
      </c>
      <c r="G94" s="1137"/>
      <c r="H94" s="1393">
        <f t="shared" si="9"/>
        <v>0</v>
      </c>
      <c r="I94" s="1138"/>
      <c r="J94" s="1138" t="str">
        <f>VLOOKUP(B94,'[15]Gui chi Quynh'!$B$11:$E$396,4,FALSE)</f>
        <v>A3</v>
      </c>
      <c r="K94" s="1138">
        <f t="shared" si="10"/>
        <v>0.6</v>
      </c>
      <c r="L94" s="1139">
        <v>23</v>
      </c>
      <c r="M94" s="1139">
        <f>VLOOKUP(B94,'[16]CN BC'!$H$10:$J$275,3,FALSE)</f>
        <v>23</v>
      </c>
      <c r="N94" s="1139">
        <f t="shared" si="11"/>
        <v>23</v>
      </c>
      <c r="O94" s="1140"/>
      <c r="P94" s="1141">
        <f t="shared" si="7"/>
        <v>4675320</v>
      </c>
      <c r="Q94" s="1519">
        <f t="shared" si="12"/>
        <v>1.998</v>
      </c>
      <c r="R94" s="1606">
        <v>2340000</v>
      </c>
      <c r="S94" s="1618">
        <f t="shared" si="13"/>
        <v>4675320</v>
      </c>
      <c r="T94" s="1142">
        <f t="shared" si="8"/>
        <v>82</v>
      </c>
      <c r="U94" s="1143">
        <f>IFERROR(INDEX('[16]CN BC'!$M$10:$M$276,MATCH(B94,'[16]CN BC'!$H$10:$H$276,0)),"")</f>
        <v>0</v>
      </c>
      <c r="V94" s="1144" t="str">
        <f>VLOOKUP(B94,TH.T4!B102:AC432,28,FALSE)</f>
        <v>KT</v>
      </c>
      <c r="W94" s="1171"/>
      <c r="Y94" s="1158"/>
    </row>
    <row r="95" spans="1:35" s="1148" customFormat="1" ht="28.5" customHeight="1">
      <c r="A95" s="1132">
        <f>_xlfn.AGGREGATE(4,7,A$12:A94)+1</f>
        <v>83</v>
      </c>
      <c r="B95" s="1133" t="s">
        <v>1571</v>
      </c>
      <c r="C95" s="1153" t="s">
        <v>1685</v>
      </c>
      <c r="D95" s="1196" t="s">
        <v>1572</v>
      </c>
      <c r="E95" s="1058" t="str">
        <f>VLOOKUP(B95,TH.Q2!B100:E431,4,FALSE)</f>
        <v>Giảng viên khoa Kinh tế</v>
      </c>
      <c r="F95" s="1160">
        <v>3.33</v>
      </c>
      <c r="G95" s="1137"/>
      <c r="H95" s="1393">
        <f t="shared" si="9"/>
        <v>0</v>
      </c>
      <c r="I95" s="1138"/>
      <c r="J95" s="1138" t="str">
        <f>VLOOKUP(B95,'[15]Gui chi Quynh'!$B$11:$E$396,4,FALSE)</f>
        <v>A3</v>
      </c>
      <c r="K95" s="1138">
        <f t="shared" si="10"/>
        <v>0.6</v>
      </c>
      <c r="L95" s="1139">
        <v>23</v>
      </c>
      <c r="M95" s="1139">
        <f>VLOOKUP(B95,'[16]CN BC'!$H$10:$J$275,3,FALSE)</f>
        <v>23</v>
      </c>
      <c r="N95" s="1139">
        <f t="shared" si="11"/>
        <v>23</v>
      </c>
      <c r="O95" s="1140"/>
      <c r="P95" s="1141">
        <f t="shared" si="7"/>
        <v>4675320</v>
      </c>
      <c r="Q95" s="1519">
        <f t="shared" si="12"/>
        <v>1.998</v>
      </c>
      <c r="R95" s="1606">
        <v>2340000</v>
      </c>
      <c r="S95" s="1618">
        <f t="shared" si="13"/>
        <v>4675320</v>
      </c>
      <c r="T95" s="1142">
        <f t="shared" si="8"/>
        <v>83</v>
      </c>
      <c r="U95" s="1143">
        <f>IFERROR(INDEX('[16]CN BC'!$M$10:$M$276,MATCH(B95,'[16]CN BC'!$H$10:$H$276,0)),"")</f>
        <v>0</v>
      </c>
      <c r="V95" s="1144" t="str">
        <f>VLOOKUP(B95,TH.T4!B103:AC433,28,FALSE)</f>
        <v>KT</v>
      </c>
      <c r="W95" s="1130"/>
      <c r="X95" s="1146"/>
      <c r="Y95" s="1147"/>
      <c r="Z95" s="1146"/>
      <c r="AA95" s="1146"/>
      <c r="AB95" s="1146"/>
      <c r="AC95" s="1146"/>
      <c r="AD95" s="1146"/>
      <c r="AE95" s="1146"/>
    </row>
    <row r="96" spans="1:35" s="1148" customFormat="1" ht="28.5" customHeight="1">
      <c r="A96" s="1132">
        <f>_xlfn.AGGREGATE(4,7,A$12:A95)+1</f>
        <v>84</v>
      </c>
      <c r="B96" s="1133" t="s">
        <v>1475</v>
      </c>
      <c r="C96" s="1153" t="s">
        <v>1686</v>
      </c>
      <c r="D96" s="1166" t="s">
        <v>1585</v>
      </c>
      <c r="E96" s="1058" t="str">
        <f>VLOOKUP(B96,TH.Q2!B101:E432,4,FALSE)</f>
        <v>Giảng viên khoa Kinh tế</v>
      </c>
      <c r="F96" s="1160">
        <v>3.66</v>
      </c>
      <c r="G96" s="1137"/>
      <c r="H96" s="1393">
        <f t="shared" si="9"/>
        <v>0</v>
      </c>
      <c r="I96" s="1138"/>
      <c r="J96" s="1138" t="str">
        <f>VLOOKUP(B96,'[15]Gui chi Quynh'!$B$11:$E$396,4,FALSE)</f>
        <v>A2</v>
      </c>
      <c r="K96" s="1138">
        <f t="shared" si="10"/>
        <v>0.7</v>
      </c>
      <c r="L96" s="1139">
        <v>23</v>
      </c>
      <c r="M96" s="1139">
        <f>VLOOKUP(B96,'[16]CN BC'!$H$10:$J$275,3,FALSE)</f>
        <v>23</v>
      </c>
      <c r="N96" s="1139">
        <f t="shared" si="11"/>
        <v>23</v>
      </c>
      <c r="O96" s="1140"/>
      <c r="P96" s="1141">
        <f t="shared" si="7"/>
        <v>5995080</v>
      </c>
      <c r="Q96" s="1519">
        <f t="shared" si="12"/>
        <v>2.5619999999999998</v>
      </c>
      <c r="R96" s="1606">
        <v>2340000</v>
      </c>
      <c r="S96" s="1618">
        <f t="shared" si="13"/>
        <v>5995080</v>
      </c>
      <c r="T96" s="1142">
        <f t="shared" si="8"/>
        <v>84</v>
      </c>
      <c r="U96" s="1143">
        <f>IFERROR(INDEX('[16]CN BC'!$M$10:$M$276,MATCH(B96,'[16]CN BC'!$H$10:$H$276,0)),"")</f>
        <v>0</v>
      </c>
      <c r="V96" s="1144" t="str">
        <f>VLOOKUP(B96,TH.T4!B104:AC434,28,FALSE)</f>
        <v>KT</v>
      </c>
      <c r="W96" s="1167"/>
      <c r="X96" s="1146"/>
      <c r="Y96" s="1147"/>
    </row>
    <row r="97" spans="1:35" s="1148" customFormat="1" ht="28.5" customHeight="1">
      <c r="A97" s="1132">
        <f>_xlfn.AGGREGATE(4,7,A$12:A96)+1</f>
        <v>85</v>
      </c>
      <c r="B97" s="1133" t="s">
        <v>1476</v>
      </c>
      <c r="C97" s="1153" t="s">
        <v>1687</v>
      </c>
      <c r="D97" s="1166" t="s">
        <v>1586</v>
      </c>
      <c r="E97" s="1058" t="str">
        <f>VLOOKUP(B97,TH.Q2!B102:E433,4,FALSE)</f>
        <v>Giảng viên khoa Du lịch - Khách sạn</v>
      </c>
      <c r="F97" s="1160">
        <v>3</v>
      </c>
      <c r="G97" s="1137"/>
      <c r="H97" s="1393">
        <f t="shared" si="9"/>
        <v>0</v>
      </c>
      <c r="I97" s="1138"/>
      <c r="J97" s="1138" t="str">
        <f>VLOOKUP(B97,'[15]Gui chi Quynh'!$B$11:$E$396,4,FALSE)</f>
        <v>A4</v>
      </c>
      <c r="K97" s="1138">
        <f t="shared" si="10"/>
        <v>0.5</v>
      </c>
      <c r="L97" s="1139">
        <v>23</v>
      </c>
      <c r="M97" s="1139">
        <f>VLOOKUP(B97,'[16]CN BC'!$H$10:$J$275,3,FALSE)</f>
        <v>23</v>
      </c>
      <c r="N97" s="1139">
        <f t="shared" si="11"/>
        <v>23</v>
      </c>
      <c r="O97" s="1140"/>
      <c r="P97" s="1141">
        <f t="shared" si="7"/>
        <v>3510000</v>
      </c>
      <c r="Q97" s="1519">
        <f t="shared" si="12"/>
        <v>1.5</v>
      </c>
      <c r="R97" s="1606">
        <v>2340000</v>
      </c>
      <c r="S97" s="1618">
        <f t="shared" si="13"/>
        <v>3510000</v>
      </c>
      <c r="T97" s="1142">
        <f t="shared" si="8"/>
        <v>85</v>
      </c>
      <c r="U97" s="1143">
        <f>IFERROR(INDEX('[16]CN BC'!$M$10:$M$276,MATCH(B97,'[16]CN BC'!$H$10:$H$276,0)),"")</f>
        <v>0</v>
      </c>
      <c r="V97" s="1144" t="s">
        <v>2236</v>
      </c>
      <c r="W97" s="1130"/>
      <c r="X97" s="1146"/>
      <c r="Y97" s="1147"/>
      <c r="Z97" s="1146"/>
      <c r="AA97" s="1146"/>
      <c r="AB97" s="1146"/>
      <c r="AC97" s="1146"/>
      <c r="AD97" s="1146"/>
      <c r="AE97" s="1146"/>
    </row>
    <row r="98" spans="1:35" s="1148" customFormat="1" ht="28.5" customHeight="1">
      <c r="A98" s="1132">
        <f>_xlfn.AGGREGATE(4,7,A$12:A97)+1</f>
        <v>86</v>
      </c>
      <c r="B98" s="1133" t="s">
        <v>1477</v>
      </c>
      <c r="C98" s="1153" t="s">
        <v>1688</v>
      </c>
      <c r="D98" s="1166" t="s">
        <v>1587</v>
      </c>
      <c r="E98" s="1058" t="str">
        <f>VLOOKUP(B98,TH.Q2!B103:E434,4,FALSE)</f>
        <v>Giảng viên khoa Du lịch - Khách sạn</v>
      </c>
      <c r="F98" s="1160">
        <v>3.66</v>
      </c>
      <c r="G98" s="1137"/>
      <c r="H98" s="1393">
        <f t="shared" si="9"/>
        <v>0</v>
      </c>
      <c r="I98" s="1138">
        <v>0.25</v>
      </c>
      <c r="J98" s="1138" t="str">
        <f>VLOOKUP(B98,'[15]Gui chi Quynh'!$B$11:$E$396,4,FALSE)</f>
        <v>A2</v>
      </c>
      <c r="K98" s="1138">
        <f t="shared" si="10"/>
        <v>0.7</v>
      </c>
      <c r="L98" s="1139">
        <v>23</v>
      </c>
      <c r="M98" s="1139">
        <f>VLOOKUP(B98,'[16]CN BC'!$H$10:$J$275,3,FALSE)</f>
        <v>23</v>
      </c>
      <c r="N98" s="1139">
        <f t="shared" si="11"/>
        <v>23</v>
      </c>
      <c r="O98" s="1140"/>
      <c r="P98" s="1141">
        <f t="shared" si="7"/>
        <v>6404580</v>
      </c>
      <c r="Q98" s="1519">
        <f t="shared" si="12"/>
        <v>2.7370000000000001</v>
      </c>
      <c r="R98" s="1606">
        <v>2340000</v>
      </c>
      <c r="S98" s="1618">
        <f t="shared" si="13"/>
        <v>6404580</v>
      </c>
      <c r="T98" s="1142">
        <f t="shared" si="8"/>
        <v>86</v>
      </c>
      <c r="U98" s="1143">
        <f>IFERROR(INDEX('[16]CN BC'!$M$10:$M$276,MATCH(B98,'[16]CN BC'!$H$10:$H$276,0)),"")</f>
        <v>0</v>
      </c>
      <c r="V98" s="1144" t="str">
        <f>VLOOKUP(B98,TH.T4!B106:AC436,28,FALSE)</f>
        <v>DLKS</v>
      </c>
      <c r="W98" s="1130"/>
      <c r="X98" s="1146"/>
      <c r="Y98" s="1147"/>
      <c r="Z98" s="1146"/>
      <c r="AA98" s="1146"/>
      <c r="AB98" s="1146"/>
      <c r="AC98" s="1146"/>
      <c r="AD98" s="1146"/>
      <c r="AE98" s="1146"/>
    </row>
    <row r="99" spans="1:35" s="1148" customFormat="1" ht="28.5" customHeight="1">
      <c r="A99" s="1132">
        <f>_xlfn.AGGREGATE(4,7,A$12:A98)+1</f>
        <v>87</v>
      </c>
      <c r="B99" s="1199" t="s">
        <v>1842</v>
      </c>
      <c r="C99" s="1153" t="s">
        <v>1962</v>
      </c>
      <c r="D99" s="1181" t="s">
        <v>1933</v>
      </c>
      <c r="E99" s="1058" t="str">
        <f>VLOOKUP(B99,TH.Q2!B104:E435,4,FALSE)</f>
        <v>Giảng viên khoa Kinh tế</v>
      </c>
      <c r="F99" s="1160">
        <v>3</v>
      </c>
      <c r="G99" s="1137"/>
      <c r="H99" s="1393">
        <f t="shared" si="9"/>
        <v>0</v>
      </c>
      <c r="I99" s="1138"/>
      <c r="J99" s="1138" t="str">
        <f>VLOOKUP(B99,'[15]Gui chi Quynh'!$B$11:$E$396,4,FALSE)</f>
        <v>A1</v>
      </c>
      <c r="K99" s="1138">
        <f t="shared" si="10"/>
        <v>0.8</v>
      </c>
      <c r="L99" s="1139">
        <v>23</v>
      </c>
      <c r="M99" s="1139">
        <f>VLOOKUP(B99,'[16]CN BC'!$H$10:$J$275,3,FALSE)</f>
        <v>23</v>
      </c>
      <c r="N99" s="1139">
        <f t="shared" si="11"/>
        <v>23</v>
      </c>
      <c r="O99" s="1140"/>
      <c r="P99" s="1141">
        <f t="shared" si="7"/>
        <v>5616000</v>
      </c>
      <c r="Q99" s="1519">
        <f t="shared" si="12"/>
        <v>2.4</v>
      </c>
      <c r="R99" s="1606">
        <v>2340000</v>
      </c>
      <c r="S99" s="1618">
        <f t="shared" si="13"/>
        <v>5616000</v>
      </c>
      <c r="T99" s="1142">
        <f t="shared" si="8"/>
        <v>87</v>
      </c>
      <c r="U99" s="1143" t="str">
        <f>IFERROR(INDEX('[17]CN BC'!$M$10:$M$276,MATCH(B99,'[17]CN BC'!$H$10:$H$276,0)),"")</f>
        <v>Hỗ trợ công việc phòng KHTC</v>
      </c>
      <c r="V99" s="1144" t="str">
        <f>VLOOKUP(B99,TH.T4!B107:AC437,28,FALSE)</f>
        <v>KT</v>
      </c>
      <c r="W99" s="1130"/>
      <c r="X99" s="1146"/>
      <c r="Y99" s="1147"/>
      <c r="Z99" s="1146"/>
      <c r="AA99" s="1146"/>
      <c r="AB99" s="1146"/>
      <c r="AC99" s="1146"/>
      <c r="AD99" s="1146"/>
      <c r="AE99" s="1146"/>
    </row>
    <row r="100" spans="1:35" s="1148" customFormat="1" ht="28.5" customHeight="1">
      <c r="A100" s="1132">
        <f>_xlfn.AGGREGATE(4,7,A$12:A99)+1</f>
        <v>88</v>
      </c>
      <c r="B100" s="1199" t="s">
        <v>1946</v>
      </c>
      <c r="C100" s="1132" t="s">
        <v>1950</v>
      </c>
      <c r="D100" s="1181" t="s">
        <v>1951</v>
      </c>
      <c r="E100" s="1058" t="str">
        <f>VLOOKUP(B100,TH.Q2!B105:E436,4,FALSE)</f>
        <v>Trưởng khoa Du lịch - Khách sạn</v>
      </c>
      <c r="F100" s="1197">
        <v>2.67</v>
      </c>
      <c r="G100" s="1137"/>
      <c r="H100" s="1393">
        <f t="shared" si="9"/>
        <v>0</v>
      </c>
      <c r="I100" s="1138">
        <v>0.45</v>
      </c>
      <c r="J100" s="1138" t="str">
        <f>VLOOKUP(B100,'[15]Gui chi Quynh'!$B$11:$E$396,4,FALSE)</f>
        <v>A1</v>
      </c>
      <c r="K100" s="1138">
        <f t="shared" si="10"/>
        <v>0.8</v>
      </c>
      <c r="L100" s="1139">
        <v>23</v>
      </c>
      <c r="M100" s="1139">
        <f>VLOOKUP(B100,'[16]CN BC'!$H$10:$J$275,3,FALSE)</f>
        <v>23</v>
      </c>
      <c r="N100" s="1139">
        <f t="shared" si="11"/>
        <v>23</v>
      </c>
      <c r="O100" s="1140"/>
      <c r="P100" s="1141">
        <f t="shared" si="7"/>
        <v>5840640</v>
      </c>
      <c r="Q100" s="1519">
        <f t="shared" si="12"/>
        <v>2.496</v>
      </c>
      <c r="R100" s="1606">
        <v>2340000</v>
      </c>
      <c r="S100" s="1618">
        <f t="shared" si="13"/>
        <v>5840640</v>
      </c>
      <c r="T100" s="1142">
        <f t="shared" si="8"/>
        <v>88</v>
      </c>
      <c r="U100" s="1143">
        <f>IFERROR(INDEX('[17]CN BC'!$M$10:$M$276,MATCH(B100,'[17]CN BC'!$H$10:$H$276,0)),"")</f>
        <v>0</v>
      </c>
      <c r="V100" s="1144" t="str">
        <f>VLOOKUP(B100,TH.T4!B108:AC438,28,FALSE)</f>
        <v>DLKS</v>
      </c>
      <c r="W100" s="1130"/>
      <c r="X100" s="1146"/>
      <c r="Y100" s="1147"/>
      <c r="Z100" s="1146"/>
      <c r="AA100" s="1146"/>
      <c r="AB100" s="1146"/>
      <c r="AC100" s="1146"/>
      <c r="AD100" s="1146"/>
      <c r="AE100" s="1146"/>
    </row>
    <row r="101" spans="1:35" s="1148" customFormat="1" ht="36.75" customHeight="1">
      <c r="A101" s="1132">
        <f>_xlfn.AGGREGATE(4,7,A$12:A100)+1</f>
        <v>89</v>
      </c>
      <c r="B101" s="1201" t="s">
        <v>1947</v>
      </c>
      <c r="C101" s="1200" t="s">
        <v>1952</v>
      </c>
      <c r="D101" s="1202" t="s">
        <v>1953</v>
      </c>
      <c r="E101" s="490" t="str">
        <f>VLOOKUP(B101,TH.Q2!B106:E437,4,FALSE)</f>
        <v>Giảng viên khoa Du lịch - Khách sạn</v>
      </c>
      <c r="F101" s="1203">
        <v>2.34</v>
      </c>
      <c r="G101" s="1204"/>
      <c r="H101" s="1398">
        <f t="shared" si="9"/>
        <v>0</v>
      </c>
      <c r="I101" s="1205"/>
      <c r="J101" s="1205" t="str">
        <f>VLOOKUP(B101,'[15]Gui chi Quynh'!$B$11:$E$396,4,FALSE)</f>
        <v>A DN</v>
      </c>
      <c r="K101" s="1205">
        <f t="shared" si="10"/>
        <v>0</v>
      </c>
      <c r="L101" s="1338">
        <v>23</v>
      </c>
      <c r="M101" s="1338">
        <f>VLOOKUP(B101,'[16]CN BC'!$H$10:$J$275,3,FALSE)</f>
        <v>0</v>
      </c>
      <c r="N101" s="1338">
        <f t="shared" si="11"/>
        <v>0</v>
      </c>
      <c r="O101" s="1206"/>
      <c r="P101" s="1339">
        <f t="shared" si="7"/>
        <v>0</v>
      </c>
      <c r="Q101" s="1568">
        <f t="shared" si="12"/>
        <v>0</v>
      </c>
      <c r="R101" s="1617">
        <v>2340000</v>
      </c>
      <c r="S101" s="1619">
        <f t="shared" si="13"/>
        <v>0</v>
      </c>
      <c r="T101" s="1207">
        <f t="shared" si="8"/>
        <v>89</v>
      </c>
      <c r="U101" s="1340" t="str">
        <f>IFERROR(INDEX('[17]CN BC'!$M$10:$M$276,MATCH(B101,'[17]CN BC'!$H$10:$H$276,0)),"")</f>
        <v>Đi du học nước ngoài từ 28/2/2023</v>
      </c>
      <c r="V101" s="1144" t="str">
        <f>VLOOKUP(B101,TH.T4!B109:AC439,28,FALSE)</f>
        <v>DLKS</v>
      </c>
      <c r="W101" s="1130"/>
      <c r="X101" s="1146"/>
      <c r="Y101" s="1147"/>
      <c r="Z101" s="1146"/>
      <c r="AA101" s="1146"/>
      <c r="AB101" s="1146"/>
      <c r="AC101" s="1146"/>
      <c r="AD101" s="1146"/>
      <c r="AE101" s="1146"/>
    </row>
    <row r="102" spans="1:35" s="1148" customFormat="1" ht="28.5" customHeight="1">
      <c r="A102" s="1132">
        <f>_xlfn.AGGREGATE(4,7,A$12:A101)+1</f>
        <v>90</v>
      </c>
      <c r="B102" s="1199" t="s">
        <v>1997</v>
      </c>
      <c r="C102" s="1132"/>
      <c r="D102" s="1181"/>
      <c r="E102" s="1058" t="str">
        <f>VLOOKUP(B102,TH.Q2!B107:E438,4,FALSE)</f>
        <v>Giảng viên khoa Kinh tế</v>
      </c>
      <c r="F102" s="1197">
        <v>2.34</v>
      </c>
      <c r="G102" s="1137"/>
      <c r="H102" s="1393">
        <f t="shared" si="9"/>
        <v>0</v>
      </c>
      <c r="I102" s="1138"/>
      <c r="J102" s="1138" t="str">
        <f>VLOOKUP(B102,'[15]Gui chi Quynh'!$B$11:$E$396,4,FALSE)</f>
        <v>A3</v>
      </c>
      <c r="K102" s="1138">
        <f t="shared" si="10"/>
        <v>0.6</v>
      </c>
      <c r="L102" s="1139">
        <v>23</v>
      </c>
      <c r="M102" s="1139">
        <f>VLOOKUP(B102,'[16]CN BC'!$H$10:$J$275,3,FALSE)</f>
        <v>23</v>
      </c>
      <c r="N102" s="1139">
        <f t="shared" si="11"/>
        <v>23</v>
      </c>
      <c r="O102" s="1140"/>
      <c r="P102" s="1141">
        <f t="shared" si="7"/>
        <v>3285360</v>
      </c>
      <c r="Q102" s="1519">
        <f t="shared" si="12"/>
        <v>1.4039999999999999</v>
      </c>
      <c r="R102" s="1606">
        <v>2340000</v>
      </c>
      <c r="S102" s="1618">
        <f t="shared" si="13"/>
        <v>3285360</v>
      </c>
      <c r="T102" s="1142">
        <f t="shared" si="8"/>
        <v>90</v>
      </c>
      <c r="U102" s="1143">
        <f>IFERROR(INDEX('[16]CN BC'!$M$10:$M$276,MATCH(B102,'[16]CN BC'!$H$10:$H$276,0)),"")</f>
        <v>0</v>
      </c>
      <c r="V102" s="1144" t="str">
        <f>VLOOKUP(B102,TH.T4!B110:AC440,28,FALSE)</f>
        <v>KT</v>
      </c>
      <c r="W102" s="1130"/>
      <c r="X102" s="1146"/>
      <c r="Y102" s="1158"/>
    </row>
    <row r="103" spans="1:35" s="1148" customFormat="1" ht="28.5" customHeight="1">
      <c r="A103" s="1132">
        <f>_xlfn.AGGREGATE(4,7,A$12:A102)+1</f>
        <v>91</v>
      </c>
      <c r="B103" s="1199" t="s">
        <v>1998</v>
      </c>
      <c r="C103" s="1132"/>
      <c r="D103" s="1181"/>
      <c r="E103" s="1058" t="str">
        <f>VLOOKUP(B103,TH.Q2!B108:E439,4,FALSE)</f>
        <v>Giảng viên khoa Du lịch - Khách sạn</v>
      </c>
      <c r="F103" s="1160">
        <v>3.33</v>
      </c>
      <c r="G103" s="1137"/>
      <c r="H103" s="1393">
        <f t="shared" si="9"/>
        <v>0</v>
      </c>
      <c r="I103" s="1138"/>
      <c r="J103" s="1138" t="str">
        <f>VLOOKUP(B103,'[15]Gui chi Quynh'!$B$11:$E$396,4,FALSE)</f>
        <v>A3</v>
      </c>
      <c r="K103" s="1138">
        <f t="shared" si="10"/>
        <v>0.6</v>
      </c>
      <c r="L103" s="1139">
        <v>23</v>
      </c>
      <c r="M103" s="1139">
        <f>VLOOKUP(B103,'[16]CN BC'!$H$10:$J$275,3,FALSE)</f>
        <v>23</v>
      </c>
      <c r="N103" s="1139">
        <f t="shared" si="11"/>
        <v>23</v>
      </c>
      <c r="O103" s="1140"/>
      <c r="P103" s="1141">
        <f t="shared" si="7"/>
        <v>4675320</v>
      </c>
      <c r="Q103" s="1519">
        <f t="shared" si="12"/>
        <v>1.998</v>
      </c>
      <c r="R103" s="1606">
        <v>2340000</v>
      </c>
      <c r="S103" s="1618">
        <f t="shared" si="13"/>
        <v>4675320</v>
      </c>
      <c r="T103" s="1142">
        <f t="shared" si="8"/>
        <v>91</v>
      </c>
      <c r="U103" s="1143">
        <f>IFERROR(INDEX('[16]CN BC'!$M$10:$M$276,MATCH(B103,'[16]CN BC'!$H$10:$H$276,0)),"")</f>
        <v>0</v>
      </c>
      <c r="V103" s="1144" t="str">
        <f>VLOOKUP(B103,TH.T4!B111:AC441,28,FALSE)</f>
        <v>DLKS</v>
      </c>
      <c r="W103" s="1130"/>
      <c r="X103" s="1146"/>
      <c r="Y103" s="1158"/>
    </row>
    <row r="104" spans="1:35" s="1148" customFormat="1" ht="28.5" customHeight="1">
      <c r="A104" s="1132">
        <f>_xlfn.AGGREGATE(4,7,A$12:A103)+1</f>
        <v>92</v>
      </c>
      <c r="B104" s="1199" t="s">
        <v>1999</v>
      </c>
      <c r="C104" s="1132"/>
      <c r="D104" s="1181"/>
      <c r="E104" s="1058" t="str">
        <f>VLOOKUP(B104,TH.Q2!B109:E440,4,FALSE)</f>
        <v>Giảng viên khoa Kinh tế</v>
      </c>
      <c r="F104" s="1160">
        <v>3.66</v>
      </c>
      <c r="G104" s="1137"/>
      <c r="H104" s="1393">
        <f t="shared" si="9"/>
        <v>0</v>
      </c>
      <c r="I104" s="1138"/>
      <c r="J104" s="1138" t="str">
        <f>VLOOKUP(B104,'[15]Gui chi Quynh'!$B$11:$E$396,4,FALSE)</f>
        <v>A3</v>
      </c>
      <c r="K104" s="1138">
        <f t="shared" si="10"/>
        <v>0.6</v>
      </c>
      <c r="L104" s="1139">
        <v>23</v>
      </c>
      <c r="M104" s="1139">
        <f>VLOOKUP(B104,'[16]CN BC'!$H$10:$J$275,3,FALSE)</f>
        <v>23</v>
      </c>
      <c r="N104" s="1139">
        <f t="shared" si="11"/>
        <v>23</v>
      </c>
      <c r="O104" s="1140"/>
      <c r="P104" s="1141">
        <f t="shared" si="7"/>
        <v>5138640</v>
      </c>
      <c r="Q104" s="1519">
        <f t="shared" si="12"/>
        <v>2.1960000000000002</v>
      </c>
      <c r="R104" s="1606">
        <v>2340000</v>
      </c>
      <c r="S104" s="1618">
        <f t="shared" si="13"/>
        <v>5138640</v>
      </c>
      <c r="T104" s="1142">
        <f t="shared" si="8"/>
        <v>92</v>
      </c>
      <c r="U104" s="1143">
        <f>IFERROR(INDEX('[16]CN BC'!$M$10:$M$276,MATCH(B104,'[16]CN BC'!$H$10:$H$276,0)),"")</f>
        <v>0</v>
      </c>
      <c r="V104" s="1144" t="str">
        <f>VLOOKUP(B104,TH.T4!B112:AC442,28,FALSE)</f>
        <v>KT</v>
      </c>
      <c r="W104" s="1130"/>
      <c r="X104" s="1146"/>
      <c r="Y104" s="1158"/>
    </row>
    <row r="105" spans="1:35" s="1148" customFormat="1" ht="28.5" customHeight="1">
      <c r="A105" s="1132">
        <f>_xlfn.AGGREGATE(4,7,A$12:A104)+1</f>
        <v>93</v>
      </c>
      <c r="B105" s="1199" t="s">
        <v>2001</v>
      </c>
      <c r="C105" s="1132"/>
      <c r="D105" s="1181"/>
      <c r="E105" s="1058" t="str">
        <f>VLOOKUP(B105,TH.Q2!B110:E441,4,FALSE)</f>
        <v>Giảng viên khoa Kinh tế</v>
      </c>
      <c r="F105" s="1160">
        <v>3</v>
      </c>
      <c r="G105" s="1137"/>
      <c r="H105" s="1393">
        <f t="shared" si="9"/>
        <v>0</v>
      </c>
      <c r="I105" s="1138"/>
      <c r="J105" s="1138" t="str">
        <f>VLOOKUP(B105,'[15]Gui chi Quynh'!$B$11:$E$396,4,FALSE)</f>
        <v>A3</v>
      </c>
      <c r="K105" s="1138">
        <f t="shared" si="10"/>
        <v>0.6</v>
      </c>
      <c r="L105" s="1139">
        <v>23</v>
      </c>
      <c r="M105" s="1139">
        <f>VLOOKUP(B105,'[16]CN BC'!$H$10:$J$275,3,FALSE)</f>
        <v>23</v>
      </c>
      <c r="N105" s="1139">
        <f t="shared" si="11"/>
        <v>23</v>
      </c>
      <c r="O105" s="1140"/>
      <c r="P105" s="1141">
        <f t="shared" si="7"/>
        <v>4212000</v>
      </c>
      <c r="Q105" s="1519">
        <f t="shared" si="12"/>
        <v>1.8</v>
      </c>
      <c r="R105" s="1606">
        <v>2340000</v>
      </c>
      <c r="S105" s="1618">
        <f t="shared" si="13"/>
        <v>4212000</v>
      </c>
      <c r="T105" s="1142">
        <f t="shared" si="8"/>
        <v>93</v>
      </c>
      <c r="U105" s="1143">
        <f>IFERROR(INDEX('[16]CN BC'!$M$10:$M$276,MATCH(B105,'[16]CN BC'!$H$10:$H$276,0)),"")</f>
        <v>0</v>
      </c>
      <c r="V105" s="1144" t="str">
        <f>VLOOKUP(B105,TH.T4!B113:AC443,28,FALSE)</f>
        <v>DLKS</v>
      </c>
      <c r="W105" s="1130"/>
      <c r="X105" s="1146"/>
      <c r="Y105" s="1158"/>
    </row>
    <row r="106" spans="1:35" s="1148" customFormat="1" ht="28.5" customHeight="1">
      <c r="A106" s="1132">
        <f>_xlfn.AGGREGATE(4,7,A$12:A105)+1</f>
        <v>94</v>
      </c>
      <c r="B106" s="1199" t="s">
        <v>2096</v>
      </c>
      <c r="C106" s="1132"/>
      <c r="D106" s="1181"/>
      <c r="E106" s="383" t="str">
        <f>VLOOKUP(B106,TH.Q2!B111:E442,4,FALSE)</f>
        <v>NV Kế toán</v>
      </c>
      <c r="F106" s="1160">
        <f>2.67*85%</f>
        <v>2.2694999999999999</v>
      </c>
      <c r="G106" s="1137"/>
      <c r="H106" s="1400">
        <f t="shared" si="9"/>
        <v>0</v>
      </c>
      <c r="I106" s="1138"/>
      <c r="J106" s="1138" t="str">
        <f>VLOOKUP(B106,'[15]Gui chi Quynh'!$B$11:$E$396,4,FALSE)</f>
        <v>A2</v>
      </c>
      <c r="K106" s="1138">
        <f t="shared" si="10"/>
        <v>0.7</v>
      </c>
      <c r="L106" s="1139">
        <v>23</v>
      </c>
      <c r="M106" s="1139">
        <f>VLOOKUP(B106,'[16]CN BC'!$H$10:$J$275,3,FALSE)</f>
        <v>27</v>
      </c>
      <c r="N106" s="1139">
        <f t="shared" si="11"/>
        <v>23</v>
      </c>
      <c r="O106" s="1155"/>
      <c r="P106" s="1141">
        <f t="shared" si="7"/>
        <v>3717440.9999999995</v>
      </c>
      <c r="Q106" s="1519">
        <f t="shared" si="12"/>
        <v>1.5886499999999999</v>
      </c>
      <c r="R106" s="1606">
        <v>2340000</v>
      </c>
      <c r="S106" s="1618">
        <f t="shared" si="13"/>
        <v>3717440.9999999995</v>
      </c>
      <c r="T106" s="1142"/>
      <c r="U106" s="1143" t="str">
        <f>IFERROR(INDEX('[16]CN BC'!$M$10:$M$276,MATCH(B106,'[16]CN BC'!$H$10:$H$276,0)),"")</f>
        <v>Hỗ trợ công việc phòng KHTC</v>
      </c>
      <c r="V106" s="1189"/>
      <c r="W106" s="1171"/>
      <c r="Y106" s="1158"/>
    </row>
    <row r="107" spans="1:35" s="1148" customFormat="1" ht="37.5" customHeight="1">
      <c r="A107" s="1132">
        <f>_xlfn.AGGREGATE(4,7,A$12:A106)+1</f>
        <v>95</v>
      </c>
      <c r="B107" s="1459" t="s">
        <v>2021</v>
      </c>
      <c r="C107" s="1428"/>
      <c r="D107" s="1460"/>
      <c r="E107" s="1529" t="str">
        <f>VLOOKUP(B107,TH.Q2!B18:E349,4,FALSE)</f>
        <v>Giảng viên khoa Kinh tế</v>
      </c>
      <c r="F107" s="1432">
        <v>3.66</v>
      </c>
      <c r="G107" s="1433"/>
      <c r="H107" s="1436">
        <f t="shared" si="9"/>
        <v>0</v>
      </c>
      <c r="I107" s="1435"/>
      <c r="J107" s="1435" t="str">
        <f>VLOOKUP(B107,'[15]Gui chi Quynh'!$B$11:$E$396,4,FALSE)</f>
        <v>KXL</v>
      </c>
      <c r="K107" s="1435">
        <f t="shared" si="10"/>
        <v>0</v>
      </c>
      <c r="L107" s="1437">
        <v>23</v>
      </c>
      <c r="M107" s="1437">
        <f>VLOOKUP(B107,'[16]CN BC'!$H$10:$J$275,3,FALSE)</f>
        <v>0</v>
      </c>
      <c r="N107" s="1437">
        <f t="shared" si="11"/>
        <v>0</v>
      </c>
      <c r="O107" s="1438"/>
      <c r="P107" s="1439">
        <f t="shared" si="7"/>
        <v>0</v>
      </c>
      <c r="Q107" s="1530">
        <f t="shared" si="12"/>
        <v>0</v>
      </c>
      <c r="R107" s="1623">
        <v>2340000</v>
      </c>
      <c r="S107" s="1624">
        <f t="shared" si="13"/>
        <v>0</v>
      </c>
      <c r="T107" s="1440">
        <f t="shared" ref="T107:T151" si="14">A107</f>
        <v>95</v>
      </c>
      <c r="U107" s="1441" t="s">
        <v>2369</v>
      </c>
      <c r="V107" s="1144" t="str">
        <f>VLOOKUP(B107,TH.T4!B114:AC444,28,FALSE)</f>
        <v>KT</v>
      </c>
      <c r="W107" s="1171"/>
      <c r="Y107" s="1158"/>
    </row>
    <row r="108" spans="1:35" s="1148" customFormat="1" ht="25.5" customHeight="1">
      <c r="A108" s="1132">
        <f>_xlfn.AGGREGATE(4,7,A$12:A107)+1</f>
        <v>96</v>
      </c>
      <c r="B108" s="1133" t="s">
        <v>1478</v>
      </c>
      <c r="C108" s="1153" t="s">
        <v>1689</v>
      </c>
      <c r="D108" s="1154" t="s">
        <v>371</v>
      </c>
      <c r="E108" s="1058" t="str">
        <f>VLOOKUP(B108,TH.Q2!B19:E350,4,FALSE)</f>
        <v>Giảng viên khoa May - Thời trang</v>
      </c>
      <c r="F108" s="1160">
        <v>3.66</v>
      </c>
      <c r="G108" s="1137"/>
      <c r="H108" s="1393">
        <f t="shared" si="9"/>
        <v>0</v>
      </c>
      <c r="I108" s="1138"/>
      <c r="J108" s="1138" t="str">
        <f>VLOOKUP(B108,'[15]Gui chi Quynh'!$B$11:$E$396,4,FALSE)</f>
        <v>A3</v>
      </c>
      <c r="K108" s="1138">
        <f t="shared" si="10"/>
        <v>0.6</v>
      </c>
      <c r="L108" s="1139">
        <v>23</v>
      </c>
      <c r="M108" s="1139">
        <f>VLOOKUP(B108,'[16]CN BC'!$H$10:$J$275,3,FALSE)</f>
        <v>23</v>
      </c>
      <c r="N108" s="1139">
        <f t="shared" si="11"/>
        <v>23</v>
      </c>
      <c r="O108" s="1140"/>
      <c r="P108" s="1141">
        <f t="shared" si="7"/>
        <v>5138640</v>
      </c>
      <c r="Q108" s="1519">
        <f t="shared" si="12"/>
        <v>2.1960000000000002</v>
      </c>
      <c r="R108" s="1606">
        <v>2340000</v>
      </c>
      <c r="S108" s="1618">
        <f t="shared" si="13"/>
        <v>5138640</v>
      </c>
      <c r="T108" s="1142">
        <f t="shared" si="14"/>
        <v>96</v>
      </c>
      <c r="U108" s="1143">
        <f>IFERROR(INDEX('[16]CN BC'!$M$10:$M$276,MATCH(B108,'[16]CN BC'!$H$10:$H$276,0)),"")</f>
        <v>0</v>
      </c>
      <c r="V108" s="1144" t="str">
        <f>VLOOKUP(B108,TH.T4!B115:AC445,28,FALSE)</f>
        <v>M-TT</v>
      </c>
      <c r="W108" s="1130"/>
      <c r="X108" s="1146"/>
      <c r="Y108" s="1147"/>
      <c r="Z108" s="1146"/>
      <c r="AA108" s="1146"/>
      <c r="AB108" s="1146"/>
      <c r="AC108" s="1146"/>
      <c r="AD108" s="1146"/>
      <c r="AE108" s="1146"/>
    </row>
    <row r="109" spans="1:35" s="1148" customFormat="1" ht="24.75" customHeight="1">
      <c r="A109" s="1132">
        <f>_xlfn.AGGREGATE(4,7,A$12:A108)+1</f>
        <v>97</v>
      </c>
      <c r="B109" s="1172" t="s">
        <v>1479</v>
      </c>
      <c r="C109" s="1149" t="s">
        <v>1690</v>
      </c>
      <c r="D109" s="1173" t="s">
        <v>372</v>
      </c>
      <c r="E109" s="1058" t="str">
        <f>VLOOKUP(B109,TH.Q2!B20:E351,4,FALSE)</f>
        <v>Giảng viên khoa May - Thời trang</v>
      </c>
      <c r="F109" s="1178">
        <v>3.66</v>
      </c>
      <c r="G109" s="1175"/>
      <c r="H109" s="1393">
        <f t="shared" si="9"/>
        <v>0</v>
      </c>
      <c r="I109" s="1176"/>
      <c r="J109" s="1138" t="str">
        <f>VLOOKUP(B109,'[15]Gui chi Quynh'!$B$11:$E$396,4,FALSE)</f>
        <v>A4</v>
      </c>
      <c r="K109" s="1138">
        <f t="shared" si="10"/>
        <v>0.5</v>
      </c>
      <c r="L109" s="1139">
        <v>23</v>
      </c>
      <c r="M109" s="1139">
        <f>VLOOKUP(B109,'[16]CN BC'!$H$10:$J$275,3,FALSE)</f>
        <v>23</v>
      </c>
      <c r="N109" s="1139">
        <f t="shared" si="11"/>
        <v>23</v>
      </c>
      <c r="O109" s="1140"/>
      <c r="P109" s="1141">
        <f t="shared" si="7"/>
        <v>4282200</v>
      </c>
      <c r="Q109" s="1519">
        <f t="shared" si="12"/>
        <v>1.83</v>
      </c>
      <c r="R109" s="1606">
        <v>2340000</v>
      </c>
      <c r="S109" s="1618">
        <f t="shared" si="13"/>
        <v>4282200</v>
      </c>
      <c r="T109" s="1142">
        <f t="shared" si="14"/>
        <v>97</v>
      </c>
      <c r="U109" s="1143">
        <f>IFERROR(INDEX('[16]CN BC'!$M$10:$M$276,MATCH(B109,'[16]CN BC'!$H$10:$H$276,0)),"")</f>
        <v>0</v>
      </c>
      <c r="V109" s="1144" t="str">
        <f>VLOOKUP(B109,TH.T4!B116:AC446,28,FALSE)</f>
        <v>M-TT</v>
      </c>
      <c r="W109" s="1130"/>
      <c r="X109" s="1146"/>
      <c r="Y109" s="1147"/>
      <c r="Z109" s="1146"/>
      <c r="AA109" s="1146"/>
      <c r="AB109" s="1146"/>
      <c r="AC109" s="1146"/>
      <c r="AD109" s="1146"/>
      <c r="AE109" s="1146"/>
      <c r="AF109" s="1146"/>
      <c r="AG109" s="1146"/>
      <c r="AH109" s="1146"/>
      <c r="AI109" s="1146"/>
    </row>
    <row r="110" spans="1:35" s="1148" customFormat="1" ht="24.75" customHeight="1">
      <c r="A110" s="1132">
        <f>_xlfn.AGGREGATE(4,7,A$12:A109)+1</f>
        <v>98</v>
      </c>
      <c r="B110" s="1133" t="s">
        <v>1480</v>
      </c>
      <c r="C110" s="1149" t="s">
        <v>1691</v>
      </c>
      <c r="D110" s="1166" t="s">
        <v>735</v>
      </c>
      <c r="E110" s="1058" t="str">
        <f>VLOOKUP(B110,TH.Q2!B21:E352,4,FALSE)</f>
        <v>Phó Trưởng khoa May - Thời trang</v>
      </c>
      <c r="F110" s="1160">
        <v>3.33</v>
      </c>
      <c r="G110" s="1137"/>
      <c r="H110" s="1393">
        <f t="shared" si="9"/>
        <v>0</v>
      </c>
      <c r="I110" s="1138">
        <v>0.45</v>
      </c>
      <c r="J110" s="1138" t="str">
        <f>VLOOKUP(B110,'[15]Gui chi Quynh'!$B$11:$E$396,4,FALSE)</f>
        <v>A2</v>
      </c>
      <c r="K110" s="1138">
        <f t="shared" si="10"/>
        <v>0.7</v>
      </c>
      <c r="L110" s="1139">
        <v>23</v>
      </c>
      <c r="M110" s="1139">
        <f>VLOOKUP(B110,'[16]CN BC'!$H$10:$J$275,3,FALSE)</f>
        <v>23</v>
      </c>
      <c r="N110" s="1139">
        <f t="shared" si="11"/>
        <v>23</v>
      </c>
      <c r="O110" s="1140"/>
      <c r="P110" s="1141">
        <f t="shared" si="7"/>
        <v>6191640</v>
      </c>
      <c r="Q110" s="1519">
        <f t="shared" si="12"/>
        <v>2.6459999999999999</v>
      </c>
      <c r="R110" s="1606">
        <v>2340000</v>
      </c>
      <c r="S110" s="1618">
        <f t="shared" si="13"/>
        <v>6191640</v>
      </c>
      <c r="T110" s="1142">
        <f t="shared" si="14"/>
        <v>98</v>
      </c>
      <c r="U110" s="1143">
        <f>IFERROR(INDEX('[16]CN BC'!$M$10:$M$276,MATCH(B110,'[16]CN BC'!$H$10:$H$276,0)),"")</f>
        <v>0</v>
      </c>
      <c r="V110" s="1144" t="str">
        <f>VLOOKUP(B110,TH.T4!B117:AC447,28,FALSE)</f>
        <v>M-TT</v>
      </c>
      <c r="W110" s="1130"/>
      <c r="X110" s="1146"/>
      <c r="Y110" s="1147"/>
      <c r="Z110" s="1146"/>
      <c r="AA110" s="1146"/>
      <c r="AB110" s="1146"/>
      <c r="AC110" s="1146"/>
      <c r="AD110" s="1146"/>
      <c r="AE110" s="1146"/>
      <c r="AF110" s="1146"/>
      <c r="AG110" s="1146"/>
      <c r="AH110" s="1146"/>
      <c r="AI110" s="1146"/>
    </row>
    <row r="111" spans="1:35" s="1148" customFormat="1" ht="24.75" customHeight="1">
      <c r="A111" s="1132">
        <f>_xlfn.AGGREGATE(4,7,A$12:A110)+1</f>
        <v>99</v>
      </c>
      <c r="B111" s="1133" t="s">
        <v>1481</v>
      </c>
      <c r="C111" s="1153" t="s">
        <v>1692</v>
      </c>
      <c r="D111" s="1166">
        <v>1603205353742</v>
      </c>
      <c r="E111" s="1058" t="str">
        <f>VLOOKUP(B111,TH.Q2!B22:E353,4,FALSE)</f>
        <v>Giảng viên khoa May - Thời trang</v>
      </c>
      <c r="F111" s="1160">
        <v>3.33</v>
      </c>
      <c r="G111" s="1137"/>
      <c r="H111" s="1393">
        <f t="shared" si="9"/>
        <v>0</v>
      </c>
      <c r="I111" s="1138"/>
      <c r="J111" s="1138" t="str">
        <f>VLOOKUP(B111,'[15]Gui chi Quynh'!$B$11:$E$396,4,FALSE)</f>
        <v>A3</v>
      </c>
      <c r="K111" s="1138">
        <f t="shared" si="10"/>
        <v>0.6</v>
      </c>
      <c r="L111" s="1139">
        <v>23</v>
      </c>
      <c r="M111" s="1139">
        <f>VLOOKUP(B111,'[16]CN BC'!$H$10:$J$275,3,FALSE)</f>
        <v>23</v>
      </c>
      <c r="N111" s="1139">
        <f t="shared" si="11"/>
        <v>23</v>
      </c>
      <c r="O111" s="1140"/>
      <c r="P111" s="1141">
        <f t="shared" si="7"/>
        <v>4675320</v>
      </c>
      <c r="Q111" s="1519">
        <f t="shared" si="12"/>
        <v>1.998</v>
      </c>
      <c r="R111" s="1606">
        <v>2340000</v>
      </c>
      <c r="S111" s="1618">
        <f t="shared" si="13"/>
        <v>4675320</v>
      </c>
      <c r="T111" s="1142">
        <f t="shared" si="14"/>
        <v>99</v>
      </c>
      <c r="U111" s="1143">
        <f>IFERROR(INDEX('[16]CN BC'!$M$10:$M$276,MATCH(B111,'[16]CN BC'!$H$10:$H$276,0)),"")</f>
        <v>0</v>
      </c>
      <c r="V111" s="1144" t="str">
        <f>VLOOKUP(B111,TH.T4!B118:AC448,28,FALSE)</f>
        <v>M-TT</v>
      </c>
      <c r="W111" s="1130"/>
      <c r="X111" s="1146"/>
      <c r="Y111" s="1147"/>
      <c r="Z111" s="1146"/>
      <c r="AA111" s="1146"/>
      <c r="AB111" s="1146"/>
      <c r="AC111" s="1146"/>
      <c r="AD111" s="1146"/>
      <c r="AE111" s="1146"/>
    </row>
    <row r="112" spans="1:35" s="1148" customFormat="1" ht="24.75" customHeight="1">
      <c r="A112" s="1132">
        <f>_xlfn.AGGREGATE(4,7,A$12:A111)+1</f>
        <v>100</v>
      </c>
      <c r="B112" s="1133" t="s">
        <v>1865</v>
      </c>
      <c r="C112" s="1149" t="s">
        <v>1693</v>
      </c>
      <c r="D112" s="1166">
        <v>1603205357136</v>
      </c>
      <c r="E112" s="1058" t="str">
        <f>VLOOKUP(B112,TH.Q2!B23:E354,4,FALSE)</f>
        <v>Giảng viên khoa May - Thời trang</v>
      </c>
      <c r="F112" s="1160">
        <v>3.66</v>
      </c>
      <c r="G112" s="1137"/>
      <c r="H112" s="1393">
        <f t="shared" si="9"/>
        <v>0</v>
      </c>
      <c r="I112" s="1138"/>
      <c r="J112" s="1138" t="str">
        <f>VLOOKUP(B112,'[15]Gui chi Quynh'!$B$11:$E$396,4,FALSE)</f>
        <v>A3</v>
      </c>
      <c r="K112" s="1138">
        <f t="shared" si="10"/>
        <v>0.6</v>
      </c>
      <c r="L112" s="1139">
        <v>23</v>
      </c>
      <c r="M112" s="1139">
        <f>VLOOKUP(B112,'[16]CN BC'!$H$10:$J$275,3,FALSE)</f>
        <v>23</v>
      </c>
      <c r="N112" s="1139">
        <f t="shared" si="11"/>
        <v>23</v>
      </c>
      <c r="O112" s="1140"/>
      <c r="P112" s="1141">
        <f t="shared" si="7"/>
        <v>5138640</v>
      </c>
      <c r="Q112" s="1519">
        <f t="shared" si="12"/>
        <v>2.1960000000000002</v>
      </c>
      <c r="R112" s="1606">
        <v>2340000</v>
      </c>
      <c r="S112" s="1618">
        <f t="shared" si="13"/>
        <v>5138640</v>
      </c>
      <c r="T112" s="1142">
        <f t="shared" si="14"/>
        <v>100</v>
      </c>
      <c r="U112" s="1143">
        <f>IFERROR(INDEX('[16]CN BC'!$M$10:$M$276,MATCH(B112,'[16]CN BC'!$H$10:$H$276,0)),"")</f>
        <v>0</v>
      </c>
      <c r="V112" s="1144" t="str">
        <f>VLOOKUP(B112,TH.T4!B119:AC449,28,FALSE)</f>
        <v>M-TT</v>
      </c>
      <c r="W112" s="1130"/>
      <c r="X112" s="1146"/>
      <c r="Y112" s="1147"/>
      <c r="Z112" s="1146"/>
      <c r="AA112" s="1146"/>
      <c r="AB112" s="1146"/>
      <c r="AC112" s="1146"/>
      <c r="AD112" s="1146"/>
      <c r="AE112" s="1146"/>
      <c r="AF112" s="1146"/>
      <c r="AG112" s="1146"/>
      <c r="AH112" s="1146"/>
      <c r="AI112" s="1146"/>
    </row>
    <row r="113" spans="1:35" s="1148" customFormat="1" ht="24.75" customHeight="1">
      <c r="A113" s="1132">
        <f>_xlfn.AGGREGATE(4,7,A$12:A112)+1</f>
        <v>101</v>
      </c>
      <c r="B113" s="1133" t="s">
        <v>1482</v>
      </c>
      <c r="C113" s="1149" t="s">
        <v>1694</v>
      </c>
      <c r="D113" s="1150" t="s">
        <v>1422</v>
      </c>
      <c r="E113" s="1058" t="str">
        <f>VLOOKUP(B113,TH.Q2!B24:E355,4,FALSE)</f>
        <v>Giảng viên khoa May - Thời trang</v>
      </c>
      <c r="F113" s="1160">
        <v>3.33</v>
      </c>
      <c r="G113" s="1137"/>
      <c r="H113" s="1393">
        <f t="shared" si="9"/>
        <v>0</v>
      </c>
      <c r="I113" s="1138"/>
      <c r="J113" s="1138" t="str">
        <f>VLOOKUP(B113,'[15]Gui chi Quynh'!$B$11:$E$396,4,FALSE)</f>
        <v>A3</v>
      </c>
      <c r="K113" s="1138">
        <f t="shared" si="10"/>
        <v>0.6</v>
      </c>
      <c r="L113" s="1139">
        <v>23</v>
      </c>
      <c r="M113" s="1139">
        <f>VLOOKUP(B113,'[16]CN BC'!$H$10:$J$275,3,FALSE)</f>
        <v>19</v>
      </c>
      <c r="N113" s="1139">
        <f t="shared" si="11"/>
        <v>19</v>
      </c>
      <c r="O113" s="1140"/>
      <c r="P113" s="1141">
        <f t="shared" si="7"/>
        <v>3862220.8695652178</v>
      </c>
      <c r="Q113" s="1519">
        <f t="shared" si="12"/>
        <v>1.650521739130435</v>
      </c>
      <c r="R113" s="1606">
        <v>2340000</v>
      </c>
      <c r="S113" s="1618">
        <f t="shared" si="13"/>
        <v>3862220.8695652178</v>
      </c>
      <c r="T113" s="1142">
        <f t="shared" si="14"/>
        <v>101</v>
      </c>
      <c r="U113" s="1143" t="str">
        <f>IFERROR(INDEX('[16]CN BC'!$M$10:$M$276,MATCH(B113,'[16]CN BC'!$H$10:$H$276,0)),"")</f>
        <v>Nghỉ hộ sản hưởng chế độ BHXH từ 28/10/2023</v>
      </c>
      <c r="V113" s="1144" t="str">
        <f>VLOOKUP(B113,TH.T4!B120:AC450,28,FALSE)</f>
        <v>M-TT</v>
      </c>
      <c r="W113" s="1130"/>
      <c r="X113" s="1146"/>
      <c r="Y113" s="1147"/>
      <c r="Z113" s="1146"/>
      <c r="AA113" s="1146"/>
      <c r="AB113" s="1146"/>
      <c r="AC113" s="1146"/>
      <c r="AD113" s="1146"/>
      <c r="AE113" s="1146"/>
      <c r="AF113" s="1146"/>
      <c r="AG113" s="1146"/>
      <c r="AH113" s="1146"/>
      <c r="AI113" s="1146"/>
    </row>
    <row r="114" spans="1:35" s="1148" customFormat="1" ht="24.75" customHeight="1">
      <c r="A114" s="1132">
        <f>_xlfn.AGGREGATE(4,7,A$12:A113)+1</f>
        <v>102</v>
      </c>
      <c r="B114" s="1133" t="s">
        <v>1483</v>
      </c>
      <c r="C114" s="1149" t="s">
        <v>1695</v>
      </c>
      <c r="D114" s="1150" t="s">
        <v>1432</v>
      </c>
      <c r="E114" s="1058" t="str">
        <f>VLOOKUP(B114,TH.Q2!B25:E356,4,FALSE)</f>
        <v>Giảng viên khoa Du lịch - Khách sạn</v>
      </c>
      <c r="F114" s="1136">
        <v>4.9800000000000004</v>
      </c>
      <c r="G114" s="1137">
        <v>0.05</v>
      </c>
      <c r="H114" s="1400">
        <f t="shared" si="9"/>
        <v>0.249</v>
      </c>
      <c r="I114" s="1138">
        <v>0.25</v>
      </c>
      <c r="J114" s="1138" t="str">
        <f>VLOOKUP(B114,'[15]Gui chi Quynh'!$B$11:$E$396,4,FALSE)</f>
        <v>A4</v>
      </c>
      <c r="K114" s="1138">
        <f t="shared" si="10"/>
        <v>0.5</v>
      </c>
      <c r="L114" s="1139">
        <v>23</v>
      </c>
      <c r="M114" s="1139">
        <f>VLOOKUP(B114,'[16]CN BC'!$H$10:$J$275,3,FALSE)</f>
        <v>23</v>
      </c>
      <c r="N114" s="1139">
        <f t="shared" si="11"/>
        <v>23</v>
      </c>
      <c r="O114" s="1140"/>
      <c r="P114" s="1141">
        <f t="shared" si="7"/>
        <v>6410430</v>
      </c>
      <c r="Q114" s="1519">
        <f t="shared" si="12"/>
        <v>2.7395</v>
      </c>
      <c r="R114" s="1606">
        <v>2340000</v>
      </c>
      <c r="S114" s="1618">
        <f t="shared" si="13"/>
        <v>6410430</v>
      </c>
      <c r="T114" s="1142">
        <f t="shared" si="14"/>
        <v>102</v>
      </c>
      <c r="U114" s="1143">
        <f>IFERROR(INDEX('[16]CN BC'!$M$10:$M$276,MATCH(B114,'[16]CN BC'!$H$10:$H$276,0)),"")</f>
        <v>0</v>
      </c>
      <c r="V114" s="1144" t="str">
        <f>VLOOKUP(B114,TH.T4!B121:AC451,28,FALSE)</f>
        <v>DLKS</v>
      </c>
      <c r="W114" s="1130"/>
      <c r="X114" s="1146"/>
      <c r="Y114" s="1147"/>
      <c r="Z114" s="1146"/>
      <c r="AA114" s="1146"/>
      <c r="AB114" s="1146"/>
      <c r="AC114" s="1146"/>
      <c r="AD114" s="1146"/>
      <c r="AE114" s="1146"/>
      <c r="AF114" s="1146"/>
      <c r="AG114" s="1146"/>
      <c r="AH114" s="1146"/>
      <c r="AI114" s="1146"/>
    </row>
    <row r="115" spans="1:35" s="1148" customFormat="1" ht="24.75" customHeight="1">
      <c r="A115" s="1132">
        <f>_xlfn.AGGREGATE(4,7,A$12:A114)+1</f>
        <v>103</v>
      </c>
      <c r="B115" s="1172" t="s">
        <v>1568</v>
      </c>
      <c r="C115" s="1149" t="s">
        <v>1696</v>
      </c>
      <c r="D115" s="1163" t="s">
        <v>1569</v>
      </c>
      <c r="E115" s="1058" t="str">
        <f>VLOOKUP(B115,TH.Q2!B26:E357,4,FALSE)</f>
        <v>Giảng viên khoa May - Thời trang</v>
      </c>
      <c r="F115" s="1160">
        <v>3.33</v>
      </c>
      <c r="G115" s="1137"/>
      <c r="H115" s="1400">
        <f t="shared" si="9"/>
        <v>0</v>
      </c>
      <c r="I115" s="1138"/>
      <c r="J115" s="1138" t="str">
        <f>VLOOKUP(B115,'[15]Gui chi Quynh'!$B$11:$E$396,4,FALSE)</f>
        <v>A4</v>
      </c>
      <c r="K115" s="1138">
        <f t="shared" si="10"/>
        <v>0.5</v>
      </c>
      <c r="L115" s="1139">
        <v>23</v>
      </c>
      <c r="M115" s="1139">
        <f>VLOOKUP(B115,'[16]CN BC'!$H$10:$J$275,3,FALSE)</f>
        <v>23</v>
      </c>
      <c r="N115" s="1139">
        <f t="shared" si="11"/>
        <v>23</v>
      </c>
      <c r="O115" s="1140"/>
      <c r="P115" s="1141">
        <f t="shared" si="7"/>
        <v>3896100.0000000005</v>
      </c>
      <c r="Q115" s="1519">
        <f t="shared" si="12"/>
        <v>1.6650000000000003</v>
      </c>
      <c r="R115" s="1606">
        <v>2340000</v>
      </c>
      <c r="S115" s="1618">
        <f t="shared" si="13"/>
        <v>3896100.0000000005</v>
      </c>
      <c r="T115" s="1142">
        <f t="shared" si="14"/>
        <v>103</v>
      </c>
      <c r="U115" s="1143">
        <f>IFERROR(INDEX('[16]CN BC'!$M$10:$M$276,MATCH(B115,'[16]CN BC'!$H$10:$H$276,0)),"")</f>
        <v>0</v>
      </c>
      <c r="V115" s="1144" t="str">
        <f>VLOOKUP(B115,TH.T4!B122:AC452,28,FALSE)</f>
        <v>M-TT</v>
      </c>
      <c r="W115" s="1130"/>
      <c r="X115" s="1146"/>
      <c r="Y115" s="1147"/>
      <c r="Z115" s="1146"/>
      <c r="AA115" s="1146"/>
      <c r="AB115" s="1146"/>
      <c r="AC115" s="1146"/>
      <c r="AD115" s="1146"/>
      <c r="AE115" s="1146"/>
      <c r="AF115" s="1146"/>
      <c r="AG115" s="1146"/>
      <c r="AH115" s="1146"/>
      <c r="AI115" s="1146"/>
    </row>
    <row r="116" spans="1:35" s="1148" customFormat="1" ht="24.75" customHeight="1">
      <c r="A116" s="1132">
        <f>_xlfn.AGGREGATE(4,7,A$12:A115)+1</f>
        <v>104</v>
      </c>
      <c r="B116" s="1133" t="s">
        <v>1832</v>
      </c>
      <c r="C116" s="1153" t="s">
        <v>1963</v>
      </c>
      <c r="D116" s="1208">
        <v>1603215005610</v>
      </c>
      <c r="E116" s="1058" t="str">
        <f>VLOOKUP(B116,TH.Q2!B27:E358,4,FALSE)</f>
        <v>Giảng viên khoa May - Thời trang</v>
      </c>
      <c r="F116" s="1160">
        <v>3</v>
      </c>
      <c r="G116" s="1137"/>
      <c r="H116" s="1393">
        <f t="shared" si="9"/>
        <v>0</v>
      </c>
      <c r="I116" s="1138"/>
      <c r="J116" s="1138" t="str">
        <f>VLOOKUP(B116,'[15]Gui chi Quynh'!$B$11:$E$396,4,FALSE)</f>
        <v>A3</v>
      </c>
      <c r="K116" s="1138">
        <f t="shared" si="10"/>
        <v>0.6</v>
      </c>
      <c r="L116" s="1139">
        <v>23</v>
      </c>
      <c r="M116" s="1139">
        <f>VLOOKUP(B116,'[16]CN BC'!$H$10:$J$275,3,FALSE)</f>
        <v>23</v>
      </c>
      <c r="N116" s="1139">
        <f t="shared" si="11"/>
        <v>23</v>
      </c>
      <c r="O116" s="1140"/>
      <c r="P116" s="1141">
        <f t="shared" si="7"/>
        <v>4212000</v>
      </c>
      <c r="Q116" s="1519">
        <f t="shared" si="12"/>
        <v>1.8</v>
      </c>
      <c r="R116" s="1606">
        <v>2340000</v>
      </c>
      <c r="S116" s="1618">
        <f t="shared" si="13"/>
        <v>4212000</v>
      </c>
      <c r="T116" s="1142">
        <f t="shared" si="14"/>
        <v>104</v>
      </c>
      <c r="U116" s="1143">
        <f>IFERROR(INDEX('[16]CN BC'!$M$10:$M$276,MATCH(B116,'[16]CN BC'!$H$10:$H$276,0)),"")</f>
        <v>0</v>
      </c>
      <c r="V116" s="1144" t="str">
        <f>VLOOKUP(B116,TH.T4!B123:AC453,28,FALSE)</f>
        <v>M-TT</v>
      </c>
      <c r="W116" s="1130"/>
      <c r="X116" s="1146"/>
      <c r="Y116" s="1147"/>
      <c r="Z116" s="1146"/>
      <c r="AA116" s="1146"/>
      <c r="AB116" s="1146"/>
      <c r="AC116" s="1146"/>
      <c r="AD116" s="1146"/>
      <c r="AE116" s="1146"/>
    </row>
    <row r="117" spans="1:35" s="1146" customFormat="1" ht="27" customHeight="1">
      <c r="A117" s="1132">
        <f>_xlfn.AGGREGATE(4,7,A$12:A116)+1</f>
        <v>105</v>
      </c>
      <c r="B117" s="1172" t="s">
        <v>1555</v>
      </c>
      <c r="C117" s="1149" t="s">
        <v>1658</v>
      </c>
      <c r="D117" s="1173" t="s">
        <v>1278</v>
      </c>
      <c r="E117" s="1058" t="str">
        <f>VLOOKUP(B117,TH.Q2!B28:E359,4,FALSE)</f>
        <v>Trưởng khoa KHCB</v>
      </c>
      <c r="F117" s="1174">
        <v>4.9800000000000004</v>
      </c>
      <c r="G117" s="1209"/>
      <c r="H117" s="1393">
        <f t="shared" si="9"/>
        <v>0</v>
      </c>
      <c r="I117" s="1210">
        <v>0.45</v>
      </c>
      <c r="J117" s="1138" t="str">
        <f>VLOOKUP(B117,'[15]Gui chi Quynh'!$B$11:$E$396,4,FALSE)</f>
        <v>A2</v>
      </c>
      <c r="K117" s="1138">
        <f t="shared" si="10"/>
        <v>0.7</v>
      </c>
      <c r="L117" s="1139">
        <v>23</v>
      </c>
      <c r="M117" s="1139">
        <f>VLOOKUP(B117,'[16]CN BC'!$H$10:$J$275,3,FALSE)</f>
        <v>23</v>
      </c>
      <c r="N117" s="1139">
        <f t="shared" si="11"/>
        <v>23</v>
      </c>
      <c r="O117" s="1140"/>
      <c r="P117" s="1141">
        <f t="shared" si="7"/>
        <v>8894340</v>
      </c>
      <c r="Q117" s="1519">
        <f t="shared" si="12"/>
        <v>3.8010000000000002</v>
      </c>
      <c r="R117" s="1606">
        <v>2340000</v>
      </c>
      <c r="S117" s="1618">
        <f t="shared" si="13"/>
        <v>8894340</v>
      </c>
      <c r="T117" s="1142">
        <f t="shared" si="14"/>
        <v>105</v>
      </c>
      <c r="U117" s="1143">
        <f>IFERROR(INDEX('[16]CN BC'!$M$10:$M$276,MATCH(B117,'[16]CN BC'!$H$10:$H$276,0)),"")</f>
        <v>0</v>
      </c>
      <c r="V117" s="1144" t="str">
        <f>VLOOKUP(B117,TH.T4!B124:AC454,28,FALSE)</f>
        <v>KHCB</v>
      </c>
      <c r="W117" s="1130"/>
      <c r="Y117" s="1147"/>
    </row>
    <row r="118" spans="1:35" s="1148" customFormat="1" ht="28.5" customHeight="1">
      <c r="A118" s="1132">
        <f>_xlfn.AGGREGATE(4,7,A$12:A117)+1</f>
        <v>106</v>
      </c>
      <c r="B118" s="1133" t="s">
        <v>1866</v>
      </c>
      <c r="C118" s="1153" t="s">
        <v>1697</v>
      </c>
      <c r="D118" s="1154" t="s">
        <v>1300</v>
      </c>
      <c r="E118" s="1058" t="str">
        <f>VLOOKUP(B118,TH.Q2!B29:E360,4,FALSE)</f>
        <v>Giảng viên Khoa KHCB</v>
      </c>
      <c r="F118" s="1136">
        <v>4.9800000000000004</v>
      </c>
      <c r="G118" s="1137">
        <v>7.0000000000000007E-2</v>
      </c>
      <c r="H118" s="1393">
        <f t="shared" si="9"/>
        <v>0.34899999999999998</v>
      </c>
      <c r="I118" s="1138">
        <v>0.25</v>
      </c>
      <c r="J118" s="1138" t="str">
        <f>VLOOKUP(B118,'[15]Gui chi Quynh'!$B$11:$E$396,4,FALSE)</f>
        <v>A2</v>
      </c>
      <c r="K118" s="1138">
        <f t="shared" si="10"/>
        <v>0.7</v>
      </c>
      <c r="L118" s="1139">
        <v>23</v>
      </c>
      <c r="M118" s="1139">
        <f>VLOOKUP(B118,'[16]CN BC'!$H$10:$J$275,3,FALSE)</f>
        <v>24</v>
      </c>
      <c r="N118" s="1139">
        <f t="shared" si="11"/>
        <v>23</v>
      </c>
      <c r="O118" s="1140"/>
      <c r="P118" s="1141">
        <f t="shared" si="7"/>
        <v>9138402</v>
      </c>
      <c r="Q118" s="1519">
        <f t="shared" si="12"/>
        <v>3.9053</v>
      </c>
      <c r="R118" s="1606">
        <v>2340000</v>
      </c>
      <c r="S118" s="1618">
        <f t="shared" si="13"/>
        <v>9138402</v>
      </c>
      <c r="T118" s="1142">
        <f t="shared" si="14"/>
        <v>106</v>
      </c>
      <c r="U118" s="1143">
        <f>IFERROR(INDEX('[16]CN BC'!$M$10:$M$276,MATCH(B118,'[16]CN BC'!$H$10:$H$276,0)),"")</f>
        <v>0</v>
      </c>
      <c r="V118" s="1144" t="str">
        <f>VLOOKUP(B118,TH.T4!B125:AC455,28,FALSE)</f>
        <v>KHCB</v>
      </c>
      <c r="W118" s="1130"/>
      <c r="X118" s="1146"/>
      <c r="Y118" s="1158"/>
    </row>
    <row r="119" spans="1:35" s="1146" customFormat="1" ht="30" customHeight="1">
      <c r="A119" s="1132">
        <f>_xlfn.AGGREGATE(4,7,A$12:A118)+1</f>
        <v>107</v>
      </c>
      <c r="B119" s="1172" t="s">
        <v>1867</v>
      </c>
      <c r="C119" s="1149" t="s">
        <v>1698</v>
      </c>
      <c r="D119" s="1173" t="s">
        <v>1299</v>
      </c>
      <c r="E119" s="1058" t="str">
        <f>VLOOKUP(B119,TH.Q2!B30:E361,4,FALSE)</f>
        <v>Giảng viên Khoa KHCB</v>
      </c>
      <c r="F119" s="1174">
        <v>4.32</v>
      </c>
      <c r="G119" s="1175"/>
      <c r="H119" s="1393">
        <f t="shared" si="9"/>
        <v>0</v>
      </c>
      <c r="I119" s="1176"/>
      <c r="J119" s="1138" t="str">
        <f>VLOOKUP(B119,'[15]Gui chi Quynh'!$B$11:$E$396,4,FALSE)</f>
        <v>A3</v>
      </c>
      <c r="K119" s="1138">
        <f t="shared" si="10"/>
        <v>0.6</v>
      </c>
      <c r="L119" s="1139">
        <v>23</v>
      </c>
      <c r="M119" s="1139">
        <f>VLOOKUP(B119,'[16]CN BC'!$H$10:$J$275,3,FALSE)</f>
        <v>23</v>
      </c>
      <c r="N119" s="1139">
        <f t="shared" si="11"/>
        <v>23</v>
      </c>
      <c r="O119" s="1140"/>
      <c r="P119" s="1141">
        <f t="shared" si="7"/>
        <v>6065280</v>
      </c>
      <c r="Q119" s="1519">
        <f t="shared" si="12"/>
        <v>2.5920000000000001</v>
      </c>
      <c r="R119" s="1606">
        <v>2340000</v>
      </c>
      <c r="S119" s="1618">
        <f t="shared" si="13"/>
        <v>6065280</v>
      </c>
      <c r="T119" s="1142">
        <f t="shared" si="14"/>
        <v>107</v>
      </c>
      <c r="U119" s="1143">
        <f>IFERROR(INDEX('[16]CN BC'!$M$10:$M$276,MATCH(B119,'[16]CN BC'!$H$10:$H$276,0)),"")</f>
        <v>0</v>
      </c>
      <c r="V119" s="1144" t="str">
        <f>VLOOKUP(B119,TH.T4!B126:AC456,28,FALSE)</f>
        <v>KHCB</v>
      </c>
      <c r="W119" s="1130"/>
      <c r="Y119" s="1147"/>
    </row>
    <row r="120" spans="1:35" s="1148" customFormat="1" ht="30" customHeight="1">
      <c r="A120" s="1132">
        <f>_xlfn.AGGREGATE(4,7,A$12:A119)+1</f>
        <v>108</v>
      </c>
      <c r="B120" s="1133" t="s">
        <v>1485</v>
      </c>
      <c r="C120" s="1153" t="s">
        <v>1699</v>
      </c>
      <c r="D120" s="1154" t="s">
        <v>373</v>
      </c>
      <c r="E120" s="383" t="str">
        <f>VLOOKUP(B120,TH.Q2!B31:E362,4,FALSE)</f>
        <v>Giảng viên khoa KHCB</v>
      </c>
      <c r="F120" s="1136">
        <v>4.32</v>
      </c>
      <c r="G120" s="1137"/>
      <c r="H120" s="1400">
        <f t="shared" si="9"/>
        <v>0</v>
      </c>
      <c r="I120" s="1138"/>
      <c r="J120" s="1138" t="str">
        <f>VLOOKUP(B120,'[15]Gui chi Quynh'!$B$11:$E$396,4,FALSE)</f>
        <v>A3</v>
      </c>
      <c r="K120" s="1138">
        <f t="shared" si="10"/>
        <v>0.6</v>
      </c>
      <c r="L120" s="1139">
        <v>23</v>
      </c>
      <c r="M120" s="1139">
        <f>VLOOKUP(B120,'[16]CN BC'!$H$10:$J$275,3,FALSE)</f>
        <v>22.5</v>
      </c>
      <c r="N120" s="1139">
        <f t="shared" si="11"/>
        <v>22.5</v>
      </c>
      <c r="O120" s="1155"/>
      <c r="P120" s="1141">
        <f t="shared" si="7"/>
        <v>5933426.0869565215</v>
      </c>
      <c r="Q120" s="1519">
        <f t="shared" si="12"/>
        <v>2.5356521739130433</v>
      </c>
      <c r="R120" s="1606">
        <v>2340000</v>
      </c>
      <c r="S120" s="1618">
        <f t="shared" si="13"/>
        <v>5933426.0869565215</v>
      </c>
      <c r="T120" s="1142">
        <f t="shared" si="14"/>
        <v>108</v>
      </c>
      <c r="U120" s="1143">
        <f>IFERROR(INDEX('[16]CN BC'!$M$10:$M$276,MATCH(B120,'[16]CN BC'!$H$10:$H$276,0)),"")</f>
        <v>0</v>
      </c>
      <c r="V120" s="1189" t="str">
        <f>VLOOKUP(B120,TH.T4!B127:AC457,28,FALSE)</f>
        <v>KHCB</v>
      </c>
      <c r="W120" s="1171"/>
      <c r="Y120" s="1158"/>
    </row>
    <row r="121" spans="1:35" s="1148" customFormat="1" ht="30" customHeight="1">
      <c r="A121" s="1132">
        <f>_xlfn.AGGREGATE(4,7,A$12:A120)+1</f>
        <v>109</v>
      </c>
      <c r="B121" s="1133" t="s">
        <v>1559</v>
      </c>
      <c r="C121" s="1149" t="s">
        <v>1647</v>
      </c>
      <c r="D121" s="1154" t="s">
        <v>406</v>
      </c>
      <c r="E121" s="1058" t="str">
        <f>VLOOKUP(B121,TH.Q2!B32:E363,4,FALSE)</f>
        <v>Giảng viên khoa KHCB</v>
      </c>
      <c r="F121" s="1160">
        <v>3.66</v>
      </c>
      <c r="G121" s="1170"/>
      <c r="H121" s="1393">
        <f t="shared" si="9"/>
        <v>0</v>
      </c>
      <c r="I121" s="1138"/>
      <c r="J121" s="1138" t="str">
        <f>VLOOKUP(B121,'[15]Gui chi Quynh'!$B$11:$E$396,4,FALSE)</f>
        <v>A2</v>
      </c>
      <c r="K121" s="1138">
        <f t="shared" si="10"/>
        <v>0.7</v>
      </c>
      <c r="L121" s="1139">
        <v>23</v>
      </c>
      <c r="M121" s="1139">
        <f>VLOOKUP(B121,'[16]CN BC'!$H$10:$J$275,3,FALSE)</f>
        <v>24.5</v>
      </c>
      <c r="N121" s="1139">
        <f t="shared" si="11"/>
        <v>23</v>
      </c>
      <c r="O121" s="1140"/>
      <c r="P121" s="1141">
        <f t="shared" si="7"/>
        <v>5995080</v>
      </c>
      <c r="Q121" s="1519">
        <f t="shared" si="12"/>
        <v>2.5619999999999998</v>
      </c>
      <c r="R121" s="1606">
        <v>2340000</v>
      </c>
      <c r="S121" s="1618">
        <f t="shared" si="13"/>
        <v>5995080</v>
      </c>
      <c r="T121" s="1142">
        <f t="shared" si="14"/>
        <v>109</v>
      </c>
      <c r="U121" s="1143">
        <f>IFERROR(INDEX('[16]CN BC'!$M$10:$M$276,MATCH(B121,'[16]CN BC'!$H$10:$H$276,0)),"")</f>
        <v>0</v>
      </c>
      <c r="V121" s="1144" t="str">
        <f>VLOOKUP(B121,TH.T4!B128:AC458,28,FALSE)</f>
        <v>KHCB</v>
      </c>
      <c r="W121" s="1130"/>
      <c r="X121" s="1146"/>
      <c r="Y121" s="1147"/>
      <c r="Z121" s="1146"/>
      <c r="AA121" s="1146"/>
      <c r="AB121" s="1146"/>
      <c r="AC121" s="1146"/>
      <c r="AD121" s="1146"/>
      <c r="AE121" s="1146"/>
      <c r="AF121" s="1146"/>
      <c r="AG121" s="1146"/>
      <c r="AH121" s="1146"/>
      <c r="AI121" s="1146"/>
    </row>
    <row r="122" spans="1:35" s="1148" customFormat="1" ht="30" customHeight="1">
      <c r="A122" s="1132">
        <f>_xlfn.AGGREGATE(4,7,A$12:A121)+1</f>
        <v>110</v>
      </c>
      <c r="B122" s="1133" t="s">
        <v>1868</v>
      </c>
      <c r="C122" s="1153" t="s">
        <v>1700</v>
      </c>
      <c r="D122" s="1154" t="s">
        <v>1303</v>
      </c>
      <c r="E122" s="1058" t="str">
        <f>VLOOKUP(B122,TH.Q2!B33:E364,4,FALSE)</f>
        <v>Giảng viên Khoa KHCB</v>
      </c>
      <c r="F122" s="1136">
        <v>4.6500000000000004</v>
      </c>
      <c r="G122" s="1137"/>
      <c r="H122" s="1393">
        <f t="shared" si="9"/>
        <v>0</v>
      </c>
      <c r="I122" s="1138"/>
      <c r="J122" s="1138" t="str">
        <f>VLOOKUP(B122,'[15]Gui chi Quynh'!$B$11:$E$396,4,FALSE)</f>
        <v>A3</v>
      </c>
      <c r="K122" s="1138">
        <f t="shared" si="10"/>
        <v>0.6</v>
      </c>
      <c r="L122" s="1139">
        <v>23</v>
      </c>
      <c r="M122" s="1139">
        <f>VLOOKUP(B122,'[16]CN BC'!$H$10:$J$275,3,FALSE)</f>
        <v>23</v>
      </c>
      <c r="N122" s="1139">
        <f t="shared" si="11"/>
        <v>23</v>
      </c>
      <c r="O122" s="1140"/>
      <c r="P122" s="1141">
        <f t="shared" si="7"/>
        <v>6528600</v>
      </c>
      <c r="Q122" s="1519">
        <f t="shared" si="12"/>
        <v>2.79</v>
      </c>
      <c r="R122" s="1606">
        <v>2340000</v>
      </c>
      <c r="S122" s="1618">
        <f t="shared" si="13"/>
        <v>6528600</v>
      </c>
      <c r="T122" s="1142">
        <f t="shared" si="14"/>
        <v>110</v>
      </c>
      <c r="U122" s="1143">
        <f>IFERROR(INDEX('[16]CN BC'!$M$10:$M$276,MATCH(B122,'[16]CN BC'!$H$10:$H$276,0)),"")</f>
        <v>0</v>
      </c>
      <c r="V122" s="1144" t="str">
        <f>VLOOKUP(B122,TH.T4!B129:AC459,28,FALSE)</f>
        <v>KHCB</v>
      </c>
      <c r="W122" s="1130"/>
      <c r="X122" s="1146"/>
      <c r="Y122" s="1147"/>
      <c r="Z122" s="1146"/>
      <c r="AA122" s="1146"/>
      <c r="AB122" s="1146"/>
      <c r="AC122" s="1146"/>
      <c r="AD122" s="1146"/>
      <c r="AE122" s="1146"/>
    </row>
    <row r="123" spans="1:35" s="1148" customFormat="1" ht="30" customHeight="1">
      <c r="A123" s="1132">
        <f>_xlfn.AGGREGATE(4,7,A$12:A122)+1</f>
        <v>111</v>
      </c>
      <c r="B123" s="1133" t="s">
        <v>1869</v>
      </c>
      <c r="C123" s="1149" t="s">
        <v>1701</v>
      </c>
      <c r="D123" s="1154" t="s">
        <v>1304</v>
      </c>
      <c r="E123" s="1058" t="str">
        <f>VLOOKUP(B123,TH.Q2!B34:E365,4,FALSE)</f>
        <v>Giảng viên Khoa KHCB</v>
      </c>
      <c r="F123" s="1160">
        <v>4.32</v>
      </c>
      <c r="G123" s="1137"/>
      <c r="H123" s="1393">
        <f t="shared" si="9"/>
        <v>0</v>
      </c>
      <c r="I123" s="1138"/>
      <c r="J123" s="1138" t="str">
        <f>VLOOKUP(B123,'[15]Gui chi Quynh'!$B$11:$E$396,4,FALSE)</f>
        <v>A3</v>
      </c>
      <c r="K123" s="1138">
        <f t="shared" si="10"/>
        <v>0.6</v>
      </c>
      <c r="L123" s="1139">
        <v>23</v>
      </c>
      <c r="M123" s="1139">
        <f>VLOOKUP(B123,'[16]CN BC'!$H$10:$J$275,3,FALSE)</f>
        <v>23</v>
      </c>
      <c r="N123" s="1139">
        <f t="shared" si="11"/>
        <v>23</v>
      </c>
      <c r="O123" s="1140"/>
      <c r="P123" s="1141">
        <f t="shared" si="7"/>
        <v>6065280</v>
      </c>
      <c r="Q123" s="1519">
        <f t="shared" si="12"/>
        <v>2.5920000000000001</v>
      </c>
      <c r="R123" s="1606">
        <v>2340000</v>
      </c>
      <c r="S123" s="1618">
        <f t="shared" si="13"/>
        <v>6065280</v>
      </c>
      <c r="T123" s="1142">
        <f t="shared" si="14"/>
        <v>111</v>
      </c>
      <c r="U123" s="1143">
        <f>IFERROR(INDEX('[16]CN BC'!$M$10:$M$276,MATCH(B123,'[16]CN BC'!$H$10:$H$276,0)),"")</f>
        <v>0</v>
      </c>
      <c r="V123" s="1144" t="str">
        <f>VLOOKUP(B123,TH.T4!B130:AC460,28,FALSE)</f>
        <v>KHCB</v>
      </c>
      <c r="W123" s="1130"/>
      <c r="X123" s="1146"/>
      <c r="Y123" s="1147"/>
      <c r="Z123" s="1146"/>
      <c r="AA123" s="1146"/>
      <c r="AB123" s="1146"/>
      <c r="AC123" s="1146"/>
      <c r="AD123" s="1146"/>
      <c r="AE123" s="1146"/>
      <c r="AF123" s="1146"/>
      <c r="AG123" s="1146"/>
      <c r="AH123" s="1146"/>
      <c r="AI123" s="1146"/>
    </row>
    <row r="124" spans="1:35" s="1148" customFormat="1" ht="30" customHeight="1">
      <c r="A124" s="1132">
        <f>_xlfn.AGGREGATE(4,7,A$12:A123)+1</f>
        <v>112</v>
      </c>
      <c r="B124" s="1133" t="s">
        <v>1870</v>
      </c>
      <c r="C124" s="1153" t="s">
        <v>1702</v>
      </c>
      <c r="D124" s="1154" t="s">
        <v>1306</v>
      </c>
      <c r="E124" s="383" t="str">
        <f>VLOOKUP(B124,TH.Q2!B35:E366,4,FALSE)</f>
        <v>Giảng viên Khoa KHCB</v>
      </c>
      <c r="F124" s="1136">
        <v>4.9800000000000004</v>
      </c>
      <c r="G124" s="1137">
        <v>0.09</v>
      </c>
      <c r="H124" s="1400">
        <f t="shared" si="9"/>
        <v>0.44800000000000001</v>
      </c>
      <c r="I124" s="1138"/>
      <c r="J124" s="1138" t="str">
        <f>VLOOKUP(B124,'[15]Gui chi Quynh'!$B$11:$E$396,4,FALSE)</f>
        <v>A3</v>
      </c>
      <c r="K124" s="1138">
        <f t="shared" si="10"/>
        <v>0.6</v>
      </c>
      <c r="L124" s="1139">
        <v>23</v>
      </c>
      <c r="M124" s="1139">
        <f>VLOOKUP(B124,'[16]CN BC'!$H$10:$J$275,3,FALSE)</f>
        <v>23</v>
      </c>
      <c r="N124" s="1139">
        <f t="shared" si="11"/>
        <v>23</v>
      </c>
      <c r="O124" s="1155"/>
      <c r="P124" s="1141">
        <f t="shared" si="7"/>
        <v>7620912.0000000009</v>
      </c>
      <c r="Q124" s="1519">
        <f t="shared" si="12"/>
        <v>3.2568000000000006</v>
      </c>
      <c r="R124" s="1606">
        <v>2340000</v>
      </c>
      <c r="S124" s="1618">
        <f t="shared" si="13"/>
        <v>7620912.0000000009</v>
      </c>
      <c r="T124" s="1142">
        <f t="shared" si="14"/>
        <v>112</v>
      </c>
      <c r="U124" s="1143">
        <f>IFERROR(INDEX('[16]CN BC'!$M$10:$M$276,MATCH(B124,'[16]CN BC'!$H$10:$H$276,0)),"")</f>
        <v>0</v>
      </c>
      <c r="V124" s="1189" t="str">
        <f>VLOOKUP(B124,TH.T4!B131:AC461,28,FALSE)</f>
        <v>KHCB</v>
      </c>
      <c r="W124" s="1171"/>
      <c r="Y124" s="1158"/>
    </row>
    <row r="125" spans="1:35" s="1148" customFormat="1" ht="26.25" customHeight="1">
      <c r="A125" s="1132">
        <f>_xlfn.AGGREGATE(4,7,A$12:A124)+1</f>
        <v>113</v>
      </c>
      <c r="B125" s="1133" t="s">
        <v>847</v>
      </c>
      <c r="C125" s="1153" t="s">
        <v>1703</v>
      </c>
      <c r="D125" s="1154" t="s">
        <v>1307</v>
      </c>
      <c r="E125" s="1058" t="str">
        <f>VLOOKUP(B125,TH.Q2!B36:E367,4,FALSE)</f>
        <v>Giảng viên khoa KHCB</v>
      </c>
      <c r="F125" s="1160">
        <v>3.99</v>
      </c>
      <c r="G125" s="1137"/>
      <c r="H125" s="1393">
        <f t="shared" si="9"/>
        <v>0</v>
      </c>
      <c r="I125" s="1138"/>
      <c r="J125" s="1138" t="str">
        <f>VLOOKUP(B125,'[15]Gui chi Quynh'!$B$11:$E$396,4,FALSE)</f>
        <v>A4</v>
      </c>
      <c r="K125" s="1138">
        <f t="shared" si="10"/>
        <v>0.5</v>
      </c>
      <c r="L125" s="1139">
        <v>23</v>
      </c>
      <c r="M125" s="1139">
        <f>VLOOKUP(B125,'[16]CN BC'!$H$10:$J$275,3,FALSE)</f>
        <v>23</v>
      </c>
      <c r="N125" s="1139">
        <f t="shared" si="11"/>
        <v>23</v>
      </c>
      <c r="O125" s="1140"/>
      <c r="P125" s="1141">
        <f t="shared" si="7"/>
        <v>4668300</v>
      </c>
      <c r="Q125" s="1519">
        <f t="shared" si="12"/>
        <v>1.9950000000000001</v>
      </c>
      <c r="R125" s="1606">
        <v>2340000</v>
      </c>
      <c r="S125" s="1618">
        <f t="shared" si="13"/>
        <v>4668300</v>
      </c>
      <c r="T125" s="1211">
        <f t="shared" si="14"/>
        <v>113</v>
      </c>
      <c r="U125" s="1143">
        <f>IFERROR(INDEX('[16]CN BC'!$M$10:$M$276,MATCH(B125,'[16]CN BC'!$H$10:$H$276,0)),"")</f>
        <v>0</v>
      </c>
      <c r="V125" s="1144" t="str">
        <f>VLOOKUP(B125,TH.T4!B132:AC462,28,FALSE)</f>
        <v>KHCB</v>
      </c>
      <c r="W125" s="1171"/>
      <c r="Y125" s="1158"/>
    </row>
    <row r="126" spans="1:35" s="1148" customFormat="1" ht="30" customHeight="1">
      <c r="A126" s="1132">
        <f>_xlfn.AGGREGATE(4,7,A$12:A125)+1</f>
        <v>114</v>
      </c>
      <c r="B126" s="1133" t="s">
        <v>1486</v>
      </c>
      <c r="C126" s="1149" t="s">
        <v>1704</v>
      </c>
      <c r="D126" s="1166" t="s">
        <v>1588</v>
      </c>
      <c r="E126" s="1058" t="str">
        <f>VLOOKUP(B126,TH.Q2!B37:E368,4,FALSE)</f>
        <v>Giảng viên khoa KHCB</v>
      </c>
      <c r="F126" s="1160">
        <v>3.66</v>
      </c>
      <c r="G126" s="1137"/>
      <c r="H126" s="1393">
        <f t="shared" si="9"/>
        <v>0</v>
      </c>
      <c r="I126" s="1138"/>
      <c r="J126" s="1138" t="str">
        <f>VLOOKUP(B126,'[15]Gui chi Quynh'!$B$11:$E$396,4,FALSE)</f>
        <v>A3</v>
      </c>
      <c r="K126" s="1138">
        <f t="shared" si="10"/>
        <v>0.6</v>
      </c>
      <c r="L126" s="1139">
        <v>23</v>
      </c>
      <c r="M126" s="1139">
        <f>VLOOKUP(B126,'[16]CN BC'!$H$10:$J$275,3,FALSE)</f>
        <v>22</v>
      </c>
      <c r="N126" s="1139">
        <f t="shared" si="11"/>
        <v>22</v>
      </c>
      <c r="O126" s="1140"/>
      <c r="P126" s="1141">
        <f t="shared" si="7"/>
        <v>4915220.8695652168</v>
      </c>
      <c r="Q126" s="1519">
        <f t="shared" si="12"/>
        <v>2.1005217391304347</v>
      </c>
      <c r="R126" s="1606">
        <v>2340000</v>
      </c>
      <c r="S126" s="1618">
        <f t="shared" si="13"/>
        <v>4915220.8695652168</v>
      </c>
      <c r="T126" s="1211">
        <f t="shared" si="14"/>
        <v>114</v>
      </c>
      <c r="U126" s="1143">
        <f>IFERROR(INDEX('[16]CN BC'!$M$10:$M$276,MATCH(B126,'[16]CN BC'!$H$10:$H$276,0)),"")</f>
        <v>0</v>
      </c>
      <c r="V126" s="1144" t="str">
        <f>VLOOKUP(B126,TH.T4!B133:AC463,28,FALSE)</f>
        <v>KHCB</v>
      </c>
      <c r="W126" s="1130"/>
      <c r="X126" s="1146"/>
      <c r="Y126" s="1147"/>
      <c r="Z126" s="1146"/>
      <c r="AA126" s="1146"/>
      <c r="AB126" s="1146"/>
      <c r="AC126" s="1146"/>
      <c r="AD126" s="1146"/>
      <c r="AE126" s="1146"/>
      <c r="AF126" s="1146"/>
      <c r="AG126" s="1146"/>
      <c r="AH126" s="1146"/>
      <c r="AI126" s="1146"/>
    </row>
    <row r="127" spans="1:35" s="1146" customFormat="1" ht="30" customHeight="1">
      <c r="A127" s="1132">
        <f>_xlfn.AGGREGATE(4,7,A$12:A126)+1</f>
        <v>115</v>
      </c>
      <c r="B127" s="1133" t="s">
        <v>1871</v>
      </c>
      <c r="C127" s="1153" t="s">
        <v>1705</v>
      </c>
      <c r="D127" s="1154" t="s">
        <v>1309</v>
      </c>
      <c r="E127" s="1058" t="str">
        <f>VLOOKUP(B127,TH.Q2!B38:E369,4,FALSE)</f>
        <v>Phó TK Khoa KHCB</v>
      </c>
      <c r="F127" s="1136">
        <v>4.9800000000000004</v>
      </c>
      <c r="G127" s="1137"/>
      <c r="H127" s="1393">
        <f t="shared" si="9"/>
        <v>0</v>
      </c>
      <c r="I127" s="1138">
        <v>0.35</v>
      </c>
      <c r="J127" s="1138" t="str">
        <f>VLOOKUP(B127,'[15]Gui chi Quynh'!$B$11:$E$396,4,FALSE)</f>
        <v>A2</v>
      </c>
      <c r="K127" s="1138">
        <f t="shared" si="10"/>
        <v>0.7</v>
      </c>
      <c r="L127" s="1139">
        <v>23</v>
      </c>
      <c r="M127" s="1139">
        <f>VLOOKUP(B127,'[16]CN BC'!$H$10:$J$275,3,FALSE)</f>
        <v>23</v>
      </c>
      <c r="N127" s="1139">
        <f t="shared" si="11"/>
        <v>23</v>
      </c>
      <c r="O127" s="1140"/>
      <c r="P127" s="1141">
        <f t="shared" si="7"/>
        <v>8730540</v>
      </c>
      <c r="Q127" s="1519">
        <f t="shared" si="12"/>
        <v>3.7309999999999999</v>
      </c>
      <c r="R127" s="1606">
        <v>2340000</v>
      </c>
      <c r="S127" s="1618">
        <f t="shared" si="13"/>
        <v>8730540</v>
      </c>
      <c r="T127" s="1211">
        <f t="shared" si="14"/>
        <v>115</v>
      </c>
      <c r="U127" s="1143">
        <f>IFERROR(INDEX('[16]CN BC'!$M$10:$M$276,MATCH(B127,'[16]CN BC'!$H$10:$H$276,0)),"")</f>
        <v>0</v>
      </c>
      <c r="V127" s="1144" t="str">
        <f>VLOOKUP(B127,TH.T4!B134:AC464,28,FALSE)</f>
        <v>KHCB</v>
      </c>
      <c r="W127" s="1130"/>
      <c r="Y127" s="1147"/>
    </row>
    <row r="128" spans="1:35" s="1148" customFormat="1" ht="30" customHeight="1">
      <c r="A128" s="1132">
        <f>_xlfn.AGGREGATE(4,7,A$12:A127)+1</f>
        <v>116</v>
      </c>
      <c r="B128" s="1133" t="s">
        <v>1872</v>
      </c>
      <c r="C128" s="1153" t="s">
        <v>1706</v>
      </c>
      <c r="D128" s="1154" t="s">
        <v>1311</v>
      </c>
      <c r="E128" s="383" t="str">
        <f>VLOOKUP(B128,TH.Q2!B39:E370,4,FALSE)</f>
        <v>Giảng viên Khoa KHCB</v>
      </c>
      <c r="F128" s="1136">
        <v>4.9800000000000004</v>
      </c>
      <c r="G128" s="1137">
        <v>0.06</v>
      </c>
      <c r="H128" s="1400">
        <f t="shared" si="9"/>
        <v>0.29899999999999999</v>
      </c>
      <c r="I128" s="1138"/>
      <c r="J128" s="1138" t="str">
        <f>VLOOKUP(B128,'[15]Gui chi Quynh'!$B$11:$E$396,4,FALSE)</f>
        <v>A3</v>
      </c>
      <c r="K128" s="1138">
        <f t="shared" si="10"/>
        <v>0.6</v>
      </c>
      <c r="L128" s="1139">
        <v>23</v>
      </c>
      <c r="M128" s="1139">
        <f>VLOOKUP(B128,'[16]CN BC'!$H$10:$J$275,3,FALSE)</f>
        <v>23</v>
      </c>
      <c r="N128" s="1139">
        <f t="shared" si="11"/>
        <v>23</v>
      </c>
      <c r="O128" s="1155"/>
      <c r="P128" s="1141">
        <f t="shared" si="7"/>
        <v>7411716.0000000019</v>
      </c>
      <c r="Q128" s="1519">
        <f t="shared" si="12"/>
        <v>3.1674000000000007</v>
      </c>
      <c r="R128" s="1606">
        <v>2340000</v>
      </c>
      <c r="S128" s="1618">
        <f t="shared" si="13"/>
        <v>7411716.0000000019</v>
      </c>
      <c r="T128" s="1211">
        <f t="shared" si="14"/>
        <v>116</v>
      </c>
      <c r="U128" s="1143">
        <f>IFERROR(INDEX('[16]CN BC'!$M$10:$M$276,MATCH(B128,'[16]CN BC'!$H$10:$H$276,0)),"")</f>
        <v>0</v>
      </c>
      <c r="V128" s="1189" t="str">
        <f>VLOOKUP(B128,TH.T4!B135:AC465,28,FALSE)</f>
        <v>KHCB</v>
      </c>
      <c r="W128" s="1171"/>
      <c r="Y128" s="1158"/>
    </row>
    <row r="129" spans="1:35" s="1148" customFormat="1" ht="32.25" customHeight="1">
      <c r="A129" s="1132">
        <f>_xlfn.AGGREGATE(4,7,A$12:A128)+1</f>
        <v>117</v>
      </c>
      <c r="B129" s="1133" t="s">
        <v>1487</v>
      </c>
      <c r="C129" s="1153" t="s">
        <v>1707</v>
      </c>
      <c r="D129" s="1154" t="s">
        <v>1312</v>
      </c>
      <c r="E129" s="1058" t="str">
        <f>VLOOKUP(B129,TH.Q2!B40:E371,4,FALSE)</f>
        <v>Giảng viên khoa KHCB</v>
      </c>
      <c r="F129" s="1160">
        <v>3.99</v>
      </c>
      <c r="G129" s="1137"/>
      <c r="H129" s="1393">
        <f t="shared" si="9"/>
        <v>0</v>
      </c>
      <c r="I129" s="1138"/>
      <c r="J129" s="1138" t="str">
        <f>VLOOKUP(B129,'[15]Gui chi Quynh'!$B$11:$E$396,4,FALSE)</f>
        <v>A2</v>
      </c>
      <c r="K129" s="1138">
        <f t="shared" si="10"/>
        <v>0.7</v>
      </c>
      <c r="L129" s="1139">
        <v>23</v>
      </c>
      <c r="M129" s="1139">
        <f>VLOOKUP(B129,'[16]CN BC'!$H$10:$J$275,3,FALSE)</f>
        <v>23</v>
      </c>
      <c r="N129" s="1139">
        <f t="shared" si="11"/>
        <v>23</v>
      </c>
      <c r="O129" s="1140"/>
      <c r="P129" s="1141">
        <f t="shared" si="7"/>
        <v>6535620</v>
      </c>
      <c r="Q129" s="1519">
        <f t="shared" si="12"/>
        <v>2.7930000000000001</v>
      </c>
      <c r="R129" s="1606">
        <v>2340000</v>
      </c>
      <c r="S129" s="1618">
        <f t="shared" si="13"/>
        <v>6535620</v>
      </c>
      <c r="T129" s="1142">
        <f t="shared" si="14"/>
        <v>117</v>
      </c>
      <c r="U129" s="1143">
        <f>IFERROR(INDEX('[16]CN BC'!$M$10:$M$276,MATCH(B129,'[16]CN BC'!$H$10:$H$276,0)),"")</f>
        <v>0</v>
      </c>
      <c r="V129" s="1144" t="str">
        <f>VLOOKUP(B129,TH.T4!B136:AC466,28,FALSE)</f>
        <v>KHCB</v>
      </c>
      <c r="W129" s="1130"/>
      <c r="X129" s="1146"/>
      <c r="Y129" s="1158"/>
    </row>
    <row r="130" spans="1:35" s="1148" customFormat="1" ht="30" customHeight="1">
      <c r="A130" s="1132">
        <f>_xlfn.AGGREGATE(4,7,A$12:A129)+1</f>
        <v>118</v>
      </c>
      <c r="B130" s="1133" t="s">
        <v>1488</v>
      </c>
      <c r="C130" s="1153" t="s">
        <v>1708</v>
      </c>
      <c r="D130" s="1154" t="s">
        <v>374</v>
      </c>
      <c r="E130" s="1058" t="str">
        <f>VLOOKUP(B130,TH.Q2!B41:E372,4,FALSE)</f>
        <v>Giảng viên khoa KHCB</v>
      </c>
      <c r="F130" s="1160">
        <v>3.66</v>
      </c>
      <c r="G130" s="1137"/>
      <c r="H130" s="1393">
        <f t="shared" si="9"/>
        <v>0</v>
      </c>
      <c r="I130" s="1138"/>
      <c r="J130" s="1138" t="str">
        <f>VLOOKUP(B130,'[15]Gui chi Quynh'!$B$11:$E$396,4,FALSE)</f>
        <v>A2</v>
      </c>
      <c r="K130" s="1138">
        <f t="shared" si="10"/>
        <v>0.7</v>
      </c>
      <c r="L130" s="1139">
        <v>23</v>
      </c>
      <c r="M130" s="1139">
        <f>VLOOKUP(B130,'[16]CN BC'!$H$10:$J$275,3,FALSE)</f>
        <v>23</v>
      </c>
      <c r="N130" s="1139">
        <f t="shared" si="11"/>
        <v>23</v>
      </c>
      <c r="O130" s="1140"/>
      <c r="P130" s="1141">
        <f t="shared" si="7"/>
        <v>5995080</v>
      </c>
      <c r="Q130" s="1519">
        <f t="shared" si="12"/>
        <v>2.5619999999999998</v>
      </c>
      <c r="R130" s="1606">
        <v>2340000</v>
      </c>
      <c r="S130" s="1618">
        <f t="shared" si="13"/>
        <v>5995080</v>
      </c>
      <c r="T130" s="1142">
        <f t="shared" si="14"/>
        <v>118</v>
      </c>
      <c r="U130" s="1143">
        <f>IFERROR(INDEX('[16]CN BC'!$M$10:$M$276,MATCH(B130,'[16]CN BC'!$H$10:$H$276,0)),"")</f>
        <v>0</v>
      </c>
      <c r="V130" s="1144" t="str">
        <f>VLOOKUP(B130,TH.T4!B137:AC467,28,FALSE)</f>
        <v>KHCB</v>
      </c>
      <c r="W130" s="1130"/>
      <c r="X130" s="1146"/>
      <c r="Y130" s="1147"/>
      <c r="Z130" s="1146"/>
      <c r="AA130" s="1146"/>
      <c r="AB130" s="1146"/>
      <c r="AC130" s="1146"/>
      <c r="AD130" s="1146"/>
      <c r="AE130" s="1146"/>
    </row>
    <row r="131" spans="1:35" s="1148" customFormat="1" ht="30" customHeight="1">
      <c r="A131" s="1132">
        <f>_xlfn.AGGREGATE(4,7,A$12:A130)+1</f>
        <v>119</v>
      </c>
      <c r="B131" s="1133" t="s">
        <v>1489</v>
      </c>
      <c r="C131" s="1153" t="s">
        <v>1709</v>
      </c>
      <c r="D131" s="1150" t="s">
        <v>1424</v>
      </c>
      <c r="E131" s="1058" t="str">
        <f>VLOOKUP(B131,TH.Q2!B42:E373,4,FALSE)</f>
        <v>Giảng viên khoa KHCB</v>
      </c>
      <c r="F131" s="1160">
        <v>3.33</v>
      </c>
      <c r="G131" s="1137"/>
      <c r="H131" s="1393">
        <f t="shared" si="9"/>
        <v>0</v>
      </c>
      <c r="I131" s="1138"/>
      <c r="J131" s="1138" t="str">
        <f>VLOOKUP(B131,'[15]Gui chi Quynh'!$B$11:$E$396,4,FALSE)</f>
        <v>A2</v>
      </c>
      <c r="K131" s="1138">
        <f t="shared" si="10"/>
        <v>0.7</v>
      </c>
      <c r="L131" s="1139">
        <v>23</v>
      </c>
      <c r="M131" s="1139">
        <f>VLOOKUP(B131,'[16]CN BC'!$H$10:$J$275,3,FALSE)</f>
        <v>23</v>
      </c>
      <c r="N131" s="1139">
        <f t="shared" si="11"/>
        <v>23</v>
      </c>
      <c r="O131" s="1140"/>
      <c r="P131" s="1141">
        <f t="shared" si="7"/>
        <v>5454540</v>
      </c>
      <c r="Q131" s="1519">
        <f t="shared" si="12"/>
        <v>2.331</v>
      </c>
      <c r="R131" s="1606">
        <v>2340000</v>
      </c>
      <c r="S131" s="1618">
        <f t="shared" si="13"/>
        <v>5454540</v>
      </c>
      <c r="T131" s="1142">
        <f t="shared" si="14"/>
        <v>119</v>
      </c>
      <c r="U131" s="1143">
        <f>IFERROR(INDEX('[16]CN BC'!$M$10:$M$276,MATCH(B131,'[16]CN BC'!$H$10:$H$276,0)),"")</f>
        <v>0</v>
      </c>
      <c r="V131" s="1144" t="str">
        <f>VLOOKUP(B131,TH.T4!B138:AC468,28,FALSE)</f>
        <v>KHCB</v>
      </c>
      <c r="W131" s="1130"/>
      <c r="X131" s="1146"/>
      <c r="Y131" s="1147"/>
      <c r="Z131" s="1146"/>
      <c r="AA131" s="1146"/>
      <c r="AB131" s="1146"/>
      <c r="AC131" s="1146"/>
      <c r="AD131" s="1146"/>
      <c r="AE131" s="1146"/>
    </row>
    <row r="132" spans="1:35" s="1148" customFormat="1" ht="27.75" customHeight="1">
      <c r="A132" s="1132">
        <f>_xlfn.AGGREGATE(4,7,A$12:A131)+1</f>
        <v>120</v>
      </c>
      <c r="B132" s="1133" t="s">
        <v>1490</v>
      </c>
      <c r="C132" s="1153" t="s">
        <v>1710</v>
      </c>
      <c r="D132" s="1150" t="s">
        <v>1425</v>
      </c>
      <c r="E132" s="1058" t="str">
        <f>VLOOKUP(B132,TH.Q2!B43:E374,4,FALSE)</f>
        <v>Giảng viên khoa KHCB</v>
      </c>
      <c r="F132" s="1160">
        <v>3.33</v>
      </c>
      <c r="G132" s="1137"/>
      <c r="H132" s="1393">
        <f t="shared" si="9"/>
        <v>0</v>
      </c>
      <c r="I132" s="1138"/>
      <c r="J132" s="1138" t="str">
        <f>VLOOKUP(B132,'[15]Gui chi Quynh'!$B$11:$E$396,4,FALSE)</f>
        <v>A3</v>
      </c>
      <c r="K132" s="1138">
        <f t="shared" si="10"/>
        <v>0.6</v>
      </c>
      <c r="L132" s="1139">
        <v>23</v>
      </c>
      <c r="M132" s="1139">
        <f>VLOOKUP(B132,'[16]CN BC'!$H$10:$J$275,3,FALSE)</f>
        <v>23</v>
      </c>
      <c r="N132" s="1139">
        <f t="shared" si="11"/>
        <v>23</v>
      </c>
      <c r="O132" s="1140"/>
      <c r="P132" s="1141">
        <f t="shared" si="7"/>
        <v>4675320</v>
      </c>
      <c r="Q132" s="1519">
        <f t="shared" si="12"/>
        <v>1.998</v>
      </c>
      <c r="R132" s="1606">
        <v>2340000</v>
      </c>
      <c r="S132" s="1618">
        <f t="shared" si="13"/>
        <v>4675320</v>
      </c>
      <c r="T132" s="1142">
        <f t="shared" si="14"/>
        <v>120</v>
      </c>
      <c r="U132" s="1143">
        <f>IFERROR(INDEX('[16]CN BC'!$M$10:$M$276,MATCH(B132,'[16]CN BC'!$H$10:$H$276,0)),"")</f>
        <v>0</v>
      </c>
      <c r="V132" s="1189" t="str">
        <f>VLOOKUP(B132,TH.T4!B139:AC469,28,FALSE)</f>
        <v>KHCB</v>
      </c>
      <c r="W132" s="1171"/>
      <c r="Y132" s="1158"/>
    </row>
    <row r="133" spans="1:35" s="1148" customFormat="1" ht="30" customHeight="1">
      <c r="A133" s="1132">
        <f>_xlfn.AGGREGATE(4,7,A$12:A132)+1</f>
        <v>121</v>
      </c>
      <c r="B133" s="1133" t="s">
        <v>1873</v>
      </c>
      <c r="C133" s="1153" t="s">
        <v>1711</v>
      </c>
      <c r="D133" s="1154" t="s">
        <v>1322</v>
      </c>
      <c r="E133" s="383" t="str">
        <f>VLOOKUP(B133,TH.Q2!B44:E375,4,FALSE)</f>
        <v>Giảng viên Khoa KHCB</v>
      </c>
      <c r="F133" s="1160">
        <v>4.32</v>
      </c>
      <c r="G133" s="1137"/>
      <c r="H133" s="1400">
        <f t="shared" si="9"/>
        <v>0</v>
      </c>
      <c r="I133" s="1138">
        <f>0.25</f>
        <v>0.25</v>
      </c>
      <c r="J133" s="1138" t="str">
        <f>VLOOKUP(B133,'[15]Gui chi Quynh'!$B$11:$E$396,4,FALSE)</f>
        <v>A3</v>
      </c>
      <c r="K133" s="1138">
        <f t="shared" si="10"/>
        <v>0.6</v>
      </c>
      <c r="L133" s="1139">
        <v>23</v>
      </c>
      <c r="M133" s="1139">
        <f>VLOOKUP(B133,'[16]CN BC'!$H$10:$J$275,3,FALSE)</f>
        <v>23</v>
      </c>
      <c r="N133" s="1139">
        <f t="shared" si="11"/>
        <v>23</v>
      </c>
      <c r="O133" s="1155"/>
      <c r="P133" s="1141">
        <f t="shared" si="7"/>
        <v>6416280</v>
      </c>
      <c r="Q133" s="1519">
        <f t="shared" si="12"/>
        <v>2.742</v>
      </c>
      <c r="R133" s="1606">
        <v>2340000</v>
      </c>
      <c r="S133" s="1618">
        <f t="shared" si="13"/>
        <v>6416280</v>
      </c>
      <c r="T133" s="1142">
        <f t="shared" si="14"/>
        <v>121</v>
      </c>
      <c r="U133" s="1143">
        <f>IFERROR(INDEX('[16]CN BC'!$M$10:$M$276,MATCH(B133,'[16]CN BC'!$H$10:$H$276,0)),"")</f>
        <v>0</v>
      </c>
      <c r="V133" s="1189" t="str">
        <f>VLOOKUP(B133,TH.T4!B140:AC470,28,FALSE)</f>
        <v>KHCB</v>
      </c>
      <c r="W133" s="1171"/>
      <c r="Y133" s="1158"/>
    </row>
    <row r="134" spans="1:35" s="1148" customFormat="1" ht="30" customHeight="1">
      <c r="A134" s="1132">
        <f>_xlfn.AGGREGATE(4,7,A$12:A133)+1</f>
        <v>122</v>
      </c>
      <c r="B134" s="1133" t="s">
        <v>1491</v>
      </c>
      <c r="C134" s="1153" t="s">
        <v>1712</v>
      </c>
      <c r="D134" s="1154" t="s">
        <v>1323</v>
      </c>
      <c r="E134" s="1058" t="str">
        <f>VLOOKUP(B134,TH.Q2!B45:E376,4,FALSE)</f>
        <v>Giảng viên khoa KHCB</v>
      </c>
      <c r="F134" s="1160">
        <v>4.32</v>
      </c>
      <c r="G134" s="1137"/>
      <c r="H134" s="1393">
        <f t="shared" si="9"/>
        <v>0</v>
      </c>
      <c r="I134" s="1138"/>
      <c r="J134" s="1138" t="str">
        <f>VLOOKUP(B134,'[15]Gui chi Quynh'!$B$11:$E$396,4,FALSE)</f>
        <v>A3</v>
      </c>
      <c r="K134" s="1138">
        <f t="shared" si="10"/>
        <v>0.6</v>
      </c>
      <c r="L134" s="1139">
        <v>23</v>
      </c>
      <c r="M134" s="1139">
        <f>VLOOKUP(B134,'[16]CN BC'!$H$10:$J$275,3,FALSE)</f>
        <v>23</v>
      </c>
      <c r="N134" s="1139">
        <f t="shared" si="11"/>
        <v>23</v>
      </c>
      <c r="O134" s="1140"/>
      <c r="P134" s="1141">
        <f t="shared" si="7"/>
        <v>6065280</v>
      </c>
      <c r="Q134" s="1519">
        <f t="shared" si="12"/>
        <v>2.5920000000000001</v>
      </c>
      <c r="R134" s="1606">
        <v>2340000</v>
      </c>
      <c r="S134" s="1618">
        <f t="shared" si="13"/>
        <v>6065280</v>
      </c>
      <c r="T134" s="1142">
        <f t="shared" si="14"/>
        <v>122</v>
      </c>
      <c r="U134" s="1143">
        <f>IFERROR(INDEX('[16]CN BC'!$M$10:$M$276,MATCH(B134,'[16]CN BC'!$H$10:$H$276,0)),"")</f>
        <v>0</v>
      </c>
      <c r="V134" s="1144" t="str">
        <f>VLOOKUP(B134,TH.T4!B141:AC471,28,FALSE)</f>
        <v>KHCB</v>
      </c>
      <c r="W134" s="1130"/>
      <c r="X134" s="1146"/>
      <c r="Y134" s="1147"/>
      <c r="Z134" s="1146"/>
      <c r="AA134" s="1146"/>
      <c r="AB134" s="1146"/>
      <c r="AC134" s="1146"/>
      <c r="AD134" s="1146"/>
      <c r="AE134" s="1146"/>
    </row>
    <row r="135" spans="1:35" s="1148" customFormat="1" ht="30" customHeight="1">
      <c r="A135" s="1132">
        <f>_xlfn.AGGREGATE(4,7,A$12:A134)+1</f>
        <v>123</v>
      </c>
      <c r="B135" s="1133" t="s">
        <v>845</v>
      </c>
      <c r="C135" s="1153" t="s">
        <v>1713</v>
      </c>
      <c r="D135" s="1154" t="s">
        <v>1324</v>
      </c>
      <c r="E135" s="1058" t="str">
        <f>VLOOKUP(B135,TH.Q2!B46:E377,4,FALSE)</f>
        <v>Giảng viên khoa KHCB</v>
      </c>
      <c r="F135" s="1160">
        <v>3.99</v>
      </c>
      <c r="G135" s="1137"/>
      <c r="H135" s="1393">
        <f t="shared" si="9"/>
        <v>0</v>
      </c>
      <c r="I135" s="1138"/>
      <c r="J135" s="1138" t="str">
        <f>VLOOKUP(B135,'[15]Gui chi Quynh'!$B$11:$E$396,4,FALSE)</f>
        <v>A1</v>
      </c>
      <c r="K135" s="1138">
        <f t="shared" si="10"/>
        <v>0.8</v>
      </c>
      <c r="L135" s="1139">
        <v>23</v>
      </c>
      <c r="M135" s="1139">
        <f>VLOOKUP(B135,'[16]CN BC'!$H$10:$J$275,3,FALSE)</f>
        <v>23</v>
      </c>
      <c r="N135" s="1139">
        <f t="shared" si="11"/>
        <v>23</v>
      </c>
      <c r="O135" s="1140"/>
      <c r="P135" s="1141">
        <f t="shared" si="7"/>
        <v>7469280</v>
      </c>
      <c r="Q135" s="1519">
        <f t="shared" si="12"/>
        <v>3.1920000000000002</v>
      </c>
      <c r="R135" s="1606">
        <v>2340000</v>
      </c>
      <c r="S135" s="1618">
        <f t="shared" si="13"/>
        <v>7469280</v>
      </c>
      <c r="T135" s="1142">
        <f t="shared" si="14"/>
        <v>123</v>
      </c>
      <c r="U135" s="1143">
        <f>IFERROR(INDEX('[16]CN BC'!$M$10:$M$276,MATCH(B135,'[16]CN BC'!$H$10:$H$276,0)),"")</f>
        <v>0</v>
      </c>
      <c r="V135" s="1144" t="str">
        <f>VLOOKUP(B135,TH.T4!B142:AC472,28,FALSE)</f>
        <v>KHCB</v>
      </c>
      <c r="W135" s="1130"/>
      <c r="X135" s="1146"/>
      <c r="Y135" s="1147"/>
      <c r="Z135" s="1146"/>
      <c r="AA135" s="1146"/>
      <c r="AB135" s="1146"/>
      <c r="AC135" s="1146"/>
      <c r="AD135" s="1146"/>
      <c r="AE135" s="1146"/>
    </row>
    <row r="136" spans="1:35" s="1148" customFormat="1" ht="31.5" customHeight="1">
      <c r="A136" s="1132">
        <f>_xlfn.AGGREGATE(4,7,A$12:A135)+1</f>
        <v>124</v>
      </c>
      <c r="B136" s="1133" t="s">
        <v>1492</v>
      </c>
      <c r="C136" s="1149" t="s">
        <v>1714</v>
      </c>
      <c r="D136" s="1212" t="s">
        <v>1938</v>
      </c>
      <c r="E136" s="1058" t="str">
        <f>VLOOKUP(B136,TH.Q2!B47:E378,4,FALSE)</f>
        <v>Giảng viên khoa KHCB</v>
      </c>
      <c r="F136" s="1160">
        <v>3.99</v>
      </c>
      <c r="G136" s="1137"/>
      <c r="H136" s="1393">
        <f t="shared" si="9"/>
        <v>0</v>
      </c>
      <c r="I136" s="1138"/>
      <c r="J136" s="1138" t="str">
        <f>VLOOKUP(B136,'[15]Gui chi Quynh'!$B$11:$E$396,4,FALSE)</f>
        <v>A1</v>
      </c>
      <c r="K136" s="1138">
        <f t="shared" si="10"/>
        <v>0.8</v>
      </c>
      <c r="L136" s="1139">
        <v>23</v>
      </c>
      <c r="M136" s="1139">
        <f>VLOOKUP(B136,'[16]CN BC'!$H$10:$J$275,3,FALSE)</f>
        <v>23</v>
      </c>
      <c r="N136" s="1139">
        <f t="shared" si="11"/>
        <v>23</v>
      </c>
      <c r="O136" s="1140"/>
      <c r="P136" s="1141">
        <f t="shared" si="7"/>
        <v>7469280</v>
      </c>
      <c r="Q136" s="1519">
        <f t="shared" si="12"/>
        <v>3.1920000000000002</v>
      </c>
      <c r="R136" s="1606">
        <v>2340000</v>
      </c>
      <c r="S136" s="1618">
        <f t="shared" si="13"/>
        <v>7469280</v>
      </c>
      <c r="T136" s="1142">
        <f t="shared" si="14"/>
        <v>124</v>
      </c>
      <c r="U136" s="1143">
        <f>IFERROR(INDEX('[16]CN BC'!$M$10:$M$276,MATCH(B136,'[16]CN BC'!$H$10:$H$276,0)),"")</f>
        <v>0</v>
      </c>
      <c r="V136" s="1144" t="str">
        <f>VLOOKUP(B136,TH.T4!B143:AC473,28,FALSE)</f>
        <v>KHCB</v>
      </c>
      <c r="W136" s="1130"/>
      <c r="X136" s="1146"/>
      <c r="Y136" s="1147"/>
      <c r="Z136" s="1146"/>
      <c r="AA136" s="1146"/>
      <c r="AB136" s="1146"/>
      <c r="AC136" s="1146"/>
      <c r="AD136" s="1146"/>
      <c r="AE136" s="1146"/>
      <c r="AF136" s="1146"/>
      <c r="AG136" s="1146"/>
      <c r="AH136" s="1146"/>
      <c r="AI136" s="1146"/>
    </row>
    <row r="137" spans="1:35" s="1148" customFormat="1" ht="31.5" customHeight="1">
      <c r="A137" s="1132">
        <f>_xlfn.AGGREGATE(4,7,A$12:A136)+1</f>
        <v>125</v>
      </c>
      <c r="B137" s="1133" t="s">
        <v>1558</v>
      </c>
      <c r="C137" s="1153" t="s">
        <v>1715</v>
      </c>
      <c r="D137" s="1154" t="s">
        <v>21</v>
      </c>
      <c r="E137" s="1058" t="str">
        <f>VLOOKUP(B137,TH.Q2!B48:E379,4,FALSE)</f>
        <v>Giảng viên khoa KHCB</v>
      </c>
      <c r="F137" s="1160">
        <v>4.32</v>
      </c>
      <c r="G137" s="1137"/>
      <c r="H137" s="1393">
        <f t="shared" si="9"/>
        <v>0</v>
      </c>
      <c r="I137" s="1138"/>
      <c r="J137" s="1138" t="str">
        <f>VLOOKUP(B137,'[15]Gui chi Quynh'!$B$11:$E$396,4,FALSE)</f>
        <v>A3</v>
      </c>
      <c r="K137" s="1138">
        <f t="shared" si="10"/>
        <v>0.6</v>
      </c>
      <c r="L137" s="1139">
        <v>23</v>
      </c>
      <c r="M137" s="1139">
        <f>VLOOKUP(B137,'[16]CN BC'!$H$10:$J$275,3,FALSE)</f>
        <v>23</v>
      </c>
      <c r="N137" s="1139">
        <f t="shared" si="11"/>
        <v>23</v>
      </c>
      <c r="O137" s="1140"/>
      <c r="P137" s="1141">
        <f t="shared" si="7"/>
        <v>6065280</v>
      </c>
      <c r="Q137" s="1519">
        <f t="shared" si="12"/>
        <v>2.5920000000000001</v>
      </c>
      <c r="R137" s="1606">
        <v>2340000</v>
      </c>
      <c r="S137" s="1618">
        <f t="shared" si="13"/>
        <v>6065280</v>
      </c>
      <c r="T137" s="1142">
        <f t="shared" si="14"/>
        <v>125</v>
      </c>
      <c r="U137" s="1143">
        <f>IFERROR(INDEX('[16]CN BC'!$M$10:$M$276,MATCH(B137,'[16]CN BC'!$H$10:$H$276,0)),"")</f>
        <v>0</v>
      </c>
      <c r="V137" s="1144" t="str">
        <f>VLOOKUP(B137,TH.T4!B144:AC474,28,FALSE)</f>
        <v>KHCB</v>
      </c>
      <c r="W137" s="1130"/>
      <c r="X137" s="1146"/>
      <c r="Y137" s="1147"/>
      <c r="Z137" s="1146"/>
      <c r="AA137" s="1146"/>
      <c r="AB137" s="1146"/>
      <c r="AC137" s="1146"/>
      <c r="AD137" s="1146"/>
      <c r="AE137" s="1146"/>
    </row>
    <row r="138" spans="1:35" s="1148" customFormat="1" ht="31.5" customHeight="1">
      <c r="A138" s="1132">
        <f>_xlfn.AGGREGATE(4,7,A$12:A137)+1</f>
        <v>126</v>
      </c>
      <c r="B138" s="1133" t="s">
        <v>1493</v>
      </c>
      <c r="C138" s="1153" t="s">
        <v>1716</v>
      </c>
      <c r="D138" s="1154" t="s">
        <v>1330</v>
      </c>
      <c r="E138" s="1058" t="str">
        <f>VLOOKUP(B138,TH.Q2!B49:E380,4,FALSE)</f>
        <v>Giảng viên khoa Ngoại ngữ</v>
      </c>
      <c r="F138" s="1136">
        <v>4.6500000000000004</v>
      </c>
      <c r="G138" s="1137"/>
      <c r="H138" s="1393">
        <f t="shared" si="9"/>
        <v>0</v>
      </c>
      <c r="I138" s="1138"/>
      <c r="J138" s="1138" t="str">
        <f>VLOOKUP(B138,'[15]Gui chi Quynh'!$B$11:$E$396,4,FALSE)</f>
        <v>A4</v>
      </c>
      <c r="K138" s="1138">
        <f t="shared" si="10"/>
        <v>0.5</v>
      </c>
      <c r="L138" s="1139">
        <v>23</v>
      </c>
      <c r="M138" s="1139">
        <f>VLOOKUP(B138,'[16]CN BC'!$H$10:$J$275,3,FALSE)</f>
        <v>23</v>
      </c>
      <c r="N138" s="1139">
        <f t="shared" si="11"/>
        <v>23</v>
      </c>
      <c r="O138" s="1140"/>
      <c r="P138" s="1141">
        <f t="shared" si="7"/>
        <v>5440500</v>
      </c>
      <c r="Q138" s="1519">
        <f t="shared" si="12"/>
        <v>2.3250000000000002</v>
      </c>
      <c r="R138" s="1606">
        <v>2340000</v>
      </c>
      <c r="S138" s="1618">
        <f t="shared" si="13"/>
        <v>5440500</v>
      </c>
      <c r="T138" s="1142">
        <f t="shared" si="14"/>
        <v>126</v>
      </c>
      <c r="U138" s="1143">
        <f>IFERROR(INDEX('[16]CN BC'!$M$10:$M$276,MATCH(B138,'[16]CN BC'!$H$10:$H$276,0)),"")</f>
        <v>0</v>
      </c>
      <c r="V138" s="1144" t="str">
        <f>VLOOKUP(B138,TH.T4!B145:AC475,28,FALSE)</f>
        <v>NN</v>
      </c>
      <c r="W138" s="1130"/>
      <c r="X138" s="1146"/>
      <c r="Y138" s="1147"/>
    </row>
    <row r="139" spans="1:35" s="1148" customFormat="1" ht="31.5" customHeight="1">
      <c r="A139" s="1132">
        <f>_xlfn.AGGREGATE(4,7,A$12:A138)+1</f>
        <v>127</v>
      </c>
      <c r="B139" s="1133" t="s">
        <v>1874</v>
      </c>
      <c r="C139" s="1153" t="s">
        <v>1717</v>
      </c>
      <c r="D139" s="1154" t="s">
        <v>1331</v>
      </c>
      <c r="E139" s="1058" t="str">
        <f>VLOOKUP(B139,TH.Q2!B50:E381,4,FALSE)</f>
        <v>Giảng viên khoa Ngoại ngữ</v>
      </c>
      <c r="F139" s="1136">
        <v>4.6500000000000004</v>
      </c>
      <c r="G139" s="1137"/>
      <c r="H139" s="1393">
        <f t="shared" si="9"/>
        <v>0</v>
      </c>
      <c r="I139" s="1138"/>
      <c r="J139" s="1138" t="str">
        <f>VLOOKUP(B139,'[15]Gui chi Quynh'!$B$11:$E$396,4,FALSE)</f>
        <v>A4</v>
      </c>
      <c r="K139" s="1138">
        <f t="shared" si="10"/>
        <v>0.5</v>
      </c>
      <c r="L139" s="1139">
        <v>23</v>
      </c>
      <c r="M139" s="1139">
        <f>VLOOKUP(B139,'[16]CN BC'!$H$10:$J$275,3,FALSE)</f>
        <v>23</v>
      </c>
      <c r="N139" s="1139">
        <f t="shared" si="11"/>
        <v>23</v>
      </c>
      <c r="O139" s="1140"/>
      <c r="P139" s="1141">
        <f t="shared" si="7"/>
        <v>5440500</v>
      </c>
      <c r="Q139" s="1519">
        <f t="shared" si="12"/>
        <v>2.3250000000000002</v>
      </c>
      <c r="R139" s="1606">
        <v>2340000</v>
      </c>
      <c r="S139" s="1618">
        <f t="shared" si="13"/>
        <v>5440500</v>
      </c>
      <c r="T139" s="1142">
        <f t="shared" si="14"/>
        <v>127</v>
      </c>
      <c r="U139" s="1143">
        <f>IFERROR(INDEX('[16]CN BC'!$M$10:$M$276,MATCH(B139,'[16]CN BC'!$H$10:$H$276,0)),"")</f>
        <v>0</v>
      </c>
      <c r="V139" s="1144" t="str">
        <f>VLOOKUP(B139,TH.T4!B146:AC476,28,FALSE)</f>
        <v>NN</v>
      </c>
      <c r="W139" s="1130"/>
      <c r="X139" s="1146"/>
      <c r="Y139" s="1147"/>
      <c r="Z139" s="1146"/>
      <c r="AA139" s="1146"/>
      <c r="AB139" s="1146"/>
      <c r="AC139" s="1146"/>
      <c r="AD139" s="1146"/>
      <c r="AE139" s="1146"/>
    </row>
    <row r="140" spans="1:35" s="1148" customFormat="1" ht="31.5" customHeight="1">
      <c r="A140" s="1132">
        <f>_xlfn.AGGREGATE(4,7,A$12:A139)+1</f>
        <v>128</v>
      </c>
      <c r="B140" s="1133" t="s">
        <v>1875</v>
      </c>
      <c r="C140" s="1153" t="s">
        <v>1718</v>
      </c>
      <c r="D140" s="1154" t="s">
        <v>1332</v>
      </c>
      <c r="E140" s="1058" t="str">
        <f>VLOOKUP(B140,TH.Q2!B51:E382,4,FALSE)</f>
        <v>Giảng viên khoa Ngoại ngữ</v>
      </c>
      <c r="F140" s="1136">
        <v>4.6500000000000004</v>
      </c>
      <c r="G140" s="1137"/>
      <c r="H140" s="1393">
        <f t="shared" si="9"/>
        <v>0</v>
      </c>
      <c r="I140" s="1138"/>
      <c r="J140" s="1138" t="str">
        <f>VLOOKUP(B140,'[15]Gui chi Quynh'!$B$11:$E$396,4,FALSE)</f>
        <v>A4</v>
      </c>
      <c r="K140" s="1138">
        <f t="shared" si="10"/>
        <v>0.5</v>
      </c>
      <c r="L140" s="1139">
        <v>23</v>
      </c>
      <c r="M140" s="1139">
        <f>VLOOKUP(B140,'[16]CN BC'!$H$10:$J$275,3,FALSE)</f>
        <v>23</v>
      </c>
      <c r="N140" s="1139">
        <f t="shared" si="11"/>
        <v>23</v>
      </c>
      <c r="O140" s="1140"/>
      <c r="P140" s="1141">
        <f t="shared" si="7"/>
        <v>5440500</v>
      </c>
      <c r="Q140" s="1519">
        <f t="shared" si="12"/>
        <v>2.3250000000000002</v>
      </c>
      <c r="R140" s="1606">
        <v>2340000</v>
      </c>
      <c r="S140" s="1618">
        <f t="shared" si="13"/>
        <v>5440500</v>
      </c>
      <c r="T140" s="1142">
        <f t="shared" si="14"/>
        <v>128</v>
      </c>
      <c r="U140" s="1143">
        <f>IFERROR(INDEX('[16]CN BC'!$M$10:$M$276,MATCH(B140,'[16]CN BC'!$H$10:$H$276,0)),"")</f>
        <v>0</v>
      </c>
      <c r="V140" s="1144" t="str">
        <f>VLOOKUP(B140,TH.T4!B147:AC477,28,FALSE)</f>
        <v>NN</v>
      </c>
      <c r="W140" s="1130"/>
      <c r="X140" s="1146"/>
      <c r="Y140" s="1147"/>
    </row>
    <row r="141" spans="1:35" s="1148" customFormat="1" ht="31.5" customHeight="1">
      <c r="A141" s="1132">
        <f>_xlfn.AGGREGATE(4,7,A$12:A140)+1</f>
        <v>129</v>
      </c>
      <c r="B141" s="1133" t="s">
        <v>1494</v>
      </c>
      <c r="C141" s="1153" t="s">
        <v>1719</v>
      </c>
      <c r="D141" s="1154" t="s">
        <v>1333</v>
      </c>
      <c r="E141" s="1058" t="str">
        <f>VLOOKUP(B141,TH.Q2!B52:E383,4,FALSE)</f>
        <v>Giảng viên khoa Ngoại ngữ</v>
      </c>
      <c r="F141" s="1160">
        <v>3.99</v>
      </c>
      <c r="G141" s="1137"/>
      <c r="H141" s="1393">
        <f t="shared" si="9"/>
        <v>0</v>
      </c>
      <c r="I141" s="1138"/>
      <c r="J141" s="1138" t="str">
        <f>VLOOKUP(B141,'[15]Gui chi Quynh'!$B$11:$E$396,4,FALSE)</f>
        <v>A3</v>
      </c>
      <c r="K141" s="1138">
        <f t="shared" si="10"/>
        <v>0.6</v>
      </c>
      <c r="L141" s="1139">
        <v>23</v>
      </c>
      <c r="M141" s="1139">
        <f>VLOOKUP(B141,'[16]CN BC'!$H$10:$J$275,3,FALSE)</f>
        <v>23</v>
      </c>
      <c r="N141" s="1139">
        <f t="shared" si="11"/>
        <v>23</v>
      </c>
      <c r="O141" s="1140"/>
      <c r="P141" s="1141">
        <f t="shared" ref="P141:P204" si="15">(((F141+H141+I141)*$P$9/L141*N141)*K141)+O141</f>
        <v>5601960</v>
      </c>
      <c r="Q141" s="1519">
        <f t="shared" si="12"/>
        <v>2.3940000000000001</v>
      </c>
      <c r="R141" s="1606">
        <v>2340000</v>
      </c>
      <c r="S141" s="1618">
        <f t="shared" si="13"/>
        <v>5601960</v>
      </c>
      <c r="T141" s="1142">
        <f t="shared" si="14"/>
        <v>129</v>
      </c>
      <c r="U141" s="1143">
        <f>IFERROR(INDEX('[16]CN BC'!$M$10:$M$276,MATCH(B141,'[16]CN BC'!$H$10:$H$276,0)),"")</f>
        <v>0</v>
      </c>
      <c r="V141" s="1144" t="str">
        <f>VLOOKUP(B141,TH.T4!B148:AC478,28,FALSE)</f>
        <v>NN</v>
      </c>
      <c r="W141" s="1130"/>
      <c r="X141" s="1146"/>
      <c r="Y141" s="1147"/>
      <c r="Z141" s="1146"/>
      <c r="AA141" s="1146"/>
      <c r="AB141" s="1146"/>
      <c r="AC141" s="1146"/>
      <c r="AD141" s="1146"/>
      <c r="AE141" s="1146"/>
    </row>
    <row r="142" spans="1:35" s="1148" customFormat="1" ht="31.5" customHeight="1">
      <c r="A142" s="1132">
        <f>_xlfn.AGGREGATE(4,7,A$12:A141)+1</f>
        <v>130</v>
      </c>
      <c r="B142" s="1133" t="s">
        <v>1495</v>
      </c>
      <c r="C142" s="1153" t="s">
        <v>1720</v>
      </c>
      <c r="D142" s="1154" t="s">
        <v>1335</v>
      </c>
      <c r="E142" s="1058" t="str">
        <f>VLOOKUP(B142,TH.Q2!B53:E384,4,FALSE)</f>
        <v>Giảng viên khoa Ngoại ngữ</v>
      </c>
      <c r="F142" s="1136">
        <v>4.9800000000000004</v>
      </c>
      <c r="G142" s="1137"/>
      <c r="H142" s="1393">
        <f t="shared" si="9"/>
        <v>0</v>
      </c>
      <c r="I142" s="1138"/>
      <c r="J142" s="1138" t="str">
        <f>VLOOKUP(B142,'[15]Gui chi Quynh'!$B$11:$E$396,4,FALSE)</f>
        <v>A4</v>
      </c>
      <c r="K142" s="1138">
        <f t="shared" si="10"/>
        <v>0.5</v>
      </c>
      <c r="L142" s="1139">
        <v>23</v>
      </c>
      <c r="M142" s="1139">
        <f>VLOOKUP(B142,'[16]CN BC'!$H$10:$J$275,3,FALSE)</f>
        <v>23</v>
      </c>
      <c r="N142" s="1139">
        <f t="shared" ref="N142:N205" si="16">IF(M142&gt;=L142,L142,IF(M142&lt;L142,M142))</f>
        <v>23</v>
      </c>
      <c r="O142" s="1140"/>
      <c r="P142" s="1141">
        <f t="shared" si="15"/>
        <v>5826600.0000000009</v>
      </c>
      <c r="Q142" s="1519">
        <f t="shared" ref="Q142:Q205" si="17">P142/R142</f>
        <v>2.4900000000000002</v>
      </c>
      <c r="R142" s="1606">
        <v>2340000</v>
      </c>
      <c r="S142" s="1618">
        <f t="shared" ref="S142:S205" si="18">Q142*R142</f>
        <v>5826600.0000000009</v>
      </c>
      <c r="T142" s="1142">
        <f t="shared" si="14"/>
        <v>130</v>
      </c>
      <c r="U142" s="1143">
        <f>IFERROR(INDEX('[16]CN BC'!$M$10:$M$276,MATCH(B142,'[16]CN BC'!$H$10:$H$276,0)),"")</f>
        <v>0</v>
      </c>
      <c r="V142" s="1144" t="str">
        <f>VLOOKUP(B142,TH.T4!B149:AC479,28,FALSE)</f>
        <v>NN</v>
      </c>
      <c r="W142" s="1130"/>
      <c r="X142" s="1146"/>
      <c r="Y142" s="1147"/>
      <c r="Z142" s="1146"/>
      <c r="AA142" s="1146"/>
      <c r="AB142" s="1146"/>
      <c r="AC142" s="1146"/>
      <c r="AD142" s="1146"/>
      <c r="AE142" s="1146"/>
    </row>
    <row r="143" spans="1:35" s="1148" customFormat="1" ht="31.5" customHeight="1">
      <c r="A143" s="1132">
        <f>_xlfn.AGGREGATE(4,7,A$12:A142)+1</f>
        <v>131</v>
      </c>
      <c r="B143" s="1133" t="s">
        <v>1876</v>
      </c>
      <c r="C143" s="1153" t="s">
        <v>1721</v>
      </c>
      <c r="D143" s="1154" t="s">
        <v>504</v>
      </c>
      <c r="E143" s="1058" t="str">
        <f>VLOOKUP(B143,TH.Q2!B54:E385,4,FALSE)</f>
        <v>Giảng viên khoa Ngoại ngữ</v>
      </c>
      <c r="F143" s="1160">
        <v>3.99</v>
      </c>
      <c r="G143" s="1137"/>
      <c r="H143" s="1393">
        <f t="shared" ref="H143:H206" si="19">ROUND(F143*G143,3)</f>
        <v>0</v>
      </c>
      <c r="I143" s="1138"/>
      <c r="J143" s="1138" t="str">
        <f>VLOOKUP(B143,'[15]Gui chi Quynh'!$B$11:$E$396,4,FALSE)</f>
        <v>A4</v>
      </c>
      <c r="K143" s="1138">
        <f t="shared" ref="K143:K206" si="20">IF(J143="A1",0.8,IF(J143="A2",0.7,IF(J143="A3",0.6,IF(J143="A4",0.5,IF(J143="B1",0.35,IF(J143="B2",0.25,IF(J143="C1",0.15,IF(J143="C2",0.1,0))))))))</f>
        <v>0.5</v>
      </c>
      <c r="L143" s="1139">
        <v>23</v>
      </c>
      <c r="M143" s="1139">
        <f>VLOOKUP(B143,'[16]CN BC'!$H$10:$J$275,3,FALSE)</f>
        <v>23</v>
      </c>
      <c r="N143" s="1139">
        <f t="shared" si="16"/>
        <v>23</v>
      </c>
      <c r="O143" s="1140"/>
      <c r="P143" s="1141">
        <f t="shared" si="15"/>
        <v>4668300</v>
      </c>
      <c r="Q143" s="1519">
        <f t="shared" si="17"/>
        <v>1.9950000000000001</v>
      </c>
      <c r="R143" s="1606">
        <v>2340000</v>
      </c>
      <c r="S143" s="1618">
        <f t="shared" si="18"/>
        <v>4668300</v>
      </c>
      <c r="T143" s="1142">
        <f t="shared" si="14"/>
        <v>131</v>
      </c>
      <c r="U143" s="1143">
        <f>IFERROR(INDEX('[16]CN BC'!$M$10:$M$276,MATCH(B143,'[16]CN BC'!$H$10:$H$276,0)),"")</f>
        <v>0</v>
      </c>
      <c r="V143" s="1144" t="str">
        <f>VLOOKUP(B143,TH.T4!B150:AC480,28,FALSE)</f>
        <v>NN</v>
      </c>
      <c r="W143" s="1130"/>
      <c r="X143" s="1146"/>
      <c r="Y143" s="1147"/>
      <c r="Z143" s="1146"/>
      <c r="AA143" s="1146"/>
      <c r="AB143" s="1146"/>
      <c r="AC143" s="1146"/>
      <c r="AD143" s="1146"/>
      <c r="AE143" s="1146"/>
    </row>
    <row r="144" spans="1:35" s="1148" customFormat="1" ht="31.5" customHeight="1">
      <c r="A144" s="1132">
        <f>_xlfn.AGGREGATE(4,7,A$12:A143)+1</f>
        <v>132</v>
      </c>
      <c r="B144" s="1133" t="s">
        <v>1496</v>
      </c>
      <c r="C144" s="1153" t="s">
        <v>1722</v>
      </c>
      <c r="D144" s="1150" t="s">
        <v>1589</v>
      </c>
      <c r="E144" s="1058" t="str">
        <f>VLOOKUP(B144,TH.Q2!B55:E386,4,FALSE)</f>
        <v>Giảng viên khoa Ngoại ngữ</v>
      </c>
      <c r="F144" s="1160">
        <v>3.33</v>
      </c>
      <c r="G144" s="1137"/>
      <c r="H144" s="1393">
        <f t="shared" si="19"/>
        <v>0</v>
      </c>
      <c r="I144" s="1138">
        <v>0.45</v>
      </c>
      <c r="J144" s="1138" t="str">
        <f>VLOOKUP(B144,'[15]Gui chi Quynh'!$B$11:$E$396,4,FALSE)</f>
        <v>A2</v>
      </c>
      <c r="K144" s="1138">
        <f t="shared" si="20"/>
        <v>0.7</v>
      </c>
      <c r="L144" s="1139">
        <v>23</v>
      </c>
      <c r="M144" s="1139">
        <f>VLOOKUP(B144,'[16]CN BC'!$H$10:$J$275,3,FALSE)</f>
        <v>23</v>
      </c>
      <c r="N144" s="1139">
        <f t="shared" si="16"/>
        <v>23</v>
      </c>
      <c r="O144" s="1140"/>
      <c r="P144" s="1141">
        <f t="shared" si="15"/>
        <v>6191640</v>
      </c>
      <c r="Q144" s="1519">
        <f t="shared" si="17"/>
        <v>2.6459999999999999</v>
      </c>
      <c r="R144" s="1606">
        <v>2340000</v>
      </c>
      <c r="S144" s="1618">
        <f t="shared" si="18"/>
        <v>6191640</v>
      </c>
      <c r="T144" s="1142">
        <f t="shared" si="14"/>
        <v>132</v>
      </c>
      <c r="U144" s="1143">
        <f>IFERROR(INDEX('[16]CN BC'!$M$10:$M$276,MATCH(B144,'[16]CN BC'!$H$10:$H$276,0)),"")</f>
        <v>0</v>
      </c>
      <c r="V144" s="1144" t="str">
        <f>VLOOKUP(B144,TH.T4!B151:AC481,28,FALSE)</f>
        <v>NN</v>
      </c>
      <c r="W144" s="1130"/>
      <c r="X144" s="1146"/>
      <c r="Y144" s="1147"/>
      <c r="Z144" s="1146"/>
      <c r="AA144" s="1146"/>
      <c r="AB144" s="1146"/>
      <c r="AC144" s="1146"/>
      <c r="AD144" s="1146"/>
      <c r="AE144" s="1146"/>
    </row>
    <row r="145" spans="1:31" s="1148" customFormat="1" ht="31.5" customHeight="1">
      <c r="A145" s="1132">
        <f>_xlfn.AGGREGATE(4,7,A$12:A144)+1</f>
        <v>133</v>
      </c>
      <c r="B145" s="1133" t="s">
        <v>1497</v>
      </c>
      <c r="C145" s="1153" t="s">
        <v>1723</v>
      </c>
      <c r="D145" s="1150" t="s">
        <v>1590</v>
      </c>
      <c r="E145" s="1058" t="str">
        <f>VLOOKUP(B145,TH.Q2!B56:E387,4,FALSE)</f>
        <v>Giảng viên khoa Ngoại ngữ</v>
      </c>
      <c r="F145" s="1160">
        <v>3</v>
      </c>
      <c r="G145" s="1137"/>
      <c r="H145" s="1393">
        <f t="shared" si="19"/>
        <v>0</v>
      </c>
      <c r="I145" s="1138"/>
      <c r="J145" s="1138" t="str">
        <f>VLOOKUP(B145,'[15]Gui chi Quynh'!$B$11:$E$396,4,FALSE)</f>
        <v>A4</v>
      </c>
      <c r="K145" s="1138">
        <f t="shared" si="20"/>
        <v>0.5</v>
      </c>
      <c r="L145" s="1139">
        <v>23</v>
      </c>
      <c r="M145" s="1139">
        <f>VLOOKUP(B145,'[16]CN BC'!$H$10:$J$275,3,FALSE)</f>
        <v>23</v>
      </c>
      <c r="N145" s="1139">
        <f t="shared" si="16"/>
        <v>23</v>
      </c>
      <c r="O145" s="1140"/>
      <c r="P145" s="1141">
        <f t="shared" si="15"/>
        <v>3510000</v>
      </c>
      <c r="Q145" s="1519">
        <f t="shared" si="17"/>
        <v>1.5</v>
      </c>
      <c r="R145" s="1606">
        <v>2340000</v>
      </c>
      <c r="S145" s="1618">
        <f t="shared" si="18"/>
        <v>3510000</v>
      </c>
      <c r="T145" s="1142">
        <f t="shared" si="14"/>
        <v>133</v>
      </c>
      <c r="U145" s="1143">
        <f>IFERROR(INDEX('[16]CN BC'!$M$10:$M$276,MATCH(B145,'[16]CN BC'!$H$10:$H$276,0)),"")</f>
        <v>0</v>
      </c>
      <c r="V145" s="1144" t="str">
        <f>VLOOKUP(B145,TH.T4!B152:AC482,28,FALSE)</f>
        <v>NN</v>
      </c>
      <c r="W145" s="1130"/>
      <c r="X145" s="1146"/>
      <c r="Y145" s="1147"/>
      <c r="Z145" s="1146"/>
      <c r="AA145" s="1146"/>
      <c r="AB145" s="1146"/>
      <c r="AC145" s="1146"/>
      <c r="AD145" s="1146"/>
      <c r="AE145" s="1146"/>
    </row>
    <row r="146" spans="1:31" s="1148" customFormat="1" ht="31.5" customHeight="1">
      <c r="A146" s="1132">
        <f>_xlfn.AGGREGATE(4,7,A$12:A145)+1</f>
        <v>134</v>
      </c>
      <c r="B146" s="1133" t="s">
        <v>1929</v>
      </c>
      <c r="C146" s="1153" t="s">
        <v>1964</v>
      </c>
      <c r="D146" s="1188" t="s">
        <v>1932</v>
      </c>
      <c r="E146" s="1058" t="str">
        <f>VLOOKUP(B146,TH.Q2!B57:E388,4,FALSE)</f>
        <v>Giảng viên khoa Ngoại ngữ</v>
      </c>
      <c r="F146" s="1136">
        <v>2.67</v>
      </c>
      <c r="G146" s="1137"/>
      <c r="H146" s="1393">
        <f t="shared" si="19"/>
        <v>0</v>
      </c>
      <c r="I146" s="1138"/>
      <c r="J146" s="1138" t="str">
        <f>VLOOKUP(B146,'[15]Gui chi Quynh'!$B$11:$E$396,4,FALSE)</f>
        <v>A4</v>
      </c>
      <c r="K146" s="1138">
        <f t="shared" si="20"/>
        <v>0.5</v>
      </c>
      <c r="L146" s="1139">
        <v>23</v>
      </c>
      <c r="M146" s="1139">
        <f>VLOOKUP(B146,'[16]CN BC'!$H$10:$J$275,3,FALSE)</f>
        <v>23</v>
      </c>
      <c r="N146" s="1139">
        <f t="shared" si="16"/>
        <v>23</v>
      </c>
      <c r="O146" s="1140"/>
      <c r="P146" s="1141">
        <f t="shared" si="15"/>
        <v>3123900</v>
      </c>
      <c r="Q146" s="1519">
        <f t="shared" si="17"/>
        <v>1.335</v>
      </c>
      <c r="R146" s="1606">
        <v>2340000</v>
      </c>
      <c r="S146" s="1618">
        <f t="shared" si="18"/>
        <v>3123900</v>
      </c>
      <c r="T146" s="1142">
        <f t="shared" si="14"/>
        <v>134</v>
      </c>
      <c r="U146" s="1143">
        <f>IFERROR(INDEX('[16]CN BC'!$M$10:$M$276,MATCH(B146,'[16]CN BC'!$H$10:$H$276,0)),"")</f>
        <v>0</v>
      </c>
      <c r="V146" s="1144" t="str">
        <f>VLOOKUP(B146,TH.T4!B153:AC483,28,FALSE)</f>
        <v>NN</v>
      </c>
      <c r="W146" s="1130"/>
      <c r="X146" s="1146"/>
      <c r="Y146" s="1147"/>
      <c r="Z146" s="1146"/>
      <c r="AA146" s="1146"/>
      <c r="AB146" s="1146"/>
      <c r="AC146" s="1146"/>
      <c r="AD146" s="1146"/>
      <c r="AE146" s="1146"/>
    </row>
    <row r="147" spans="1:31" s="1148" customFormat="1" ht="28.5" customHeight="1">
      <c r="A147" s="1132">
        <f>_xlfn.AGGREGATE(4,7,A$12:A146)+1</f>
        <v>135</v>
      </c>
      <c r="B147" s="1133" t="s">
        <v>1498</v>
      </c>
      <c r="C147" s="1153" t="s">
        <v>1724</v>
      </c>
      <c r="D147" s="1150" t="s">
        <v>1591</v>
      </c>
      <c r="E147" s="1058" t="str">
        <f>VLOOKUP(B147,TH.Q2!B58:E389,4,FALSE)</f>
        <v>Giảng viên khoa Ngoại ngữ</v>
      </c>
      <c r="F147" s="1160">
        <v>3</v>
      </c>
      <c r="G147" s="1137"/>
      <c r="H147" s="1393">
        <f t="shared" si="19"/>
        <v>0</v>
      </c>
      <c r="I147" s="1138"/>
      <c r="J147" s="1138" t="str">
        <f>VLOOKUP(B147,'[15]Gui chi Quynh'!$B$11:$E$396,4,FALSE)</f>
        <v>A3</v>
      </c>
      <c r="K147" s="1138">
        <f t="shared" si="20"/>
        <v>0.6</v>
      </c>
      <c r="L147" s="1139">
        <v>23</v>
      </c>
      <c r="M147" s="1139">
        <f>VLOOKUP(B147,'[16]CN BC'!$H$10:$J$275,3,FALSE)</f>
        <v>23</v>
      </c>
      <c r="N147" s="1139">
        <f t="shared" si="16"/>
        <v>23</v>
      </c>
      <c r="O147" s="1140"/>
      <c r="P147" s="1141">
        <f t="shared" si="15"/>
        <v>4212000</v>
      </c>
      <c r="Q147" s="1519">
        <f t="shared" si="17"/>
        <v>1.8</v>
      </c>
      <c r="R147" s="1606">
        <v>2340000</v>
      </c>
      <c r="S147" s="1618">
        <f t="shared" si="18"/>
        <v>4212000</v>
      </c>
      <c r="T147" s="1142">
        <f t="shared" si="14"/>
        <v>135</v>
      </c>
      <c r="U147" s="1143">
        <f>IFERROR(INDEX('[16]CN BC'!$M$10:$M$276,MATCH(B147,'[16]CN BC'!$H$10:$H$276,0)),"")</f>
        <v>0</v>
      </c>
      <c r="V147" s="1144" t="str">
        <f>VLOOKUP(B147,TH.T4!B154:AC484,28,FALSE)</f>
        <v>NN</v>
      </c>
      <c r="W147" s="1130"/>
      <c r="X147" s="1146"/>
      <c r="Y147" s="1158"/>
    </row>
    <row r="148" spans="1:31" s="1148" customFormat="1" ht="43.5" customHeight="1">
      <c r="A148" s="1132">
        <f>_xlfn.AGGREGATE(4,7,A$12:A147)+1</f>
        <v>136</v>
      </c>
      <c r="B148" s="1133" t="s">
        <v>1925</v>
      </c>
      <c r="C148" s="1153" t="s">
        <v>1965</v>
      </c>
      <c r="D148" s="1213" t="s">
        <v>1930</v>
      </c>
      <c r="E148" s="1058" t="str">
        <f>VLOOKUP(B148,TH.Q2!B59:E390,4,FALSE)</f>
        <v>Giảng viên khoa Ngoại ngữ</v>
      </c>
      <c r="F148" s="1136">
        <v>2.67</v>
      </c>
      <c r="G148" s="1137"/>
      <c r="H148" s="1393">
        <f t="shared" si="19"/>
        <v>0</v>
      </c>
      <c r="I148" s="1138"/>
      <c r="J148" s="1138" t="str">
        <f>VLOOKUP(B148,'[15]Gui chi Quynh'!$B$11:$E$396,4,FALSE)</f>
        <v>A4</v>
      </c>
      <c r="K148" s="1138">
        <f t="shared" si="20"/>
        <v>0.5</v>
      </c>
      <c r="L148" s="1139">
        <v>23</v>
      </c>
      <c r="M148" s="1139">
        <f>VLOOKUP(B148,'[16]CN BC'!$H$10:$J$275,3,FALSE)</f>
        <v>13</v>
      </c>
      <c r="N148" s="1139">
        <f t="shared" si="16"/>
        <v>13</v>
      </c>
      <c r="O148" s="1140"/>
      <c r="P148" s="1141">
        <f t="shared" si="15"/>
        <v>1765682.6086956521</v>
      </c>
      <c r="Q148" s="1519">
        <f t="shared" si="17"/>
        <v>0.75456521739130433</v>
      </c>
      <c r="R148" s="1606">
        <v>2340000</v>
      </c>
      <c r="S148" s="1618">
        <f t="shared" si="18"/>
        <v>1765682.6086956521</v>
      </c>
      <c r="T148" s="1142">
        <f t="shared" si="14"/>
        <v>136</v>
      </c>
      <c r="U148" s="1143" t="str">
        <f>IFERROR(INDEX('[16]CN BC'!$M$10:$M$276,MATCH(B148,'[16]CN BC'!$H$10:$H$276,0)),"")</f>
        <v>NGhỉ bệnh hưởng chế độ BHXH từ ngày 2 đến 16/10/2024</v>
      </c>
      <c r="V148" s="1144" t="str">
        <f>VLOOKUP(B148,TH.T4!B155:AC485,28,FALSE)</f>
        <v>NN</v>
      </c>
      <c r="W148" s="1130"/>
      <c r="X148" s="1146"/>
      <c r="Y148" s="1158"/>
    </row>
    <row r="149" spans="1:31" s="1148" customFormat="1" ht="30.75" customHeight="1">
      <c r="A149" s="1132">
        <f>_xlfn.AGGREGATE(4,7,A$12:A148)+1</f>
        <v>137</v>
      </c>
      <c r="B149" s="1133" t="s">
        <v>2018</v>
      </c>
      <c r="C149" s="1153"/>
      <c r="D149" s="1213"/>
      <c r="E149" s="383" t="str">
        <f>VLOOKUP(B149,TH.Q2!B60:E391,4,FALSE)</f>
        <v>Giảng viên khoa Ngoại ngữ</v>
      </c>
      <c r="F149" s="1136">
        <v>1.9890000000000001</v>
      </c>
      <c r="G149" s="1137"/>
      <c r="H149" s="1400">
        <f t="shared" si="19"/>
        <v>0</v>
      </c>
      <c r="I149" s="1138"/>
      <c r="J149" s="1138" t="str">
        <f>VLOOKUP(B149,'[15]Gui chi Quynh'!$B$11:$E$396,4,FALSE)</f>
        <v>A4</v>
      </c>
      <c r="K149" s="1138">
        <f t="shared" si="20"/>
        <v>0.5</v>
      </c>
      <c r="L149" s="1139">
        <v>23</v>
      </c>
      <c r="M149" s="1139">
        <f>VLOOKUP(B149,'[16]CN BC'!$H$10:$J$275,3,FALSE)</f>
        <v>23</v>
      </c>
      <c r="N149" s="1139">
        <f t="shared" si="16"/>
        <v>23</v>
      </c>
      <c r="O149" s="1155"/>
      <c r="P149" s="1141">
        <f t="shared" si="15"/>
        <v>2327130</v>
      </c>
      <c r="Q149" s="1519">
        <f t="shared" si="17"/>
        <v>0.99450000000000005</v>
      </c>
      <c r="R149" s="1606">
        <v>2340000</v>
      </c>
      <c r="S149" s="1618">
        <f t="shared" si="18"/>
        <v>2327130</v>
      </c>
      <c r="T149" s="1142">
        <f t="shared" si="14"/>
        <v>137</v>
      </c>
      <c r="U149" s="1143">
        <f>IFERROR(INDEX('[16]CN BC'!$M$10:$M$276,MATCH(B149,'[16]CN BC'!$H$10:$H$276,0)),"")</f>
        <v>0</v>
      </c>
      <c r="V149" s="1189" t="str">
        <f>VLOOKUP(B149,TH.T4!B156:AC486,28,FALSE)</f>
        <v>NN</v>
      </c>
      <c r="W149" s="1171"/>
      <c r="Y149" s="1158"/>
    </row>
    <row r="150" spans="1:31" s="1148" customFormat="1" ht="30.75" customHeight="1">
      <c r="A150" s="1132">
        <f>_xlfn.AGGREGATE(4,7,A$12:A149)+1</f>
        <v>138</v>
      </c>
      <c r="B150" s="1133" t="s">
        <v>2024</v>
      </c>
      <c r="C150" s="1153"/>
      <c r="D150" s="1213"/>
      <c r="E150" s="1058" t="str">
        <f>VLOOKUP(B150,TH.Q2!B61:E392,4,FALSE)</f>
        <v>Giảng viên khoa Ngoại ngữ</v>
      </c>
      <c r="F150" s="1136">
        <v>1.9890000000000001</v>
      </c>
      <c r="G150" s="1137"/>
      <c r="H150" s="1393">
        <f t="shared" si="19"/>
        <v>0</v>
      </c>
      <c r="I150" s="1138"/>
      <c r="J150" s="1138" t="str">
        <f>VLOOKUP(B150,'[15]Gui chi Quynh'!$B$11:$E$396,4,FALSE)</f>
        <v>A4</v>
      </c>
      <c r="K150" s="1138">
        <f t="shared" si="20"/>
        <v>0.5</v>
      </c>
      <c r="L150" s="1139">
        <v>23</v>
      </c>
      <c r="M150" s="1139">
        <f>VLOOKUP(B150,'[16]CN BC'!$H$10:$J$275,3,FALSE)</f>
        <v>23</v>
      </c>
      <c r="N150" s="1139">
        <f t="shared" si="16"/>
        <v>23</v>
      </c>
      <c r="O150" s="1140"/>
      <c r="P150" s="1141">
        <f t="shared" si="15"/>
        <v>2327130</v>
      </c>
      <c r="Q150" s="1519">
        <f t="shared" si="17"/>
        <v>0.99450000000000005</v>
      </c>
      <c r="R150" s="1606">
        <v>2340000</v>
      </c>
      <c r="S150" s="1618">
        <f t="shared" si="18"/>
        <v>2327130</v>
      </c>
      <c r="T150" s="1142">
        <f t="shared" si="14"/>
        <v>138</v>
      </c>
      <c r="U150" s="1143">
        <f>IFERROR(INDEX('[16]CN BC'!$M$10:$M$276,MATCH(B150,'[16]CN BC'!$H$10:$H$276,0)),"")</f>
        <v>0</v>
      </c>
      <c r="V150" s="1144" t="str">
        <f>VLOOKUP(B150,TH.T4!B157:AC487,28,FALSE)</f>
        <v>NN</v>
      </c>
      <c r="W150" s="1171"/>
      <c r="Y150" s="1158"/>
    </row>
    <row r="151" spans="1:31" s="1148" customFormat="1" ht="30.75" customHeight="1">
      <c r="A151" s="1132">
        <f>_xlfn.AGGREGATE(4,7,A$12:A150)+1</f>
        <v>139</v>
      </c>
      <c r="B151" s="1133" t="s">
        <v>2006</v>
      </c>
      <c r="C151" s="1153"/>
      <c r="D151" s="1213"/>
      <c r="E151" s="1058" t="str">
        <f>VLOOKUP(B151,TH.Q2!B62:E393,4,FALSE)</f>
        <v>Giảng viên khoa Ngoại ngữ</v>
      </c>
      <c r="F151" s="1136">
        <v>2.34</v>
      </c>
      <c r="G151" s="1137"/>
      <c r="H151" s="1393">
        <f t="shared" si="19"/>
        <v>0</v>
      </c>
      <c r="I151" s="1138"/>
      <c r="J151" s="1138" t="str">
        <f>VLOOKUP(B151,'[15]Gui chi Quynh'!$B$11:$E$396,4,FALSE)</f>
        <v>A3</v>
      </c>
      <c r="K151" s="1138">
        <f t="shared" si="20"/>
        <v>0.6</v>
      </c>
      <c r="L151" s="1139">
        <v>23</v>
      </c>
      <c r="M151" s="1139">
        <f>VLOOKUP(B151,'[16]CN BC'!$H$10:$J$275,3,FALSE)</f>
        <v>23</v>
      </c>
      <c r="N151" s="1139">
        <f t="shared" si="16"/>
        <v>23</v>
      </c>
      <c r="O151" s="1140"/>
      <c r="P151" s="1141">
        <f t="shared" si="15"/>
        <v>3285360</v>
      </c>
      <c r="Q151" s="1519">
        <f t="shared" si="17"/>
        <v>1.4039999999999999</v>
      </c>
      <c r="R151" s="1606">
        <v>2340000</v>
      </c>
      <c r="S151" s="1618">
        <f t="shared" si="18"/>
        <v>3285360</v>
      </c>
      <c r="T151" s="1142">
        <f t="shared" si="14"/>
        <v>139</v>
      </c>
      <c r="U151" s="1143">
        <f>IFERROR(INDEX('[16]CN BC'!$M$10:$M$276,MATCH(B151,'[16]CN BC'!$H$10:$H$276,0)),"")</f>
        <v>0</v>
      </c>
      <c r="V151" s="1144" t="str">
        <f>VLOOKUP(B151,TH.T4!B158:AC488,28,FALSE)</f>
        <v>NN</v>
      </c>
      <c r="W151" s="1171"/>
      <c r="Y151" s="1158"/>
    </row>
    <row r="152" spans="1:31" s="1148" customFormat="1" ht="27.75" customHeight="1">
      <c r="A152" s="1132">
        <f>_xlfn.AGGREGATE(4,7,A$12:A151)+1</f>
        <v>140</v>
      </c>
      <c r="B152" s="1133" t="s">
        <v>2345</v>
      </c>
      <c r="C152" s="1153"/>
      <c r="D152" s="1213"/>
      <c r="E152" s="383" t="str">
        <f>VLOOKUP(B152,TH.Q2!B63:E394,4,FALSE)</f>
        <v>Giảng viên khoa Ngoại ngữ</v>
      </c>
      <c r="F152" s="1136">
        <v>1.9890000000000001</v>
      </c>
      <c r="G152" s="1137"/>
      <c r="H152" s="1393">
        <f t="shared" si="19"/>
        <v>0</v>
      </c>
      <c r="I152" s="1138"/>
      <c r="J152" s="1138" t="str">
        <f>VLOOKUP(B152,'[15]Gui chi Quynh'!$B$11:$E$396,4,FALSE)</f>
        <v>A4</v>
      </c>
      <c r="K152" s="1138">
        <f t="shared" si="20"/>
        <v>0.5</v>
      </c>
      <c r="L152" s="1139">
        <v>23</v>
      </c>
      <c r="M152" s="1139">
        <f>VLOOKUP(B152,'[16]CN BC'!$H$10:$J$275,3,FALSE)</f>
        <v>23</v>
      </c>
      <c r="N152" s="1139">
        <f t="shared" si="16"/>
        <v>23</v>
      </c>
      <c r="O152" s="1155"/>
      <c r="P152" s="1141">
        <f>(((F152+H153+I152)*$P$9/L152*N152)*K152)+O152</f>
        <v>2327130</v>
      </c>
      <c r="Q152" s="1519">
        <f t="shared" si="17"/>
        <v>0.99450000000000005</v>
      </c>
      <c r="R152" s="1606">
        <v>2340000</v>
      </c>
      <c r="S152" s="1618">
        <f t="shared" si="18"/>
        <v>2327130</v>
      </c>
      <c r="T152" s="1142"/>
      <c r="U152" s="1143">
        <f>IFERROR(INDEX('[16]CN BC'!$M$10:$M$276,MATCH(B152,'[16]CN BC'!$H$10:$H$276,0)),"")</f>
        <v>0</v>
      </c>
      <c r="V152" s="1189"/>
      <c r="W152" s="1171"/>
      <c r="Y152" s="1158"/>
    </row>
    <row r="153" spans="1:31" s="1148" customFormat="1" ht="30.75" customHeight="1">
      <c r="A153" s="1132">
        <f>_xlfn.AGGREGATE(4,7,A$12:A152)+1</f>
        <v>141</v>
      </c>
      <c r="B153" s="1590" t="s">
        <v>2393</v>
      </c>
      <c r="C153" s="1591"/>
      <c r="D153" s="1592"/>
      <c r="E153" s="490" t="s">
        <v>2374</v>
      </c>
      <c r="F153" s="1593">
        <v>1.9890000000000001</v>
      </c>
      <c r="G153" s="1204"/>
      <c r="H153" s="1398">
        <f t="shared" si="19"/>
        <v>0</v>
      </c>
      <c r="I153" s="1205"/>
      <c r="J153" s="1205" t="str">
        <f>VLOOKUP(B153,'[15]Gui chi Quynh'!$B$11:$E$396,4,FALSE)</f>
        <v>A4</v>
      </c>
      <c r="K153" s="1205">
        <f t="shared" si="20"/>
        <v>0.5</v>
      </c>
      <c r="L153" s="1338">
        <v>23</v>
      </c>
      <c r="M153" s="1338">
        <f>VLOOKUP(B153,'[16]CN BC'!$H$10:$J$275,3,FALSE)</f>
        <v>23</v>
      </c>
      <c r="N153" s="1338">
        <f t="shared" si="16"/>
        <v>23</v>
      </c>
      <c r="O153" s="1206"/>
      <c r="P153" s="1339">
        <f>(((F153+H154+I153)*$P$9/L153*N153)*K153)+O153</f>
        <v>2327130</v>
      </c>
      <c r="Q153" s="1568">
        <f t="shared" si="17"/>
        <v>0.99450000000000005</v>
      </c>
      <c r="R153" s="1617">
        <v>2340000</v>
      </c>
      <c r="S153" s="1619">
        <f t="shared" si="18"/>
        <v>2327130</v>
      </c>
      <c r="T153" s="1207"/>
      <c r="U153" s="1340" t="s">
        <v>2395</v>
      </c>
      <c r="V153" s="1189"/>
      <c r="W153" s="1171"/>
      <c r="Y153" s="1158"/>
    </row>
    <row r="154" spans="1:31" s="1148" customFormat="1" ht="30" customHeight="1">
      <c r="A154" s="1132">
        <f>_xlfn.AGGREGATE(4,7,A$12:A153)+1</f>
        <v>142</v>
      </c>
      <c r="B154" s="1133" t="s">
        <v>1499</v>
      </c>
      <c r="C154" s="1153" t="s">
        <v>1725</v>
      </c>
      <c r="D154" s="1154" t="s">
        <v>378</v>
      </c>
      <c r="E154" s="1058" t="str">
        <f>VLOOKUP(B154,TH.Q2!B64:E395,4,FALSE)</f>
        <v>Phó Trưởng khoa LLCT</v>
      </c>
      <c r="F154" s="1160">
        <v>3.99</v>
      </c>
      <c r="G154" s="1222"/>
      <c r="H154" s="1393">
        <f t="shared" si="19"/>
        <v>0</v>
      </c>
      <c r="I154" s="1138">
        <v>0.35</v>
      </c>
      <c r="J154" s="1138" t="str">
        <f>VLOOKUP(B154,'[15]Gui chi Quynh'!$B$11:$E$396,4,FALSE)</f>
        <v>A3</v>
      </c>
      <c r="K154" s="1138">
        <f t="shared" si="20"/>
        <v>0.6</v>
      </c>
      <c r="L154" s="1139">
        <v>23</v>
      </c>
      <c r="M154" s="1139">
        <f>VLOOKUP(B154,'[16]CN BC'!$H$10:$J$275,3,FALSE)</f>
        <v>23</v>
      </c>
      <c r="N154" s="1139">
        <f t="shared" si="16"/>
        <v>23</v>
      </c>
      <c r="O154" s="1140"/>
      <c r="P154" s="1141">
        <f t="shared" si="15"/>
        <v>6093360</v>
      </c>
      <c r="Q154" s="1519">
        <f t="shared" si="17"/>
        <v>2.6040000000000001</v>
      </c>
      <c r="R154" s="1606">
        <v>2340000</v>
      </c>
      <c r="S154" s="1618">
        <f t="shared" si="18"/>
        <v>6093360</v>
      </c>
      <c r="T154" s="1142">
        <f t="shared" ref="T154:T217" si="21">A154</f>
        <v>142</v>
      </c>
      <c r="U154" s="1143">
        <f>IFERROR(INDEX('[16]CN BC'!$M$10:$M$276,MATCH(B154,'[16]CN BC'!$H$10:$H$276,0)),"")</f>
        <v>0</v>
      </c>
      <c r="V154" s="1144" t="str">
        <f>VLOOKUP(B154,TH.T4!B159:AC489,28,FALSE)</f>
        <v>LLCT</v>
      </c>
      <c r="W154" s="1130"/>
      <c r="X154" s="1146"/>
      <c r="Y154" s="1158"/>
    </row>
    <row r="155" spans="1:31" s="1148" customFormat="1" ht="28.5" customHeight="1">
      <c r="A155" s="1132">
        <f>_xlfn.AGGREGATE(4,7,A$12:A154)+1</f>
        <v>143</v>
      </c>
      <c r="B155" s="1133" t="s">
        <v>843</v>
      </c>
      <c r="C155" s="1153" t="s">
        <v>1726</v>
      </c>
      <c r="D155" s="1154" t="s">
        <v>1316</v>
      </c>
      <c r="E155" s="383" t="str">
        <f>VLOOKUP(B155,TH.Q2!B65:E396,4,FALSE)</f>
        <v>Phó Trưởng khoa LLCT</v>
      </c>
      <c r="F155" s="1160">
        <v>4.32</v>
      </c>
      <c r="G155" s="1137"/>
      <c r="H155" s="1400">
        <f t="shared" si="19"/>
        <v>0</v>
      </c>
      <c r="I155" s="1138">
        <v>0.45</v>
      </c>
      <c r="J155" s="1138" t="str">
        <f>VLOOKUP(B155,'[15]Gui chi Quynh'!$B$11:$E$396,4,FALSE)</f>
        <v>A2</v>
      </c>
      <c r="K155" s="1138">
        <f t="shared" si="20"/>
        <v>0.7</v>
      </c>
      <c r="L155" s="1139">
        <v>23</v>
      </c>
      <c r="M155" s="1139">
        <f>VLOOKUP(B155,'[16]CN BC'!$H$10:$J$275,3,FALSE)</f>
        <v>23</v>
      </c>
      <c r="N155" s="1139">
        <f t="shared" si="16"/>
        <v>23</v>
      </c>
      <c r="O155" s="1155"/>
      <c r="P155" s="1141">
        <f t="shared" si="15"/>
        <v>7813260.0000000009</v>
      </c>
      <c r="Q155" s="1519">
        <f t="shared" si="17"/>
        <v>3.3390000000000004</v>
      </c>
      <c r="R155" s="1606">
        <v>2340000</v>
      </c>
      <c r="S155" s="1618">
        <f t="shared" si="18"/>
        <v>7813260.0000000009</v>
      </c>
      <c r="T155" s="1142">
        <f t="shared" si="21"/>
        <v>143</v>
      </c>
      <c r="U155" s="1143">
        <f>IFERROR(INDEX('[16]CN BC'!$M$10:$M$276,MATCH(B155,'[16]CN BC'!$H$10:$H$276,0)),"")</f>
        <v>0</v>
      </c>
      <c r="V155" s="1189" t="str">
        <f>VLOOKUP(B155,TH.T4!B160:AC490,28,FALSE)</f>
        <v>LLCT</v>
      </c>
      <c r="W155" s="1171"/>
      <c r="Y155" s="1158"/>
    </row>
    <row r="156" spans="1:31" s="1148" customFormat="1" ht="28.5" customHeight="1">
      <c r="A156" s="1132">
        <f>_xlfn.AGGREGATE(4,7,A$12:A155)+1</f>
        <v>144</v>
      </c>
      <c r="B156" s="1133" t="s">
        <v>846</v>
      </c>
      <c r="C156" s="1153" t="s">
        <v>1727</v>
      </c>
      <c r="D156" s="1154" t="s">
        <v>1317</v>
      </c>
      <c r="E156" s="383" t="str">
        <f>VLOOKUP(B156,TH.Q2!B66:E397,4,FALSE)</f>
        <v>Trưởng BM khoa LLCT</v>
      </c>
      <c r="F156" s="1160">
        <v>4.32</v>
      </c>
      <c r="G156" s="1137"/>
      <c r="H156" s="1400">
        <f t="shared" si="19"/>
        <v>0</v>
      </c>
      <c r="I156" s="1138">
        <v>0.25</v>
      </c>
      <c r="J156" s="1138" t="str">
        <f>VLOOKUP(B156,'[15]Gui chi Quynh'!$B$11:$E$396,4,FALSE)</f>
        <v>A3</v>
      </c>
      <c r="K156" s="1138">
        <f t="shared" si="20"/>
        <v>0.6</v>
      </c>
      <c r="L156" s="1139">
        <v>23</v>
      </c>
      <c r="M156" s="1139">
        <f>VLOOKUP(B156,'[16]CN BC'!$H$10:$J$275,3,FALSE)</f>
        <v>23</v>
      </c>
      <c r="N156" s="1139">
        <f t="shared" si="16"/>
        <v>23</v>
      </c>
      <c r="O156" s="1155"/>
      <c r="P156" s="1141">
        <f t="shared" si="15"/>
        <v>6416280</v>
      </c>
      <c r="Q156" s="1519">
        <f t="shared" si="17"/>
        <v>2.742</v>
      </c>
      <c r="R156" s="1606">
        <v>2340000</v>
      </c>
      <c r="S156" s="1618">
        <f t="shared" si="18"/>
        <v>6416280</v>
      </c>
      <c r="T156" s="1142">
        <f t="shared" si="21"/>
        <v>144</v>
      </c>
      <c r="U156" s="1143">
        <f>IFERROR(INDEX('[16]CN BC'!$M$10:$M$276,MATCH(B156,'[16]CN BC'!$H$10:$H$276,0)),"")</f>
        <v>0</v>
      </c>
      <c r="V156" s="1189" t="str">
        <f>VLOOKUP(B156,TH.T4!B161:AC491,28,FALSE)</f>
        <v>LLCT</v>
      </c>
      <c r="W156" s="1171"/>
      <c r="Y156" s="1158"/>
    </row>
    <row r="157" spans="1:31" s="1148" customFormat="1" ht="33" customHeight="1">
      <c r="A157" s="1132">
        <f>_xlfn.AGGREGATE(4,7,A$12:A156)+1</f>
        <v>145</v>
      </c>
      <c r="B157" s="1133" t="s">
        <v>1500</v>
      </c>
      <c r="C157" s="1153" t="s">
        <v>1728</v>
      </c>
      <c r="D157" s="1154" t="s">
        <v>377</v>
      </c>
      <c r="E157" s="1058" t="str">
        <f>VLOOKUP(B157,TH.Q2!B67:E398,4,FALSE)</f>
        <v>Giảng viên khoa LLCT</v>
      </c>
      <c r="F157" s="1160">
        <v>3.99</v>
      </c>
      <c r="G157" s="1137"/>
      <c r="H157" s="1393">
        <f t="shared" si="19"/>
        <v>0</v>
      </c>
      <c r="I157" s="1138"/>
      <c r="J157" s="1138" t="str">
        <f>VLOOKUP(B157,'[15]Gui chi Quynh'!$B$11:$E$396,4,FALSE)</f>
        <v>A3</v>
      </c>
      <c r="K157" s="1138">
        <f t="shared" si="20"/>
        <v>0.6</v>
      </c>
      <c r="L157" s="1139">
        <v>23</v>
      </c>
      <c r="M157" s="1139">
        <f>VLOOKUP(B157,'[16]CN BC'!$H$10:$J$275,3,FALSE)</f>
        <v>23</v>
      </c>
      <c r="N157" s="1139">
        <f t="shared" si="16"/>
        <v>23</v>
      </c>
      <c r="O157" s="1140"/>
      <c r="P157" s="1141">
        <f t="shared" si="15"/>
        <v>5601960</v>
      </c>
      <c r="Q157" s="1519">
        <f t="shared" si="17"/>
        <v>2.3940000000000001</v>
      </c>
      <c r="R157" s="1606">
        <v>2340000</v>
      </c>
      <c r="S157" s="1618">
        <f t="shared" si="18"/>
        <v>5601960</v>
      </c>
      <c r="T157" s="1142">
        <f t="shared" si="21"/>
        <v>145</v>
      </c>
      <c r="U157" s="1143">
        <f>IFERROR(INDEX('[16]CN BC'!$M$10:$M$276,MATCH(B157,'[16]CN BC'!$H$10:$H$276,0)),"")</f>
        <v>0</v>
      </c>
      <c r="V157" s="1144" t="str">
        <f>VLOOKUP(B157,TH.T4!B162:AC492,28,FALSE)</f>
        <v>LLCT</v>
      </c>
      <c r="W157" s="1171"/>
      <c r="Y157" s="1158"/>
    </row>
    <row r="158" spans="1:31" s="1148" customFormat="1" ht="30.75" customHeight="1">
      <c r="A158" s="1132">
        <f>_xlfn.AGGREGATE(4,7,A$12:A157)+1</f>
        <v>146</v>
      </c>
      <c r="B158" s="1133" t="s">
        <v>1877</v>
      </c>
      <c r="C158" s="1153" t="s">
        <v>1729</v>
      </c>
      <c r="D158" s="1154" t="s">
        <v>1320</v>
      </c>
      <c r="E158" s="1058" t="str">
        <f>VLOOKUP(B158,TH.Q2!B68:E399,4,FALSE)</f>
        <v>Giảng viên khoa LLCT</v>
      </c>
      <c r="F158" s="1136">
        <v>4.6500000000000004</v>
      </c>
      <c r="G158" s="1137"/>
      <c r="H158" s="1393">
        <f t="shared" si="19"/>
        <v>0</v>
      </c>
      <c r="I158" s="1138"/>
      <c r="J158" s="1138" t="str">
        <f>VLOOKUP(B158,'[15]Gui chi Quynh'!$B$11:$E$396,4,FALSE)</f>
        <v>A3</v>
      </c>
      <c r="K158" s="1138">
        <f t="shared" si="20"/>
        <v>0.6</v>
      </c>
      <c r="L158" s="1139">
        <v>23</v>
      </c>
      <c r="M158" s="1139">
        <f>VLOOKUP(B158,'[16]CN BC'!$H$10:$J$275,3,FALSE)</f>
        <v>23</v>
      </c>
      <c r="N158" s="1139">
        <f t="shared" si="16"/>
        <v>23</v>
      </c>
      <c r="O158" s="1140"/>
      <c r="P158" s="1141">
        <f t="shared" si="15"/>
        <v>6528600</v>
      </c>
      <c r="Q158" s="1519">
        <f t="shared" si="17"/>
        <v>2.79</v>
      </c>
      <c r="R158" s="1606">
        <v>2340000</v>
      </c>
      <c r="S158" s="1618">
        <f t="shared" si="18"/>
        <v>6528600</v>
      </c>
      <c r="T158" s="1142">
        <f t="shared" si="21"/>
        <v>146</v>
      </c>
      <c r="U158" s="1143">
        <f>IFERROR(INDEX('[16]CN BC'!$M$10:$M$276,MATCH(B158,'[16]CN BC'!$H$10:$H$276,0)),"")</f>
        <v>0</v>
      </c>
      <c r="V158" s="1144" t="str">
        <f>VLOOKUP(B158,TH.T4!B163:AC493,28,FALSE)</f>
        <v>LLCT</v>
      </c>
      <c r="W158" s="1171"/>
      <c r="Y158" s="1158"/>
    </row>
    <row r="159" spans="1:31" s="1148" customFormat="1" ht="28.5" customHeight="1">
      <c r="A159" s="1132">
        <f>_xlfn.AGGREGATE(4,7,A$12:A158)+1</f>
        <v>147</v>
      </c>
      <c r="B159" s="1133" t="s">
        <v>1501</v>
      </c>
      <c r="C159" s="1153" t="s">
        <v>1730</v>
      </c>
      <c r="D159" s="1150" t="s">
        <v>314</v>
      </c>
      <c r="E159" s="383" t="str">
        <f>VLOOKUP(B159,TH.Q2!B69:E400,4,FALSE)</f>
        <v>Giảng viên khoa LLCT</v>
      </c>
      <c r="F159" s="1160">
        <v>3.99</v>
      </c>
      <c r="G159" s="1137"/>
      <c r="H159" s="1400">
        <f t="shared" si="19"/>
        <v>0</v>
      </c>
      <c r="I159" s="1138"/>
      <c r="J159" s="1138" t="str">
        <f>VLOOKUP(B159,'[15]Gui chi Quynh'!$B$11:$E$396,4,FALSE)</f>
        <v>A4</v>
      </c>
      <c r="K159" s="1138">
        <f t="shared" si="20"/>
        <v>0.5</v>
      </c>
      <c r="L159" s="1139">
        <v>23</v>
      </c>
      <c r="M159" s="1139">
        <f>VLOOKUP(B159,'[16]CN BC'!$H$10:$J$275,3,FALSE)</f>
        <v>23</v>
      </c>
      <c r="N159" s="1139">
        <f t="shared" si="16"/>
        <v>23</v>
      </c>
      <c r="O159" s="1155"/>
      <c r="P159" s="1141">
        <f t="shared" si="15"/>
        <v>4668300</v>
      </c>
      <c r="Q159" s="1519">
        <f t="shared" si="17"/>
        <v>1.9950000000000001</v>
      </c>
      <c r="R159" s="1606">
        <v>2340000</v>
      </c>
      <c r="S159" s="1618">
        <f t="shared" si="18"/>
        <v>4668300</v>
      </c>
      <c r="T159" s="1142">
        <f t="shared" si="21"/>
        <v>147</v>
      </c>
      <c r="U159" s="1143">
        <f>IFERROR(INDEX('[16]CN BC'!$M$10:$M$276,MATCH(B159,'[16]CN BC'!$H$10:$H$276,0)),"")</f>
        <v>0</v>
      </c>
      <c r="V159" s="1189" t="str">
        <f>VLOOKUP(B159,TH.T4!B164:AC494,28,FALSE)</f>
        <v>LLCT</v>
      </c>
      <c r="W159" s="1171"/>
      <c r="Y159" s="1158"/>
    </row>
    <row r="160" spans="1:31" s="1148" customFormat="1" ht="28.5" customHeight="1">
      <c r="A160" s="1132">
        <f>_xlfn.AGGREGATE(4,7,A$12:A159)+1</f>
        <v>148</v>
      </c>
      <c r="B160" s="1133" t="s">
        <v>1878</v>
      </c>
      <c r="C160" s="1153" t="s">
        <v>1731</v>
      </c>
      <c r="D160" s="1154" t="s">
        <v>1314</v>
      </c>
      <c r="E160" s="383" t="str">
        <f>VLOOKUP(B160,TH.Q2!B70:E401,4,FALSE)</f>
        <v>Giảng viên khoa LLCT</v>
      </c>
      <c r="F160" s="1136">
        <v>4.6500000000000004</v>
      </c>
      <c r="G160" s="1137"/>
      <c r="H160" s="1400">
        <f t="shared" si="19"/>
        <v>0</v>
      </c>
      <c r="I160" s="1138"/>
      <c r="J160" s="1138" t="str">
        <f>VLOOKUP(B160,'[15]Gui chi Quynh'!$B$11:$E$396,4,FALSE)</f>
        <v>A3</v>
      </c>
      <c r="K160" s="1138">
        <f t="shared" si="20"/>
        <v>0.6</v>
      </c>
      <c r="L160" s="1139">
        <v>23</v>
      </c>
      <c r="M160" s="1139">
        <f>VLOOKUP(B160,'[16]CN BC'!$H$10:$J$275,3,FALSE)</f>
        <v>23</v>
      </c>
      <c r="N160" s="1139">
        <f t="shared" si="16"/>
        <v>23</v>
      </c>
      <c r="O160" s="1155"/>
      <c r="P160" s="1141">
        <f t="shared" si="15"/>
        <v>6528600</v>
      </c>
      <c r="Q160" s="1519">
        <f t="shared" si="17"/>
        <v>2.79</v>
      </c>
      <c r="R160" s="1606">
        <v>2340000</v>
      </c>
      <c r="S160" s="1618">
        <f t="shared" si="18"/>
        <v>6528600</v>
      </c>
      <c r="T160" s="1142">
        <f t="shared" si="21"/>
        <v>148</v>
      </c>
      <c r="U160" s="1143">
        <f>IFERROR(INDEX('[16]CN BC'!$M$10:$M$276,MATCH(B160,'[16]CN BC'!$H$10:$H$276,0)),"")</f>
        <v>0</v>
      </c>
      <c r="V160" s="1189" t="str">
        <f>VLOOKUP(B160,TH.T4!B165:AC495,28,FALSE)</f>
        <v>LLCT</v>
      </c>
      <c r="W160" s="1171"/>
      <c r="Y160" s="1158"/>
    </row>
    <row r="161" spans="1:31" s="1148" customFormat="1" ht="28.5" customHeight="1">
      <c r="A161" s="1132">
        <f>_xlfn.AGGREGATE(4,7,A$12:A160)+1</f>
        <v>149</v>
      </c>
      <c r="B161" s="1133" t="s">
        <v>1879</v>
      </c>
      <c r="C161" s="1153" t="s">
        <v>1732</v>
      </c>
      <c r="D161" s="1154" t="s">
        <v>1315</v>
      </c>
      <c r="E161" s="1058" t="str">
        <f>VLOOKUP(B161,TH.Q2!B71:E402,4,FALSE)</f>
        <v>Giảng viên khoa LLCT</v>
      </c>
      <c r="F161" s="1160">
        <v>4.32</v>
      </c>
      <c r="G161" s="1137"/>
      <c r="H161" s="1393">
        <f t="shared" si="19"/>
        <v>0</v>
      </c>
      <c r="I161" s="1138"/>
      <c r="J161" s="1138" t="str">
        <f>VLOOKUP(B161,'[15]Gui chi Quynh'!$B$11:$E$396,4,FALSE)</f>
        <v>A3</v>
      </c>
      <c r="K161" s="1138">
        <f t="shared" si="20"/>
        <v>0.6</v>
      </c>
      <c r="L161" s="1139">
        <v>23</v>
      </c>
      <c r="M161" s="1139">
        <f>VLOOKUP(B161,'[16]CN BC'!$H$10:$J$275,3,FALSE)</f>
        <v>23</v>
      </c>
      <c r="N161" s="1139">
        <f t="shared" si="16"/>
        <v>23</v>
      </c>
      <c r="O161" s="1140"/>
      <c r="P161" s="1141">
        <f t="shared" si="15"/>
        <v>6065280</v>
      </c>
      <c r="Q161" s="1519">
        <f t="shared" si="17"/>
        <v>2.5920000000000001</v>
      </c>
      <c r="R161" s="1606">
        <v>2340000</v>
      </c>
      <c r="S161" s="1618">
        <f t="shared" si="18"/>
        <v>6065280</v>
      </c>
      <c r="T161" s="1142">
        <f t="shared" si="21"/>
        <v>149</v>
      </c>
      <c r="U161" s="1143">
        <f>IFERROR(INDEX('[16]CN BC'!$M$10:$M$276,MATCH(B161,'[16]CN BC'!$H$10:$H$276,0)),"")</f>
        <v>0</v>
      </c>
      <c r="V161" s="1144" t="str">
        <f>VLOOKUP(B161,TH.T4!B166:AC496,28,FALSE)</f>
        <v>LLCT</v>
      </c>
      <c r="W161" s="1130"/>
      <c r="X161" s="1146"/>
      <c r="Y161" s="1147"/>
      <c r="Z161" s="1146"/>
      <c r="AA161" s="1146"/>
      <c r="AB161" s="1146"/>
      <c r="AC161" s="1146"/>
      <c r="AD161" s="1146"/>
      <c r="AE161" s="1146"/>
    </row>
    <row r="162" spans="1:31" s="1148" customFormat="1" ht="28.5" customHeight="1">
      <c r="A162" s="1132">
        <f>_xlfn.AGGREGATE(4,7,A$12:A161)+1</f>
        <v>150</v>
      </c>
      <c r="B162" s="1133" t="s">
        <v>1502</v>
      </c>
      <c r="C162" s="1153" t="s">
        <v>1733</v>
      </c>
      <c r="D162" s="1154" t="s">
        <v>1318</v>
      </c>
      <c r="E162" s="383" t="str">
        <f>VLOOKUP(B162,TH.Q2!B72:E403,4,FALSE)</f>
        <v>Giảng viên khoa LLCT</v>
      </c>
      <c r="F162" s="1160">
        <v>3.99</v>
      </c>
      <c r="G162" s="1137"/>
      <c r="H162" s="1400">
        <f t="shared" si="19"/>
        <v>0</v>
      </c>
      <c r="I162" s="1138"/>
      <c r="J162" s="1138" t="str">
        <f>VLOOKUP(B162,'[15]Gui chi Quynh'!$B$11:$E$396,4,FALSE)</f>
        <v>A1</v>
      </c>
      <c r="K162" s="1138">
        <f t="shared" si="20"/>
        <v>0.8</v>
      </c>
      <c r="L162" s="1139">
        <v>23</v>
      </c>
      <c r="M162" s="1139">
        <f>VLOOKUP(B162,'[16]CN BC'!$H$10:$J$275,3,FALSE)</f>
        <v>23</v>
      </c>
      <c r="N162" s="1139">
        <f t="shared" si="16"/>
        <v>23</v>
      </c>
      <c r="O162" s="1155"/>
      <c r="P162" s="1141">
        <f t="shared" si="15"/>
        <v>7469280</v>
      </c>
      <c r="Q162" s="1519">
        <f t="shared" si="17"/>
        <v>3.1920000000000002</v>
      </c>
      <c r="R162" s="1606">
        <v>2340000</v>
      </c>
      <c r="S162" s="1618">
        <f t="shared" si="18"/>
        <v>7469280</v>
      </c>
      <c r="T162" s="1142">
        <f t="shared" si="21"/>
        <v>150</v>
      </c>
      <c r="U162" s="1143">
        <f>IFERROR(INDEX('[16]CN BC'!$M$10:$M$276,MATCH(B162,'[16]CN BC'!$H$10:$H$276,0)),"")</f>
        <v>0</v>
      </c>
      <c r="V162" s="1189" t="str">
        <f>VLOOKUP(B162,TH.T4!B167:AC497,28,FALSE)</f>
        <v>LLCT</v>
      </c>
      <c r="W162" s="1171"/>
      <c r="Y162" s="1158"/>
    </row>
    <row r="163" spans="1:31" s="1148" customFormat="1" ht="28.5" customHeight="1">
      <c r="A163" s="1132">
        <f>_xlfn.AGGREGATE(4,7,A$12:A162)+1</f>
        <v>151</v>
      </c>
      <c r="B163" s="1133" t="s">
        <v>1880</v>
      </c>
      <c r="C163" s="1153" t="s">
        <v>1734</v>
      </c>
      <c r="D163" s="1154" t="s">
        <v>375</v>
      </c>
      <c r="E163" s="383" t="str">
        <f>VLOOKUP(B163,TH.Q2!B73:E404,4,FALSE)</f>
        <v>Giảng viên khoa LLCT</v>
      </c>
      <c r="F163" s="1160">
        <v>3.99</v>
      </c>
      <c r="G163" s="1137"/>
      <c r="H163" s="1400">
        <f t="shared" si="19"/>
        <v>0</v>
      </c>
      <c r="I163" s="1138"/>
      <c r="J163" s="1138" t="str">
        <f>VLOOKUP(B163,'[15]Gui chi Quynh'!$B$11:$E$396,4,FALSE)</f>
        <v>A4</v>
      </c>
      <c r="K163" s="1138">
        <f t="shared" si="20"/>
        <v>0.5</v>
      </c>
      <c r="L163" s="1139">
        <v>23</v>
      </c>
      <c r="M163" s="1139">
        <f>VLOOKUP(B163,'[16]CN BC'!$H$10:$J$275,3,FALSE)</f>
        <v>23</v>
      </c>
      <c r="N163" s="1139">
        <f t="shared" si="16"/>
        <v>23</v>
      </c>
      <c r="O163" s="1155"/>
      <c r="P163" s="1141">
        <f t="shared" si="15"/>
        <v>4668300</v>
      </c>
      <c r="Q163" s="1519">
        <f t="shared" si="17"/>
        <v>1.9950000000000001</v>
      </c>
      <c r="R163" s="1606">
        <v>2340000</v>
      </c>
      <c r="S163" s="1618">
        <f t="shared" si="18"/>
        <v>4668300</v>
      </c>
      <c r="T163" s="1142">
        <f t="shared" si="21"/>
        <v>151</v>
      </c>
      <c r="U163" s="1143">
        <f>IFERROR(INDEX('[16]CN BC'!$M$10:$M$276,MATCH(B163,'[16]CN BC'!$H$10:$H$276,0)),"")</f>
        <v>0</v>
      </c>
      <c r="V163" s="1189" t="str">
        <f>VLOOKUP(B163,TH.T4!B168:AC498,28,FALSE)</f>
        <v>LLCT</v>
      </c>
      <c r="W163" s="1171"/>
      <c r="Y163" s="1158"/>
    </row>
    <row r="164" spans="1:31" s="1148" customFormat="1" ht="28.5" customHeight="1">
      <c r="A164" s="1132">
        <f>_xlfn.AGGREGATE(4,7,A$12:A163)+1</f>
        <v>152</v>
      </c>
      <c r="B164" s="1133" t="s">
        <v>1503</v>
      </c>
      <c r="C164" s="1153" t="s">
        <v>1735</v>
      </c>
      <c r="D164" s="1154" t="s">
        <v>376</v>
      </c>
      <c r="E164" s="383" t="str">
        <f>VLOOKUP(B164,TH.Q2!B74:E405,4,FALSE)</f>
        <v>Giảng viên khoa LLCT</v>
      </c>
      <c r="F164" s="1160">
        <v>3.99</v>
      </c>
      <c r="G164" s="1137"/>
      <c r="H164" s="1400">
        <f t="shared" si="19"/>
        <v>0</v>
      </c>
      <c r="I164" s="1138"/>
      <c r="J164" s="1138" t="str">
        <f>VLOOKUP(B164,'[15]Gui chi Quynh'!$B$11:$E$396,4,FALSE)</f>
        <v>A4</v>
      </c>
      <c r="K164" s="1138">
        <f t="shared" si="20"/>
        <v>0.5</v>
      </c>
      <c r="L164" s="1139">
        <v>23</v>
      </c>
      <c r="M164" s="1139">
        <f>VLOOKUP(B164,'[16]CN BC'!$H$10:$J$275,3,FALSE)</f>
        <v>23</v>
      </c>
      <c r="N164" s="1139">
        <f t="shared" si="16"/>
        <v>23</v>
      </c>
      <c r="O164" s="1155"/>
      <c r="P164" s="1141">
        <f t="shared" si="15"/>
        <v>4668300</v>
      </c>
      <c r="Q164" s="1519">
        <f t="shared" si="17"/>
        <v>1.9950000000000001</v>
      </c>
      <c r="R164" s="1606">
        <v>2340000</v>
      </c>
      <c r="S164" s="1618">
        <f t="shared" si="18"/>
        <v>4668300</v>
      </c>
      <c r="T164" s="1142">
        <f t="shared" si="21"/>
        <v>152</v>
      </c>
      <c r="U164" s="1143">
        <f>IFERROR(INDEX('[16]CN BC'!$M$10:$M$276,MATCH(B164,'[16]CN BC'!$H$10:$H$276,0)),"")</f>
        <v>0</v>
      </c>
      <c r="V164" s="1189" t="str">
        <f>VLOOKUP(B164,TH.T4!B169:AC499,28,FALSE)</f>
        <v>LLCT</v>
      </c>
      <c r="W164" s="1171"/>
      <c r="Y164" s="1158"/>
    </row>
    <row r="165" spans="1:31" s="1148" customFormat="1" ht="26.25" customHeight="1">
      <c r="A165" s="1132">
        <f>_xlfn.AGGREGATE(4,7,A$12:A164)+1</f>
        <v>153</v>
      </c>
      <c r="B165" s="1133" t="s">
        <v>1504</v>
      </c>
      <c r="C165" s="1153" t="s">
        <v>1736</v>
      </c>
      <c r="D165" s="1153" t="s">
        <v>503</v>
      </c>
      <c r="E165" s="1058" t="str">
        <f>VLOOKUP(B165,TH.Q2!B75:E406,4,FALSE)</f>
        <v>Giảng viên khoa LLCT</v>
      </c>
      <c r="F165" s="1160">
        <v>4.32</v>
      </c>
      <c r="G165" s="1137"/>
      <c r="H165" s="1393">
        <f t="shared" si="19"/>
        <v>0</v>
      </c>
      <c r="I165" s="1138"/>
      <c r="J165" s="1138" t="str">
        <f>VLOOKUP(B165,'[15]Gui chi Quynh'!$B$11:$E$396,4,FALSE)</f>
        <v>A4</v>
      </c>
      <c r="K165" s="1138">
        <f t="shared" si="20"/>
        <v>0.5</v>
      </c>
      <c r="L165" s="1139">
        <v>23</v>
      </c>
      <c r="M165" s="1139">
        <f>VLOOKUP(B165,'[16]CN BC'!$H$10:$J$275,3,FALSE)</f>
        <v>23</v>
      </c>
      <c r="N165" s="1139">
        <f t="shared" si="16"/>
        <v>23</v>
      </c>
      <c r="O165" s="1140"/>
      <c r="P165" s="1141">
        <f t="shared" si="15"/>
        <v>5054400</v>
      </c>
      <c r="Q165" s="1519">
        <f t="shared" si="17"/>
        <v>2.16</v>
      </c>
      <c r="R165" s="1606">
        <v>2340000</v>
      </c>
      <c r="S165" s="1618">
        <f t="shared" si="18"/>
        <v>5054400</v>
      </c>
      <c r="T165" s="1142">
        <f t="shared" si="21"/>
        <v>153</v>
      </c>
      <c r="U165" s="1143">
        <f>IFERROR(INDEX('[16]CN BC'!$M$10:$M$276,MATCH(B165,'[16]CN BC'!$H$10:$H$276,0)),"")</f>
        <v>0</v>
      </c>
      <c r="V165" s="1144" t="str">
        <f>VLOOKUP(B165,TH.T4!B170:AC500,28,FALSE)</f>
        <v>LLCT</v>
      </c>
      <c r="W165" s="1130"/>
      <c r="X165" s="1146"/>
      <c r="Y165" s="1147"/>
      <c r="Z165" s="1146"/>
      <c r="AA165" s="1146"/>
      <c r="AB165" s="1146"/>
      <c r="AC165" s="1146"/>
      <c r="AD165" s="1146"/>
      <c r="AE165" s="1146"/>
    </row>
    <row r="166" spans="1:31" s="1148" customFormat="1" ht="27" customHeight="1">
      <c r="A166" s="1132">
        <f>_xlfn.AGGREGATE(4,7,A$12:A165)+1</f>
        <v>154</v>
      </c>
      <c r="B166" s="1133" t="s">
        <v>1505</v>
      </c>
      <c r="C166" s="1153" t="s">
        <v>1737</v>
      </c>
      <c r="D166" s="1150" t="s">
        <v>1592</v>
      </c>
      <c r="E166" s="383" t="str">
        <f>VLOOKUP(B166,TH.Q2!B76:E407,4,FALSE)</f>
        <v>Giảng viên khoa LLCT</v>
      </c>
      <c r="F166" s="1160">
        <v>3.66</v>
      </c>
      <c r="G166" s="1137"/>
      <c r="H166" s="1400">
        <f t="shared" si="19"/>
        <v>0</v>
      </c>
      <c r="I166" s="1138"/>
      <c r="J166" s="1138" t="str">
        <f>VLOOKUP(B166,'[15]Gui chi Quynh'!$B$11:$E$396,4,FALSE)</f>
        <v>A2</v>
      </c>
      <c r="K166" s="1138">
        <f t="shared" si="20"/>
        <v>0.7</v>
      </c>
      <c r="L166" s="1139">
        <v>23</v>
      </c>
      <c r="M166" s="1139">
        <f>VLOOKUP(B166,'[16]CN BC'!$H$10:$J$275,3,FALSE)</f>
        <v>23</v>
      </c>
      <c r="N166" s="1139">
        <f t="shared" si="16"/>
        <v>23</v>
      </c>
      <c r="O166" s="1155"/>
      <c r="P166" s="1141">
        <f t="shared" si="15"/>
        <v>5995080</v>
      </c>
      <c r="Q166" s="1519">
        <f t="shared" si="17"/>
        <v>2.5619999999999998</v>
      </c>
      <c r="R166" s="1606">
        <v>2340000</v>
      </c>
      <c r="S166" s="1618">
        <f t="shared" si="18"/>
        <v>5995080</v>
      </c>
      <c r="T166" s="1142">
        <f t="shared" si="21"/>
        <v>154</v>
      </c>
      <c r="U166" s="1143">
        <f>IFERROR(INDEX('[16]CN BC'!$M$10:$M$276,MATCH(B166,'[16]CN BC'!$H$10:$H$276,0)),"")</f>
        <v>0</v>
      </c>
      <c r="V166" s="1189" t="str">
        <f>VLOOKUP(B166,TH.T4!B171:AC501,28,FALSE)</f>
        <v>LLCT</v>
      </c>
      <c r="W166" s="1171"/>
      <c r="Y166" s="1158"/>
    </row>
    <row r="167" spans="1:31" s="1148" customFormat="1" ht="28.15" customHeight="1">
      <c r="A167" s="1132">
        <f>_xlfn.AGGREGATE(4,7,A$12:A166)+1</f>
        <v>155</v>
      </c>
      <c r="B167" s="1133" t="s">
        <v>1881</v>
      </c>
      <c r="C167" s="1153" t="s">
        <v>1738</v>
      </c>
      <c r="D167" s="1154" t="s">
        <v>379</v>
      </c>
      <c r="E167" s="1058" t="str">
        <f>VLOOKUP(B167,TH.Q2!B77:E408,4,FALSE)</f>
        <v>Giảng viên khoa LLCT</v>
      </c>
      <c r="F167" s="1160">
        <v>3.66</v>
      </c>
      <c r="G167" s="1137"/>
      <c r="H167" s="1393">
        <f t="shared" si="19"/>
        <v>0</v>
      </c>
      <c r="I167" s="1138"/>
      <c r="J167" s="1138" t="str">
        <f>VLOOKUP(B167,'[15]Gui chi Quynh'!$B$11:$E$396,4,FALSE)</f>
        <v>A3</v>
      </c>
      <c r="K167" s="1138">
        <f t="shared" si="20"/>
        <v>0.6</v>
      </c>
      <c r="L167" s="1139">
        <v>23</v>
      </c>
      <c r="M167" s="1139">
        <f>VLOOKUP(B167,'[16]CN BC'!$H$10:$J$275,3,FALSE)</f>
        <v>23</v>
      </c>
      <c r="N167" s="1139">
        <f t="shared" si="16"/>
        <v>23</v>
      </c>
      <c r="O167" s="1140"/>
      <c r="P167" s="1141">
        <f t="shared" si="15"/>
        <v>5138640</v>
      </c>
      <c r="Q167" s="1519">
        <f t="shared" si="17"/>
        <v>2.1960000000000002</v>
      </c>
      <c r="R167" s="1606">
        <v>2340000</v>
      </c>
      <c r="S167" s="1618">
        <f t="shared" si="18"/>
        <v>5138640</v>
      </c>
      <c r="T167" s="1142">
        <f t="shared" si="21"/>
        <v>155</v>
      </c>
      <c r="U167" s="1143">
        <f>IFERROR(INDEX('[16]CN BC'!$M$10:$M$276,MATCH(B167,'[16]CN BC'!$H$10:$H$276,0)),"")</f>
        <v>0</v>
      </c>
      <c r="V167" s="1144" t="str">
        <f>VLOOKUP(B167,TH.T4!B172:AC502,28,FALSE)</f>
        <v>LLCT</v>
      </c>
      <c r="W167" s="1130"/>
      <c r="X167" s="1146"/>
      <c r="Y167" s="1147"/>
      <c r="Z167" s="1146"/>
      <c r="AA167" s="1146"/>
      <c r="AB167" s="1146"/>
      <c r="AC167" s="1146"/>
      <c r="AD167" s="1146"/>
      <c r="AE167" s="1146"/>
    </row>
    <row r="168" spans="1:31" s="1148" customFormat="1" ht="27.75" customHeight="1">
      <c r="A168" s="1132">
        <f>_xlfn.AGGREGATE(4,7,A$12:A167)+1</f>
        <v>156</v>
      </c>
      <c r="B168" s="1223" t="s">
        <v>1506</v>
      </c>
      <c r="C168" s="1153" t="s">
        <v>1739</v>
      </c>
      <c r="D168" s="1150" t="s">
        <v>1427</v>
      </c>
      <c r="E168" s="1058" t="str">
        <f>VLOOKUP(B168,TH.Q2!B78:E409,4,FALSE)</f>
        <v>Giảng viên khoa LLCT</v>
      </c>
      <c r="F168" s="1160">
        <v>3.33</v>
      </c>
      <c r="G168" s="1137"/>
      <c r="H168" s="1393">
        <f t="shared" si="19"/>
        <v>0</v>
      </c>
      <c r="I168" s="1138"/>
      <c r="J168" s="1138" t="str">
        <f>VLOOKUP(B168,'[15]Gui chi Quynh'!$B$11:$E$396,4,FALSE)</f>
        <v>A3</v>
      </c>
      <c r="K168" s="1138">
        <f t="shared" si="20"/>
        <v>0.6</v>
      </c>
      <c r="L168" s="1139">
        <v>23</v>
      </c>
      <c r="M168" s="1139">
        <f>VLOOKUP(B168,'[16]CN BC'!$H$10:$J$275,3,FALSE)</f>
        <v>23</v>
      </c>
      <c r="N168" s="1139">
        <f t="shared" si="16"/>
        <v>23</v>
      </c>
      <c r="O168" s="1140"/>
      <c r="P168" s="1141">
        <f t="shared" si="15"/>
        <v>4675320</v>
      </c>
      <c r="Q168" s="1519">
        <f t="shared" si="17"/>
        <v>1.998</v>
      </c>
      <c r="R168" s="1606">
        <v>2340000</v>
      </c>
      <c r="S168" s="1618">
        <f t="shared" si="18"/>
        <v>4675320</v>
      </c>
      <c r="T168" s="1142">
        <f t="shared" si="21"/>
        <v>156</v>
      </c>
      <c r="U168" s="1143">
        <f>IFERROR(INDEX('[16]CN BC'!$M$10:$M$276,MATCH(B168,'[16]CN BC'!$H$10:$H$276,0)),"")</f>
        <v>0</v>
      </c>
      <c r="V168" s="1144" t="str">
        <f>VLOOKUP(B168,TH.T4!B173:AC503,28,FALSE)</f>
        <v>LLCT</v>
      </c>
      <c r="W168" s="1130"/>
      <c r="X168" s="1146"/>
      <c r="Y168" s="1147"/>
    </row>
    <row r="169" spans="1:31" s="1148" customFormat="1" ht="27" customHeight="1">
      <c r="A169" s="1132">
        <f>_xlfn.AGGREGATE(4,7,A$12:A168)+1</f>
        <v>157</v>
      </c>
      <c r="B169" s="1133" t="s">
        <v>1882</v>
      </c>
      <c r="C169" s="1153" t="s">
        <v>1741</v>
      </c>
      <c r="D169" s="1154" t="s">
        <v>1341</v>
      </c>
      <c r="E169" s="1058" t="str">
        <f>VLOOKUP(B169,TH.Q2!B79:E410,4,FALSE)</f>
        <v>Giảng viên khoa CNTT</v>
      </c>
      <c r="F169" s="1160">
        <v>4.32</v>
      </c>
      <c r="G169" s="1137"/>
      <c r="H169" s="1393">
        <f t="shared" si="19"/>
        <v>0</v>
      </c>
      <c r="I169" s="1138"/>
      <c r="J169" s="1138" t="str">
        <f>VLOOKUP(B169,'[15]Gui chi Quynh'!$B$11:$E$396,4,FALSE)</f>
        <v>A4</v>
      </c>
      <c r="K169" s="1138">
        <f t="shared" si="20"/>
        <v>0.5</v>
      </c>
      <c r="L169" s="1139">
        <v>23</v>
      </c>
      <c r="M169" s="1139">
        <f>VLOOKUP(B169,'[16]CN BC'!$H$10:$J$275,3,FALSE)</f>
        <v>23</v>
      </c>
      <c r="N169" s="1139">
        <f t="shared" si="16"/>
        <v>23</v>
      </c>
      <c r="O169" s="1140"/>
      <c r="P169" s="1141">
        <f t="shared" si="15"/>
        <v>5054400</v>
      </c>
      <c r="Q169" s="1519">
        <f t="shared" si="17"/>
        <v>2.16</v>
      </c>
      <c r="R169" s="1606">
        <v>2340000</v>
      </c>
      <c r="S169" s="1618">
        <f t="shared" si="18"/>
        <v>5054400</v>
      </c>
      <c r="T169" s="1142">
        <f t="shared" si="21"/>
        <v>157</v>
      </c>
      <c r="U169" s="1143">
        <f>IFERROR(INDEX('[16]CN BC'!$M$10:$M$276,MATCH(B169,'[16]CN BC'!$H$10:$H$276,0)),"")</f>
        <v>0</v>
      </c>
      <c r="V169" s="1144" t="str">
        <f>VLOOKUP(B169,TH.T4!B174:AC504,28,FALSE)</f>
        <v>CNTT</v>
      </c>
      <c r="W169" s="1130"/>
      <c r="X169" s="1146"/>
      <c r="Y169" s="1147"/>
    </row>
    <row r="170" spans="1:31" s="1146" customFormat="1" ht="28.5" customHeight="1">
      <c r="A170" s="1132">
        <f>_xlfn.AGGREGATE(4,7,A$12:A169)+1</f>
        <v>158</v>
      </c>
      <c r="B170" s="1172" t="s">
        <v>1508</v>
      </c>
      <c r="C170" s="1149" t="s">
        <v>1742</v>
      </c>
      <c r="D170" s="1173" t="s">
        <v>1342</v>
      </c>
      <c r="E170" s="1058" t="str">
        <f>VLOOKUP(B170,TH.Q2!B80:E411,4,FALSE)</f>
        <v>Giảng viên khoa CNTT</v>
      </c>
      <c r="F170" s="1178">
        <v>3.99</v>
      </c>
      <c r="G170" s="1175"/>
      <c r="H170" s="1393">
        <f t="shared" si="19"/>
        <v>0</v>
      </c>
      <c r="I170" s="1176"/>
      <c r="J170" s="1138" t="str">
        <f>VLOOKUP(B170,'[15]Gui chi Quynh'!$B$11:$E$396,4,FALSE)</f>
        <v>A4</v>
      </c>
      <c r="K170" s="1138">
        <f t="shared" si="20"/>
        <v>0.5</v>
      </c>
      <c r="L170" s="1139">
        <v>23</v>
      </c>
      <c r="M170" s="1139">
        <f>VLOOKUP(B170,'[16]CN BC'!$H$10:$J$275,3,FALSE)</f>
        <v>23</v>
      </c>
      <c r="N170" s="1139">
        <f t="shared" si="16"/>
        <v>23</v>
      </c>
      <c r="O170" s="1140"/>
      <c r="P170" s="1141">
        <f t="shared" si="15"/>
        <v>4668300</v>
      </c>
      <c r="Q170" s="1519">
        <f t="shared" si="17"/>
        <v>1.9950000000000001</v>
      </c>
      <c r="R170" s="1606">
        <v>2340000</v>
      </c>
      <c r="S170" s="1618">
        <f t="shared" si="18"/>
        <v>4668300</v>
      </c>
      <c r="T170" s="1142">
        <f t="shared" si="21"/>
        <v>158</v>
      </c>
      <c r="U170" s="1143">
        <f>IFERROR(INDEX('[16]CN BC'!$M$10:$M$276,MATCH(B170,'[16]CN BC'!$H$10:$H$276,0)),"")</f>
        <v>0</v>
      </c>
      <c r="V170" s="1144" t="str">
        <f>VLOOKUP(B170,TH.T4!B175:AC505,28,FALSE)</f>
        <v>CNTT</v>
      </c>
      <c r="W170" s="1130"/>
      <c r="Y170" s="1147"/>
    </row>
    <row r="171" spans="1:31" s="1146" customFormat="1" ht="26.25" customHeight="1">
      <c r="A171" s="1132">
        <f>_xlfn.AGGREGATE(4,7,A$12:A170)+1</f>
        <v>159</v>
      </c>
      <c r="B171" s="1172" t="s">
        <v>1509</v>
      </c>
      <c r="C171" s="1149" t="s">
        <v>1743</v>
      </c>
      <c r="D171" s="1173" t="s">
        <v>1344</v>
      </c>
      <c r="E171" s="1058" t="str">
        <f>VLOOKUP(B171,TH.Q2!B81:E412,4,FALSE)</f>
        <v>Giảng viên khoa CNTT</v>
      </c>
      <c r="F171" s="1174">
        <v>3.99</v>
      </c>
      <c r="G171" s="1175"/>
      <c r="H171" s="1393">
        <f t="shared" si="19"/>
        <v>0</v>
      </c>
      <c r="I171" s="1176"/>
      <c r="J171" s="1138" t="str">
        <f>VLOOKUP(B171,'[15]Gui chi Quynh'!$B$11:$E$396,4,FALSE)</f>
        <v>A3</v>
      </c>
      <c r="K171" s="1138">
        <f t="shared" si="20"/>
        <v>0.6</v>
      </c>
      <c r="L171" s="1139">
        <v>23</v>
      </c>
      <c r="M171" s="1139">
        <f>VLOOKUP(B171,'[16]CN BC'!$H$10:$J$275,3,FALSE)</f>
        <v>23</v>
      </c>
      <c r="N171" s="1139">
        <f t="shared" si="16"/>
        <v>23</v>
      </c>
      <c r="O171" s="1140"/>
      <c r="P171" s="1141">
        <f t="shared" si="15"/>
        <v>5601960</v>
      </c>
      <c r="Q171" s="1519">
        <f t="shared" si="17"/>
        <v>2.3940000000000001</v>
      </c>
      <c r="R171" s="1606">
        <v>2340000</v>
      </c>
      <c r="S171" s="1618">
        <f t="shared" si="18"/>
        <v>5601960</v>
      </c>
      <c r="T171" s="1142">
        <f t="shared" si="21"/>
        <v>159</v>
      </c>
      <c r="U171" s="1143">
        <f>IFERROR(INDEX('[16]CN BC'!$M$10:$M$276,MATCH(B171,'[16]CN BC'!$H$10:$H$276,0)),"")</f>
        <v>0</v>
      </c>
      <c r="V171" s="1144" t="str">
        <f>VLOOKUP(B171,TH.T4!B176:AC506,28,FALSE)</f>
        <v>CNTT</v>
      </c>
      <c r="W171" s="1130"/>
      <c r="Y171" s="1147"/>
    </row>
    <row r="172" spans="1:31" s="1148" customFormat="1" ht="27" customHeight="1">
      <c r="A172" s="1132">
        <f>_xlfn.AGGREGATE(4,7,A$12:A171)+1</f>
        <v>160</v>
      </c>
      <c r="B172" s="1223" t="s">
        <v>1511</v>
      </c>
      <c r="C172" s="1153" t="s">
        <v>1745</v>
      </c>
      <c r="D172" s="1154" t="s">
        <v>1349</v>
      </c>
      <c r="E172" s="1058" t="str">
        <f>VLOOKUP(B172,TH.Q2!B83:E414,4,FALSE)</f>
        <v>Giảng viên khoa CNTT</v>
      </c>
      <c r="F172" s="1160">
        <v>3.99</v>
      </c>
      <c r="G172" s="1137"/>
      <c r="H172" s="1393">
        <f t="shared" si="19"/>
        <v>0</v>
      </c>
      <c r="I172" s="1138"/>
      <c r="J172" s="1138" t="str">
        <f>VLOOKUP(B172,'[15]Gui chi Quynh'!$B$11:$E$396,4,FALSE)</f>
        <v>A3</v>
      </c>
      <c r="K172" s="1138">
        <f t="shared" si="20"/>
        <v>0.6</v>
      </c>
      <c r="L172" s="1139">
        <v>23</v>
      </c>
      <c r="M172" s="1139">
        <f>VLOOKUP(B172,'[16]CN BC'!$H$10:$J$275,3,FALSE)</f>
        <v>23</v>
      </c>
      <c r="N172" s="1139">
        <f t="shared" si="16"/>
        <v>23</v>
      </c>
      <c r="O172" s="1140"/>
      <c r="P172" s="1141">
        <f t="shared" si="15"/>
        <v>5601960</v>
      </c>
      <c r="Q172" s="1519">
        <f t="shared" si="17"/>
        <v>2.3940000000000001</v>
      </c>
      <c r="R172" s="1606">
        <v>2340000</v>
      </c>
      <c r="S172" s="1618">
        <f t="shared" si="18"/>
        <v>5601960</v>
      </c>
      <c r="T172" s="1142">
        <f t="shared" si="21"/>
        <v>160</v>
      </c>
      <c r="U172" s="1143">
        <f>IFERROR(INDEX('[16]CN BC'!$M$10:$M$276,MATCH(B172,'[16]CN BC'!$H$10:$H$276,0)),"")</f>
        <v>0</v>
      </c>
      <c r="V172" s="1144" t="str">
        <f>VLOOKUP(B172,TH.T4!B178:AC508,28,FALSE)</f>
        <v>CNTT</v>
      </c>
      <c r="W172" s="1130"/>
      <c r="X172" s="1146"/>
      <c r="Y172" s="1147"/>
      <c r="Z172" s="1146"/>
      <c r="AA172" s="1146"/>
      <c r="AB172" s="1146"/>
      <c r="AC172" s="1146"/>
      <c r="AD172" s="1146"/>
      <c r="AE172" s="1146"/>
    </row>
    <row r="173" spans="1:31" s="1148" customFormat="1" ht="30.75" customHeight="1">
      <c r="A173" s="1132">
        <f>_xlfn.AGGREGATE(4,7,A$12:A172)+1</f>
        <v>161</v>
      </c>
      <c r="B173" s="1133" t="s">
        <v>1512</v>
      </c>
      <c r="C173" s="1153" t="s">
        <v>1746</v>
      </c>
      <c r="D173" s="1154" t="s">
        <v>1350</v>
      </c>
      <c r="E173" s="383" t="str">
        <f>VLOOKUP(B173,TH.Q2!B84:E415,4,FALSE)</f>
        <v>Giảng viên khoa CNTT</v>
      </c>
      <c r="F173" s="1160">
        <v>3.99</v>
      </c>
      <c r="G173" s="1137"/>
      <c r="H173" s="1400">
        <f t="shared" si="19"/>
        <v>0</v>
      </c>
      <c r="I173" s="1138"/>
      <c r="J173" s="1138" t="str">
        <f>VLOOKUP(B173,'[15]Gui chi Quynh'!$B$11:$E$396,4,FALSE)</f>
        <v>A4</v>
      </c>
      <c r="K173" s="1138">
        <f t="shared" si="20"/>
        <v>0.5</v>
      </c>
      <c r="L173" s="1139">
        <v>23</v>
      </c>
      <c r="M173" s="1139">
        <f>VLOOKUP(B173,'[16]CN BC'!$H$10:$J$275,3,FALSE)</f>
        <v>23</v>
      </c>
      <c r="N173" s="1139">
        <f t="shared" si="16"/>
        <v>23</v>
      </c>
      <c r="O173" s="1155"/>
      <c r="P173" s="1141">
        <f t="shared" si="15"/>
        <v>4668300</v>
      </c>
      <c r="Q173" s="1519">
        <f t="shared" si="17"/>
        <v>1.9950000000000001</v>
      </c>
      <c r="R173" s="1606">
        <v>2340000</v>
      </c>
      <c r="S173" s="1618">
        <f t="shared" si="18"/>
        <v>4668300</v>
      </c>
      <c r="T173" s="1142">
        <f t="shared" si="21"/>
        <v>161</v>
      </c>
      <c r="U173" s="1143">
        <f>IFERROR(INDEX('[16]CN BC'!$M$10:$M$276,MATCH(B173,'[16]CN BC'!$H$10:$H$276,0)),"")</f>
        <v>0</v>
      </c>
      <c r="V173" s="1189" t="str">
        <f>VLOOKUP(B173,TH.T4!B179:AC509,28,FALSE)</f>
        <v>CNTT</v>
      </c>
      <c r="W173" s="1171"/>
      <c r="Y173" s="1158"/>
    </row>
    <row r="174" spans="1:31" s="1146" customFormat="1" ht="27" customHeight="1">
      <c r="A174" s="1132">
        <f>_xlfn.AGGREGATE(4,7,A$12:A173)+1</f>
        <v>162</v>
      </c>
      <c r="B174" s="1172" t="s">
        <v>1513</v>
      </c>
      <c r="C174" s="1149" t="s">
        <v>1747</v>
      </c>
      <c r="D174" s="1173" t="s">
        <v>1353</v>
      </c>
      <c r="E174" s="1058" t="str">
        <f>VLOOKUP(B174,TH.Q2!B85:E416,4,FALSE)</f>
        <v>Trưởng BM khoa CNTT</v>
      </c>
      <c r="F174" s="1160">
        <v>3.99</v>
      </c>
      <c r="G174" s="1137"/>
      <c r="H174" s="1400">
        <f t="shared" si="19"/>
        <v>0</v>
      </c>
      <c r="I174" s="1138">
        <v>0.45</v>
      </c>
      <c r="J174" s="1138" t="str">
        <f>VLOOKUP(B174,'[15]Gui chi Quynh'!$B$11:$E$396,4,FALSE)</f>
        <v>A2</v>
      </c>
      <c r="K174" s="1138">
        <f t="shared" si="20"/>
        <v>0.7</v>
      </c>
      <c r="L174" s="1139">
        <v>23</v>
      </c>
      <c r="M174" s="1139">
        <f>VLOOKUP(B174,'[16]CN BC'!$H$10:$J$275,3,FALSE)</f>
        <v>24</v>
      </c>
      <c r="N174" s="1139">
        <f t="shared" si="16"/>
        <v>23</v>
      </c>
      <c r="O174" s="1140"/>
      <c r="P174" s="1141">
        <f t="shared" si="15"/>
        <v>7272720</v>
      </c>
      <c r="Q174" s="1519">
        <f t="shared" si="17"/>
        <v>3.1080000000000001</v>
      </c>
      <c r="R174" s="1606">
        <v>2340000</v>
      </c>
      <c r="S174" s="1618">
        <f t="shared" si="18"/>
        <v>7272720</v>
      </c>
      <c r="T174" s="1142">
        <f t="shared" si="21"/>
        <v>162</v>
      </c>
      <c r="U174" s="1143">
        <f>IFERROR(INDEX('[16]CN BC'!$M$10:$M$276,MATCH(B174,'[16]CN BC'!$H$10:$H$276,0)),"")</f>
        <v>0</v>
      </c>
      <c r="V174" s="1144" t="str">
        <f>VLOOKUP(B174,TH.T4!B180:AC510,28,FALSE)</f>
        <v>CNTT</v>
      </c>
      <c r="W174" s="1130"/>
      <c r="Y174" s="1147"/>
    </row>
    <row r="175" spans="1:31" s="1148" customFormat="1" ht="30" customHeight="1">
      <c r="A175" s="1132">
        <f>_xlfn.AGGREGATE(4,7,A$12:A174)+1</f>
        <v>163</v>
      </c>
      <c r="B175" s="1133" t="s">
        <v>1514</v>
      </c>
      <c r="C175" s="1153" t="s">
        <v>1748</v>
      </c>
      <c r="D175" s="1154" t="s">
        <v>1354</v>
      </c>
      <c r="E175" s="383" t="str">
        <f>VLOOKUP(B175,TH.Q2!B86:E417,4,FALSE)</f>
        <v>Giảng viên khoa CNTT</v>
      </c>
      <c r="F175" s="1160">
        <v>3.99</v>
      </c>
      <c r="G175" s="1137"/>
      <c r="H175" s="1400">
        <f t="shared" si="19"/>
        <v>0</v>
      </c>
      <c r="I175" s="1138"/>
      <c r="J175" s="1138" t="str">
        <f>VLOOKUP(B175,'[15]Gui chi Quynh'!$B$11:$E$396,4,FALSE)</f>
        <v>A4</v>
      </c>
      <c r="K175" s="1138">
        <f t="shared" si="20"/>
        <v>0.5</v>
      </c>
      <c r="L175" s="1139">
        <v>23</v>
      </c>
      <c r="M175" s="1139">
        <f>VLOOKUP(B175,'[16]CN BC'!$H$10:$J$275,3,FALSE)</f>
        <v>23</v>
      </c>
      <c r="N175" s="1139">
        <f t="shared" si="16"/>
        <v>23</v>
      </c>
      <c r="O175" s="1155"/>
      <c r="P175" s="1141">
        <f t="shared" si="15"/>
        <v>4668300</v>
      </c>
      <c r="Q175" s="1519">
        <f t="shared" si="17"/>
        <v>1.9950000000000001</v>
      </c>
      <c r="R175" s="1606">
        <v>2340000</v>
      </c>
      <c r="S175" s="1618">
        <f t="shared" si="18"/>
        <v>4668300</v>
      </c>
      <c r="T175" s="1142">
        <f t="shared" si="21"/>
        <v>163</v>
      </c>
      <c r="U175" s="1143">
        <f>IFERROR(INDEX('[16]CN BC'!$M$10:$M$276,MATCH(B175,'[16]CN BC'!$H$10:$H$276,0)),"")</f>
        <v>0</v>
      </c>
      <c r="V175" s="1189" t="str">
        <f>VLOOKUP(B175,TH.T4!B181:AC511,28,FALSE)</f>
        <v>CNTT</v>
      </c>
      <c r="W175" s="1171"/>
      <c r="Y175" s="1158"/>
    </row>
    <row r="176" spans="1:31" s="1148" customFormat="1" ht="24.75" customHeight="1">
      <c r="A176" s="1132">
        <f>_xlfn.AGGREGATE(4,7,A$12:A175)+1</f>
        <v>164</v>
      </c>
      <c r="B176" s="1133" t="s">
        <v>1515</v>
      </c>
      <c r="C176" s="1153" t="s">
        <v>1749</v>
      </c>
      <c r="D176" s="1154" t="s">
        <v>1355</v>
      </c>
      <c r="E176" s="383" t="str">
        <f>VLOOKUP(B176,TH.Q2!B87:E418,4,FALSE)</f>
        <v>Giảng viên khoa CNTT</v>
      </c>
      <c r="F176" s="1160">
        <v>3.99</v>
      </c>
      <c r="G176" s="1137"/>
      <c r="H176" s="1400">
        <f t="shared" si="19"/>
        <v>0</v>
      </c>
      <c r="I176" s="1138"/>
      <c r="J176" s="1138" t="str">
        <f>VLOOKUP(B176,'[15]Gui chi Quynh'!$B$11:$E$396,4,FALSE)</f>
        <v>A3</v>
      </c>
      <c r="K176" s="1138">
        <f t="shared" si="20"/>
        <v>0.6</v>
      </c>
      <c r="L176" s="1139">
        <v>23</v>
      </c>
      <c r="M176" s="1139">
        <f>VLOOKUP(B176,'[16]CN BC'!$H$10:$J$275,3,FALSE)</f>
        <v>23</v>
      </c>
      <c r="N176" s="1139">
        <f t="shared" si="16"/>
        <v>23</v>
      </c>
      <c r="O176" s="1155"/>
      <c r="P176" s="1141">
        <f t="shared" si="15"/>
        <v>5601960</v>
      </c>
      <c r="Q176" s="1519">
        <f t="shared" si="17"/>
        <v>2.3940000000000001</v>
      </c>
      <c r="R176" s="1606">
        <v>2340000</v>
      </c>
      <c r="S176" s="1618">
        <f t="shared" si="18"/>
        <v>5601960</v>
      </c>
      <c r="T176" s="1142">
        <f t="shared" si="21"/>
        <v>164</v>
      </c>
      <c r="U176" s="1143">
        <f>IFERROR(INDEX('[16]CN BC'!$M$10:$M$276,MATCH(B176,'[16]CN BC'!$H$10:$H$276,0)),"")</f>
        <v>0</v>
      </c>
      <c r="V176" s="1189" t="str">
        <f>VLOOKUP(B176,TH.T4!B182:AC512,28,FALSE)</f>
        <v>CNTT</v>
      </c>
      <c r="W176" s="1171"/>
      <c r="Y176" s="1158"/>
    </row>
    <row r="177" spans="1:35" s="1146" customFormat="1" ht="24.75" customHeight="1">
      <c r="A177" s="1132">
        <f>_xlfn.AGGREGATE(4,7,A$12:A176)+1</f>
        <v>165</v>
      </c>
      <c r="B177" s="1172" t="s">
        <v>1516</v>
      </c>
      <c r="C177" s="1149" t="s">
        <v>1750</v>
      </c>
      <c r="D177" s="1173" t="s">
        <v>1356</v>
      </c>
      <c r="E177" s="1058" t="str">
        <f>VLOOKUP(B177,TH.Q2!B88:E419,4,FALSE)</f>
        <v>Giảng viên khoa CNTT</v>
      </c>
      <c r="F177" s="1160">
        <v>3.99</v>
      </c>
      <c r="G177" s="1175"/>
      <c r="H177" s="1393">
        <f t="shared" si="19"/>
        <v>0</v>
      </c>
      <c r="I177" s="1176"/>
      <c r="J177" s="1138" t="str">
        <f>VLOOKUP(B177,'[15]Gui chi Quynh'!$B$11:$E$396,4,FALSE)</f>
        <v>A4</v>
      </c>
      <c r="K177" s="1138">
        <f t="shared" si="20"/>
        <v>0.5</v>
      </c>
      <c r="L177" s="1139">
        <v>23</v>
      </c>
      <c r="M177" s="1139">
        <f>VLOOKUP(B177,'[16]CN BC'!$H$10:$J$275,3,FALSE)</f>
        <v>23</v>
      </c>
      <c r="N177" s="1139">
        <f t="shared" si="16"/>
        <v>23</v>
      </c>
      <c r="O177" s="1140"/>
      <c r="P177" s="1141">
        <f t="shared" si="15"/>
        <v>4668300</v>
      </c>
      <c r="Q177" s="1519">
        <f t="shared" si="17"/>
        <v>1.9950000000000001</v>
      </c>
      <c r="R177" s="1606">
        <v>2340000</v>
      </c>
      <c r="S177" s="1618">
        <f t="shared" si="18"/>
        <v>4668300</v>
      </c>
      <c r="T177" s="1142">
        <f t="shared" si="21"/>
        <v>165</v>
      </c>
      <c r="U177" s="1143">
        <f>IFERROR(INDEX('[16]CN BC'!$M$10:$M$276,MATCH(B177,'[16]CN BC'!$H$10:$H$276,0)),"")</f>
        <v>0</v>
      </c>
      <c r="V177" s="1144" t="str">
        <f>VLOOKUP(B177,TH.T4!B183:AC513,28,FALSE)</f>
        <v>CNTT</v>
      </c>
      <c r="W177" s="1130"/>
      <c r="Y177" s="1147"/>
    </row>
    <row r="178" spans="1:35" s="1146" customFormat="1" ht="26.25" customHeight="1">
      <c r="A178" s="1132">
        <f>_xlfn.AGGREGATE(4,7,A$12:A177)+1</f>
        <v>166</v>
      </c>
      <c r="B178" s="1172" t="s">
        <v>1883</v>
      </c>
      <c r="C178" s="1149" t="s">
        <v>1751</v>
      </c>
      <c r="D178" s="1173" t="s">
        <v>381</v>
      </c>
      <c r="E178" s="1058" t="str">
        <f>VLOOKUP(B178,TH.Q2!B89:E420,4,FALSE)</f>
        <v>Phó Trưởng khoa CNTT</v>
      </c>
      <c r="F178" s="1178">
        <v>3.99</v>
      </c>
      <c r="G178" s="1175"/>
      <c r="H178" s="1393">
        <f t="shared" si="19"/>
        <v>0</v>
      </c>
      <c r="I178" s="1176">
        <v>0.35</v>
      </c>
      <c r="J178" s="1138" t="str">
        <f>VLOOKUP(B178,'[15]Gui chi Quynh'!$B$11:$E$396,4,FALSE)</f>
        <v>A3</v>
      </c>
      <c r="K178" s="1138">
        <f t="shared" si="20"/>
        <v>0.6</v>
      </c>
      <c r="L178" s="1139">
        <v>23</v>
      </c>
      <c r="M178" s="1139">
        <f>VLOOKUP(B178,'[16]CN BC'!$H$10:$J$275,3,FALSE)</f>
        <v>23</v>
      </c>
      <c r="N178" s="1139">
        <f t="shared" si="16"/>
        <v>23</v>
      </c>
      <c r="O178" s="1140"/>
      <c r="P178" s="1141">
        <f t="shared" si="15"/>
        <v>6093360</v>
      </c>
      <c r="Q178" s="1519">
        <f t="shared" si="17"/>
        <v>2.6040000000000001</v>
      </c>
      <c r="R178" s="1606">
        <v>2340000</v>
      </c>
      <c r="S178" s="1618">
        <f t="shared" si="18"/>
        <v>6093360</v>
      </c>
      <c r="T178" s="1142">
        <f t="shared" si="21"/>
        <v>166</v>
      </c>
      <c r="U178" s="1143">
        <f>IFERROR(INDEX('[16]CN BC'!$M$10:$M$276,MATCH(B178,'[16]CN BC'!$H$10:$H$276,0)),"")</f>
        <v>0</v>
      </c>
      <c r="V178" s="1144" t="str">
        <f>VLOOKUP(B178,TH.T4!B184:AC514,28,FALSE)</f>
        <v>CNTT</v>
      </c>
      <c r="W178" s="1130"/>
      <c r="Y178" s="1147"/>
    </row>
    <row r="179" spans="1:35" s="1148" customFormat="1" ht="23.25" customHeight="1">
      <c r="A179" s="1132">
        <f>_xlfn.AGGREGATE(4,7,A$12:A178)+1</f>
        <v>167</v>
      </c>
      <c r="B179" s="1133" t="s">
        <v>1833</v>
      </c>
      <c r="C179" s="1153" t="s">
        <v>1966</v>
      </c>
      <c r="D179" s="1225">
        <v>1603215005649</v>
      </c>
      <c r="E179" s="1058" t="str">
        <f>VLOOKUP(B179,TH.Q2!B90:E421,4,FALSE)</f>
        <v>Giảng viên khoa CNTT</v>
      </c>
      <c r="F179" s="1160">
        <v>3.66</v>
      </c>
      <c r="G179" s="1137"/>
      <c r="H179" s="1393">
        <f t="shared" si="19"/>
        <v>0</v>
      </c>
      <c r="I179" s="1138"/>
      <c r="J179" s="1138" t="str">
        <f>VLOOKUP(B179,'[15]Gui chi Quynh'!$B$11:$E$396,4,FALSE)</f>
        <v>A3</v>
      </c>
      <c r="K179" s="1138">
        <f t="shared" si="20"/>
        <v>0.6</v>
      </c>
      <c r="L179" s="1139">
        <v>23</v>
      </c>
      <c r="M179" s="1139">
        <f>VLOOKUP(B179,'[16]CN BC'!$H$10:$J$275,3,FALSE)</f>
        <v>23</v>
      </c>
      <c r="N179" s="1139">
        <f t="shared" si="16"/>
        <v>23</v>
      </c>
      <c r="O179" s="1140"/>
      <c r="P179" s="1141">
        <f t="shared" si="15"/>
        <v>5138640</v>
      </c>
      <c r="Q179" s="1519">
        <f t="shared" si="17"/>
        <v>2.1960000000000002</v>
      </c>
      <c r="R179" s="1606">
        <v>2340000</v>
      </c>
      <c r="S179" s="1618">
        <f t="shared" si="18"/>
        <v>5138640</v>
      </c>
      <c r="T179" s="1142">
        <f t="shared" si="21"/>
        <v>167</v>
      </c>
      <c r="U179" s="1143">
        <f>IFERROR(INDEX('[16]CN BC'!$M$10:$M$276,MATCH(B179,'[16]CN BC'!$H$10:$H$276,0)),"")</f>
        <v>0</v>
      </c>
      <c r="V179" s="1144" t="str">
        <f>VLOOKUP(B179,TH.T4!B185:AC515,28,FALSE)</f>
        <v>CNTT</v>
      </c>
      <c r="W179" s="1130"/>
      <c r="X179" s="1146"/>
      <c r="Y179" s="1147"/>
    </row>
    <row r="180" spans="1:35" s="1148" customFormat="1" ht="29.25" customHeight="1">
      <c r="A180" s="1132">
        <f>_xlfn.AGGREGATE(4,7,A$12:A179)+1</f>
        <v>168</v>
      </c>
      <c r="B180" s="1133" t="s">
        <v>1884</v>
      </c>
      <c r="C180" s="1149" t="s">
        <v>1752</v>
      </c>
      <c r="D180" s="1154" t="s">
        <v>1345</v>
      </c>
      <c r="E180" s="1058" t="str">
        <f>VLOOKUP(B180,TH.Q2!B91:E422,4,FALSE)</f>
        <v>Giảng viên khoa CNTT</v>
      </c>
      <c r="F180" s="1160">
        <v>4.32</v>
      </c>
      <c r="G180" s="1137"/>
      <c r="H180" s="1393">
        <f t="shared" si="19"/>
        <v>0</v>
      </c>
      <c r="I180" s="1138">
        <v>0.25</v>
      </c>
      <c r="J180" s="1138" t="str">
        <f>VLOOKUP(B180,'[15]Gui chi Quynh'!$B$11:$E$396,4,FALSE)</f>
        <v>A3</v>
      </c>
      <c r="K180" s="1138">
        <f t="shared" si="20"/>
        <v>0.6</v>
      </c>
      <c r="L180" s="1139">
        <v>23</v>
      </c>
      <c r="M180" s="1139">
        <f>VLOOKUP(B180,'[16]CN BC'!$H$10:$J$275,3,FALSE)</f>
        <v>23</v>
      </c>
      <c r="N180" s="1139">
        <f t="shared" si="16"/>
        <v>23</v>
      </c>
      <c r="O180" s="1140"/>
      <c r="P180" s="1141">
        <f t="shared" si="15"/>
        <v>6416280</v>
      </c>
      <c r="Q180" s="1519">
        <f t="shared" si="17"/>
        <v>2.742</v>
      </c>
      <c r="R180" s="1606">
        <v>2340000</v>
      </c>
      <c r="S180" s="1618">
        <f t="shared" si="18"/>
        <v>6416280</v>
      </c>
      <c r="T180" s="1142">
        <f t="shared" si="21"/>
        <v>168</v>
      </c>
      <c r="U180" s="1143">
        <f>IFERROR(INDEX('[16]CN BC'!$M$10:$M$276,MATCH(B180,'[16]CN BC'!$H$10:$H$276,0)),"")</f>
        <v>0</v>
      </c>
      <c r="V180" s="1144" t="str">
        <f>VLOOKUP(B180,TH.T4!B186:AC516,28,FALSE)</f>
        <v>CNTT</v>
      </c>
      <c r="W180" s="1130"/>
      <c r="X180" s="1146"/>
      <c r="Y180" s="1147"/>
      <c r="Z180" s="1146"/>
      <c r="AA180" s="1146"/>
      <c r="AB180" s="1146"/>
      <c r="AC180" s="1146"/>
      <c r="AD180" s="1146"/>
      <c r="AE180" s="1146"/>
      <c r="AF180" s="1146"/>
      <c r="AG180" s="1146"/>
      <c r="AH180" s="1146"/>
      <c r="AI180" s="1146"/>
    </row>
    <row r="181" spans="1:35" s="1148" customFormat="1" ht="29.25" customHeight="1">
      <c r="A181" s="1132">
        <f>_xlfn.AGGREGATE(4,7,A$12:A180)+1</f>
        <v>169</v>
      </c>
      <c r="B181" s="1133" t="s">
        <v>1517</v>
      </c>
      <c r="C181" s="1153" t="s">
        <v>1753</v>
      </c>
      <c r="D181" s="1166">
        <v>1603205286594</v>
      </c>
      <c r="E181" s="383" t="str">
        <f>VLOOKUP(B181,TH.Q2!B92:E423,4,FALSE)</f>
        <v>Giảng viên khoa CNTT</v>
      </c>
      <c r="F181" s="1160">
        <v>3.66</v>
      </c>
      <c r="G181" s="1137"/>
      <c r="H181" s="1400">
        <f t="shared" si="19"/>
        <v>0</v>
      </c>
      <c r="I181" s="1138"/>
      <c r="J181" s="1138" t="str">
        <f>VLOOKUP(B181,'[15]Gui chi Quynh'!$B$11:$E$396,4,FALSE)</f>
        <v>A4</v>
      </c>
      <c r="K181" s="1138">
        <f t="shared" si="20"/>
        <v>0.5</v>
      </c>
      <c r="L181" s="1139">
        <v>23</v>
      </c>
      <c r="M181" s="1139">
        <f>VLOOKUP(B181,'[16]CN BC'!$H$10:$J$275,3,FALSE)</f>
        <v>23</v>
      </c>
      <c r="N181" s="1139">
        <f t="shared" si="16"/>
        <v>23</v>
      </c>
      <c r="O181" s="1155"/>
      <c r="P181" s="1141">
        <f t="shared" si="15"/>
        <v>4282200</v>
      </c>
      <c r="Q181" s="1519">
        <f t="shared" si="17"/>
        <v>1.83</v>
      </c>
      <c r="R181" s="1606">
        <v>2340000</v>
      </c>
      <c r="S181" s="1618">
        <f t="shared" si="18"/>
        <v>4282200</v>
      </c>
      <c r="T181" s="1142">
        <f t="shared" si="21"/>
        <v>169</v>
      </c>
      <c r="U181" s="1143">
        <f>IFERROR(INDEX('[16]CN BC'!$M$10:$M$276,MATCH(B181,'[16]CN BC'!$H$10:$H$276,0)),"")</f>
        <v>0</v>
      </c>
      <c r="V181" s="1189" t="str">
        <f>VLOOKUP(B181,TH.T4!B187:AC517,28,FALSE)</f>
        <v>CNTT</v>
      </c>
      <c r="W181" s="1171"/>
      <c r="Y181" s="1158"/>
    </row>
    <row r="182" spans="1:35" s="1148" customFormat="1" ht="28.5" customHeight="1">
      <c r="A182" s="1132">
        <f>_xlfn.AGGREGATE(4,7,A$12:A181)+1</f>
        <v>170</v>
      </c>
      <c r="B182" s="1133" t="s">
        <v>1518</v>
      </c>
      <c r="C182" s="1153" t="s">
        <v>1754</v>
      </c>
      <c r="D182" s="1154" t="s">
        <v>1346</v>
      </c>
      <c r="E182" s="383" t="str">
        <f>VLOOKUP(B182,TH.Q2!B93:E424,4,FALSE)</f>
        <v>Giảng viên khoa CNTT</v>
      </c>
      <c r="F182" s="1136">
        <v>4.32</v>
      </c>
      <c r="G182" s="1137"/>
      <c r="H182" s="1400">
        <f t="shared" si="19"/>
        <v>0</v>
      </c>
      <c r="I182" s="1138"/>
      <c r="J182" s="1138" t="str">
        <f>VLOOKUP(B182,'[15]Gui chi Quynh'!$B$11:$E$396,4,FALSE)</f>
        <v>A4</v>
      </c>
      <c r="K182" s="1138">
        <f t="shared" si="20"/>
        <v>0.5</v>
      </c>
      <c r="L182" s="1139">
        <v>23</v>
      </c>
      <c r="M182" s="1139">
        <f>VLOOKUP(B182,'[16]CN BC'!$H$10:$J$275,3,FALSE)</f>
        <v>23</v>
      </c>
      <c r="N182" s="1139">
        <f t="shared" si="16"/>
        <v>23</v>
      </c>
      <c r="O182" s="1155"/>
      <c r="P182" s="1141">
        <f t="shared" si="15"/>
        <v>5054400</v>
      </c>
      <c r="Q182" s="1519">
        <f t="shared" si="17"/>
        <v>2.16</v>
      </c>
      <c r="R182" s="1606">
        <v>2340000</v>
      </c>
      <c r="S182" s="1618">
        <f t="shared" si="18"/>
        <v>5054400</v>
      </c>
      <c r="T182" s="1142">
        <f t="shared" si="21"/>
        <v>170</v>
      </c>
      <c r="U182" s="1143">
        <f>IFERROR(INDEX('[16]CN BC'!$M$10:$M$276,MATCH(B182,'[16]CN BC'!$H$10:$H$276,0)),"")</f>
        <v>0</v>
      </c>
      <c r="V182" s="1189" t="str">
        <f>VLOOKUP(B182,TH.T4!B188:AC518,28,FALSE)</f>
        <v>CNTT</v>
      </c>
      <c r="W182" s="1171"/>
      <c r="Y182" s="1158"/>
    </row>
    <row r="183" spans="1:35" s="1148" customFormat="1" ht="28.5" customHeight="1">
      <c r="A183" s="1132">
        <f>_xlfn.AGGREGATE(4,7,A$12:A182)+1</f>
        <v>171</v>
      </c>
      <c r="B183" s="1133" t="s">
        <v>1519</v>
      </c>
      <c r="C183" s="1153" t="s">
        <v>1755</v>
      </c>
      <c r="D183" s="1154" t="s">
        <v>771</v>
      </c>
      <c r="E183" s="383" t="str">
        <f>VLOOKUP(B183,TH.Q2!B94:E425,4,FALSE)</f>
        <v>Giảng viên khoa CNTT</v>
      </c>
      <c r="F183" s="1160">
        <v>3.99</v>
      </c>
      <c r="G183" s="1137"/>
      <c r="H183" s="1400">
        <f t="shared" si="19"/>
        <v>0</v>
      </c>
      <c r="I183" s="1138"/>
      <c r="J183" s="1138" t="str">
        <f>VLOOKUP(B183,'[15]Gui chi Quynh'!$B$11:$E$396,4,FALSE)</f>
        <v>A4</v>
      </c>
      <c r="K183" s="1138">
        <f t="shared" si="20"/>
        <v>0.5</v>
      </c>
      <c r="L183" s="1139">
        <v>23</v>
      </c>
      <c r="M183" s="1139">
        <f>VLOOKUP(B183,'[16]CN BC'!$H$10:$J$275,3,FALSE)</f>
        <v>23</v>
      </c>
      <c r="N183" s="1139">
        <f t="shared" si="16"/>
        <v>23</v>
      </c>
      <c r="O183" s="1155"/>
      <c r="P183" s="1141">
        <f t="shared" si="15"/>
        <v>4668300</v>
      </c>
      <c r="Q183" s="1519">
        <f t="shared" si="17"/>
        <v>1.9950000000000001</v>
      </c>
      <c r="R183" s="1606">
        <v>2340000</v>
      </c>
      <c r="S183" s="1618">
        <f t="shared" si="18"/>
        <v>4668300</v>
      </c>
      <c r="T183" s="1142">
        <f t="shared" si="21"/>
        <v>171</v>
      </c>
      <c r="U183" s="1143">
        <f>IFERROR(INDEX('[16]CN BC'!$M$10:$M$276,MATCH(B183,'[16]CN BC'!$H$10:$H$276,0)),"")</f>
        <v>0</v>
      </c>
      <c r="V183" s="1189" t="str">
        <f>VLOOKUP(B183,TH.T4!B189:AC519,28,FALSE)</f>
        <v>CNTT</v>
      </c>
      <c r="W183" s="1171"/>
      <c r="Y183" s="1158"/>
    </row>
    <row r="184" spans="1:35" s="1148" customFormat="1" ht="25.5" customHeight="1">
      <c r="A184" s="1132">
        <f>_xlfn.AGGREGATE(4,7,A$12:A183)+1</f>
        <v>172</v>
      </c>
      <c r="B184" s="1133" t="s">
        <v>1520</v>
      </c>
      <c r="C184" s="1153" t="s">
        <v>1756</v>
      </c>
      <c r="D184" s="1226" t="s">
        <v>1593</v>
      </c>
      <c r="E184" s="1058" t="str">
        <f>VLOOKUP(B184,TH.Q2!B95:E426,4,FALSE)</f>
        <v>Giảng viên khoa CNTT</v>
      </c>
      <c r="F184" s="1160">
        <v>3.99</v>
      </c>
      <c r="G184" s="1137"/>
      <c r="H184" s="1393">
        <f t="shared" si="19"/>
        <v>0</v>
      </c>
      <c r="I184" s="1138">
        <v>0.25</v>
      </c>
      <c r="J184" s="1138" t="str">
        <f>VLOOKUP(B184,'[15]Gui chi Quynh'!$B$11:$E$396,4,FALSE)</f>
        <v>A3</v>
      </c>
      <c r="K184" s="1138">
        <f t="shared" si="20"/>
        <v>0.6</v>
      </c>
      <c r="L184" s="1139">
        <v>23</v>
      </c>
      <c r="M184" s="1139">
        <f>VLOOKUP(B184,'[16]CN BC'!$H$10:$J$275,3,FALSE)</f>
        <v>23</v>
      </c>
      <c r="N184" s="1139">
        <f t="shared" si="16"/>
        <v>23</v>
      </c>
      <c r="O184" s="1140"/>
      <c r="P184" s="1141">
        <f t="shared" si="15"/>
        <v>5952960</v>
      </c>
      <c r="Q184" s="1519">
        <f t="shared" si="17"/>
        <v>2.544</v>
      </c>
      <c r="R184" s="1606">
        <v>2340000</v>
      </c>
      <c r="S184" s="1618">
        <f t="shared" si="18"/>
        <v>5952960</v>
      </c>
      <c r="T184" s="1142">
        <f t="shared" si="21"/>
        <v>172</v>
      </c>
      <c r="U184" s="1143">
        <f>IFERROR(INDEX('[16]CN BC'!$M$10:$M$276,MATCH(B184,'[16]CN BC'!$H$10:$H$276,0)),"")</f>
        <v>0</v>
      </c>
      <c r="V184" s="1144" t="str">
        <f>VLOOKUP(B184,TH.T4!B190:AC520,28,FALSE)</f>
        <v>CNTT</v>
      </c>
      <c r="W184" s="1171"/>
      <c r="Y184" s="1158"/>
    </row>
    <row r="185" spans="1:35" s="1148" customFormat="1" ht="28.5" customHeight="1">
      <c r="A185" s="1132">
        <f>_xlfn.AGGREGATE(4,7,A$12:A184)+1</f>
        <v>173</v>
      </c>
      <c r="B185" s="1133" t="s">
        <v>1467</v>
      </c>
      <c r="C185" s="1153" t="s">
        <v>1674</v>
      </c>
      <c r="D185" s="1154" t="s">
        <v>1343</v>
      </c>
      <c r="E185" s="1058" t="str">
        <f>VLOOKUP(B185,TH.Q2!B96:E427,4,FALSE)</f>
        <v>Giảng viên khoa CNTT</v>
      </c>
      <c r="F185" s="1136">
        <v>4.32</v>
      </c>
      <c r="G185" s="1137"/>
      <c r="H185" s="1393">
        <f t="shared" si="19"/>
        <v>0</v>
      </c>
      <c r="I185" s="1138"/>
      <c r="J185" s="1138" t="str">
        <f>VLOOKUP(B185,'[15]Gui chi Quynh'!$B$11:$E$396,4,FALSE)</f>
        <v>A3</v>
      </c>
      <c r="K185" s="1138">
        <f t="shared" si="20"/>
        <v>0.6</v>
      </c>
      <c r="L185" s="1139">
        <v>23</v>
      </c>
      <c r="M185" s="1139">
        <f>VLOOKUP(B185,'[16]CN BC'!$H$10:$J$275,3,FALSE)</f>
        <v>23</v>
      </c>
      <c r="N185" s="1139">
        <f t="shared" si="16"/>
        <v>23</v>
      </c>
      <c r="O185" s="1140"/>
      <c r="P185" s="1141">
        <f t="shared" si="15"/>
        <v>6065280</v>
      </c>
      <c r="Q185" s="1519">
        <f t="shared" si="17"/>
        <v>2.5920000000000001</v>
      </c>
      <c r="R185" s="1606">
        <v>2340000</v>
      </c>
      <c r="S185" s="1618">
        <f t="shared" si="18"/>
        <v>6065280</v>
      </c>
      <c r="T185" s="1142">
        <f t="shared" si="21"/>
        <v>173</v>
      </c>
      <c r="U185" s="1143">
        <f>IFERROR(INDEX('[16]CN BC'!$M$10:$M$276,MATCH(B185,'[16]CN BC'!$H$10:$H$276,0)),"")</f>
        <v>0</v>
      </c>
      <c r="V185" s="1144" t="str">
        <f>VLOOKUP(B185,TH.T4!B191:AC521,28,FALSE)</f>
        <v>CNTT</v>
      </c>
      <c r="W185" s="1130"/>
      <c r="X185" s="1146"/>
      <c r="Y185" s="1147">
        <f>3.68*1490000*1.4</f>
        <v>7676479.9999999991</v>
      </c>
      <c r="Z185" s="1146"/>
      <c r="AA185" s="1146"/>
      <c r="AB185" s="1146"/>
      <c r="AC185" s="1146"/>
      <c r="AD185" s="1146"/>
      <c r="AE185" s="1146"/>
    </row>
    <row r="186" spans="1:35" s="1148" customFormat="1" ht="28.5" customHeight="1">
      <c r="A186" s="1132">
        <f>_xlfn.AGGREGATE(4,7,A$12:A185)+1</f>
        <v>174</v>
      </c>
      <c r="B186" s="1133" t="s">
        <v>2011</v>
      </c>
      <c r="C186" s="1153"/>
      <c r="D186" s="1154"/>
      <c r="E186" s="1058" t="str">
        <f>VLOOKUP(B186,TH.Q2!B97:E428,4,FALSE)</f>
        <v>Giảng viên khoa CNTT</v>
      </c>
      <c r="F186" s="1136">
        <v>2.67</v>
      </c>
      <c r="G186" s="1137"/>
      <c r="H186" s="1393">
        <f t="shared" si="19"/>
        <v>0</v>
      </c>
      <c r="I186" s="1138"/>
      <c r="J186" s="1138" t="str">
        <f>VLOOKUP(B186,'[15]Gui chi Quynh'!$B$11:$E$396,4,FALSE)</f>
        <v>A3</v>
      </c>
      <c r="K186" s="1138">
        <f t="shared" si="20"/>
        <v>0.6</v>
      </c>
      <c r="L186" s="1139">
        <v>23</v>
      </c>
      <c r="M186" s="1139">
        <f>VLOOKUP(B186,'[16]CN BC'!$H$10:$J$275,3,FALSE)</f>
        <v>23</v>
      </c>
      <c r="N186" s="1139">
        <f t="shared" si="16"/>
        <v>23</v>
      </c>
      <c r="O186" s="1140"/>
      <c r="P186" s="1141">
        <f t="shared" si="15"/>
        <v>3748680</v>
      </c>
      <c r="Q186" s="1519">
        <f t="shared" si="17"/>
        <v>1.6020000000000001</v>
      </c>
      <c r="R186" s="1606">
        <v>2340000</v>
      </c>
      <c r="S186" s="1618">
        <f t="shared" si="18"/>
        <v>3748680</v>
      </c>
      <c r="T186" s="1142">
        <f t="shared" si="21"/>
        <v>174</v>
      </c>
      <c r="U186" s="1143">
        <f>IFERROR(INDEX('[16]CN BC'!$M$10:$M$276,MATCH(B186,'[16]CN BC'!$H$10:$H$276,0)),"")</f>
        <v>0</v>
      </c>
      <c r="V186" s="1144" t="str">
        <f>VLOOKUP(B186,TH.T4!B192:AC522,28,FALSE)</f>
        <v>CNTT</v>
      </c>
      <c r="W186" s="1171"/>
      <c r="Y186" s="1158"/>
    </row>
    <row r="187" spans="1:35" s="1148" customFormat="1" ht="28.5" customHeight="1">
      <c r="A187" s="1132">
        <f>_xlfn.AGGREGATE(4,7,A$12:A186)+1</f>
        <v>175</v>
      </c>
      <c r="B187" s="1133" t="s">
        <v>2017</v>
      </c>
      <c r="C187" s="1153"/>
      <c r="D187" s="1154"/>
      <c r="E187" s="1058" t="str">
        <f>VLOOKUP(B187,TH.Q2!B98:E429,4,FALSE)</f>
        <v>Giảng viên khoa CNTT</v>
      </c>
      <c r="F187" s="1136">
        <v>1.9890000000000001</v>
      </c>
      <c r="G187" s="1137"/>
      <c r="H187" s="1393">
        <f t="shared" si="19"/>
        <v>0</v>
      </c>
      <c r="I187" s="1138"/>
      <c r="J187" s="1138" t="str">
        <f>VLOOKUP(B187,'[15]Gui chi Quynh'!$B$11:$E$396,4,FALSE)</f>
        <v>A3</v>
      </c>
      <c r="K187" s="1138">
        <f t="shared" si="20"/>
        <v>0.6</v>
      </c>
      <c r="L187" s="1139">
        <v>23</v>
      </c>
      <c r="M187" s="1139">
        <f>VLOOKUP(B187,'[16]CN BC'!$H$10:$J$275,3,FALSE)</f>
        <v>23</v>
      </c>
      <c r="N187" s="1139">
        <f t="shared" si="16"/>
        <v>23</v>
      </c>
      <c r="O187" s="1140"/>
      <c r="P187" s="1141">
        <f t="shared" si="15"/>
        <v>2792556</v>
      </c>
      <c r="Q187" s="1519">
        <f t="shared" si="17"/>
        <v>1.1934</v>
      </c>
      <c r="R187" s="1606">
        <v>2340000</v>
      </c>
      <c r="S187" s="1618">
        <f t="shared" si="18"/>
        <v>2792556</v>
      </c>
      <c r="T187" s="1142">
        <f t="shared" si="21"/>
        <v>175</v>
      </c>
      <c r="U187" s="1143">
        <f>IFERROR(INDEX('[16]CN BC'!$M$10:$M$276,MATCH(B187,'[16]CN BC'!$H$10:$H$276,0)),"")</f>
        <v>0</v>
      </c>
      <c r="V187" s="1144" t="str">
        <f>VLOOKUP(B187,TH.T4!B193:AC523,28,FALSE)</f>
        <v>CNTT</v>
      </c>
      <c r="W187" s="1171"/>
      <c r="Y187" s="1158"/>
    </row>
    <row r="188" spans="1:35" s="1148" customFormat="1" ht="28.5" customHeight="1">
      <c r="A188" s="1132">
        <f>_xlfn.AGGREGATE(4,7,A$12:A187)+1</f>
        <v>176</v>
      </c>
      <c r="B188" s="1133" t="s">
        <v>1885</v>
      </c>
      <c r="C188" s="1153" t="s">
        <v>1757</v>
      </c>
      <c r="D188" s="1154" t="s">
        <v>1368</v>
      </c>
      <c r="E188" s="1058" t="str">
        <f>VLOOKUP(B188,TH.Q2!B99:E430,4,FALSE)</f>
        <v>Trưởng khoa Cơ khí</v>
      </c>
      <c r="F188" s="1136">
        <v>4.6500000000000004</v>
      </c>
      <c r="G188" s="1137"/>
      <c r="H188" s="1393">
        <f t="shared" si="19"/>
        <v>0</v>
      </c>
      <c r="I188" s="1138">
        <v>0.45</v>
      </c>
      <c r="J188" s="1138" t="str">
        <f>VLOOKUP(B188,'[15]Gui chi Quynh'!$B$11:$E$396,4,FALSE)</f>
        <v>A2</v>
      </c>
      <c r="K188" s="1138">
        <f t="shared" si="20"/>
        <v>0.7</v>
      </c>
      <c r="L188" s="1139">
        <v>23</v>
      </c>
      <c r="M188" s="1139">
        <f>VLOOKUP(B188,'[16]CN BC'!$H$10:$J$275,3,FALSE)</f>
        <v>27</v>
      </c>
      <c r="N188" s="1139">
        <f t="shared" si="16"/>
        <v>23</v>
      </c>
      <c r="O188" s="1140"/>
      <c r="P188" s="1141">
        <f t="shared" si="15"/>
        <v>8353800.0000000009</v>
      </c>
      <c r="Q188" s="1519">
        <f t="shared" si="17"/>
        <v>3.5700000000000003</v>
      </c>
      <c r="R188" s="1606">
        <v>2340000</v>
      </c>
      <c r="S188" s="1618">
        <f t="shared" si="18"/>
        <v>8353800.0000000009</v>
      </c>
      <c r="T188" s="1142">
        <f t="shared" si="21"/>
        <v>176</v>
      </c>
      <c r="U188" s="1143">
        <f>IFERROR(INDEX('[16]CN BC'!$M$10:$M$276,MATCH(B188,'[16]CN BC'!$H$10:$H$276,0)),"")</f>
        <v>0</v>
      </c>
      <c r="V188" s="1144" t="str">
        <f>VLOOKUP(B188,TH.T4!B194:AC524,28,FALSE)</f>
        <v>CK</v>
      </c>
      <c r="W188" s="1130"/>
      <c r="X188" s="1146"/>
      <c r="Y188" s="1147"/>
      <c r="Z188" s="1146"/>
      <c r="AA188" s="1146"/>
      <c r="AB188" s="1146"/>
      <c r="AC188" s="1146"/>
      <c r="AD188" s="1146"/>
      <c r="AE188" s="1146"/>
    </row>
    <row r="189" spans="1:35" s="1146" customFormat="1" ht="26.25" customHeight="1">
      <c r="A189" s="1132">
        <f>_xlfn.AGGREGATE(4,7,A$12:A188)+1</f>
        <v>177</v>
      </c>
      <c r="B189" s="1172" t="s">
        <v>1886</v>
      </c>
      <c r="C189" s="1149" t="s">
        <v>1758</v>
      </c>
      <c r="D189" s="1173" t="s">
        <v>1363</v>
      </c>
      <c r="E189" s="1058" t="str">
        <f>VLOOKUP(B189,TH.Q2!B100:E431,4,FALSE)</f>
        <v>Giảng viên khoa Cơ khí</v>
      </c>
      <c r="F189" s="1174">
        <v>4.9800000000000004</v>
      </c>
      <c r="G189" s="1175">
        <v>7.0000000000000007E-2</v>
      </c>
      <c r="H189" s="1393">
        <f t="shared" si="19"/>
        <v>0.34899999999999998</v>
      </c>
      <c r="I189" s="1176"/>
      <c r="J189" s="1138" t="str">
        <f>VLOOKUP(B189,'[15]Gui chi Quynh'!$B$11:$E$396,4,FALSE)</f>
        <v>A4</v>
      </c>
      <c r="K189" s="1138">
        <f t="shared" si="20"/>
        <v>0.5</v>
      </c>
      <c r="L189" s="1139">
        <v>23</v>
      </c>
      <c r="M189" s="1139">
        <f>VLOOKUP(B189,'[16]CN BC'!$H$10:$J$275,3,FALSE)</f>
        <v>23</v>
      </c>
      <c r="N189" s="1139">
        <f t="shared" si="16"/>
        <v>23</v>
      </c>
      <c r="O189" s="1140"/>
      <c r="P189" s="1141">
        <f t="shared" si="15"/>
        <v>6234930.0000000019</v>
      </c>
      <c r="Q189" s="1519">
        <f t="shared" si="17"/>
        <v>2.6645000000000008</v>
      </c>
      <c r="R189" s="1606">
        <v>2340000</v>
      </c>
      <c r="S189" s="1618">
        <f t="shared" si="18"/>
        <v>6234930.0000000019</v>
      </c>
      <c r="T189" s="1142">
        <f t="shared" si="21"/>
        <v>177</v>
      </c>
      <c r="U189" s="1143">
        <f>IFERROR(INDEX('[16]CN BC'!$M$10:$M$276,MATCH(B189,'[16]CN BC'!$H$10:$H$276,0)),"")</f>
        <v>0</v>
      </c>
      <c r="V189" s="1144" t="str">
        <f>VLOOKUP(B189,TH.T4!B195:AC525,28,FALSE)</f>
        <v>CK</v>
      </c>
      <c r="W189" s="1130"/>
      <c r="Y189" s="1147"/>
    </row>
    <row r="190" spans="1:35" s="1148" customFormat="1" ht="31.5" customHeight="1">
      <c r="A190" s="1132">
        <f>_xlfn.AGGREGATE(4,7,A$12:A189)+1</f>
        <v>178</v>
      </c>
      <c r="B190" s="1133" t="s">
        <v>1887</v>
      </c>
      <c r="C190" s="1153" t="s">
        <v>1759</v>
      </c>
      <c r="D190" s="1154" t="s">
        <v>1364</v>
      </c>
      <c r="E190" s="383" t="str">
        <f>VLOOKUP(B190,TH.Q2!B101:E432,4,FALSE)</f>
        <v>Giảng viên khoa Cơ khí</v>
      </c>
      <c r="F190" s="1136">
        <v>4.9800000000000004</v>
      </c>
      <c r="G190" s="1137">
        <v>0.08</v>
      </c>
      <c r="H190" s="1400">
        <f t="shared" si="19"/>
        <v>0.39800000000000002</v>
      </c>
      <c r="I190" s="1138"/>
      <c r="J190" s="1138" t="str">
        <f>VLOOKUP(B190,'[15]Gui chi Quynh'!$B$11:$E$396,4,FALSE)</f>
        <v>A2</v>
      </c>
      <c r="K190" s="1138">
        <f t="shared" si="20"/>
        <v>0.7</v>
      </c>
      <c r="L190" s="1139">
        <v>23</v>
      </c>
      <c r="M190" s="1139">
        <f>VLOOKUP(B190,'[16]CN BC'!$H$10:$J$275,3,FALSE)</f>
        <v>23</v>
      </c>
      <c r="N190" s="1139">
        <f t="shared" si="16"/>
        <v>23</v>
      </c>
      <c r="O190" s="1155"/>
      <c r="P190" s="1141">
        <f t="shared" si="15"/>
        <v>8809164</v>
      </c>
      <c r="Q190" s="1519">
        <f t="shared" si="17"/>
        <v>3.7646000000000002</v>
      </c>
      <c r="R190" s="1606">
        <v>2340000</v>
      </c>
      <c r="S190" s="1618">
        <f t="shared" si="18"/>
        <v>8809164</v>
      </c>
      <c r="T190" s="1142">
        <f t="shared" si="21"/>
        <v>178</v>
      </c>
      <c r="U190" s="1143">
        <f>IFERROR(INDEX('[16]CN BC'!$M$10:$M$276,MATCH(B190,'[16]CN BC'!$H$10:$H$276,0)),"")</f>
        <v>0</v>
      </c>
      <c r="V190" s="1189" t="str">
        <f>VLOOKUP(B190,TH.T4!B196:AC526,28,FALSE)</f>
        <v>CK</v>
      </c>
      <c r="W190" s="1171"/>
      <c r="Y190" s="1158"/>
    </row>
    <row r="191" spans="1:35" s="1148" customFormat="1" ht="25.5" customHeight="1">
      <c r="A191" s="1132">
        <f>_xlfn.AGGREGATE(4,7,A$12:A190)+1</f>
        <v>179</v>
      </c>
      <c r="B191" s="1133" t="s">
        <v>1888</v>
      </c>
      <c r="C191" s="1153" t="s">
        <v>1760</v>
      </c>
      <c r="D191" s="1154" t="s">
        <v>1369</v>
      </c>
      <c r="E191" s="1058" t="str">
        <f>VLOOKUP(B191,TH.Q2!B102:E433,4,FALSE)</f>
        <v>Giảng viên khoa Cơ khí</v>
      </c>
      <c r="F191" s="1136">
        <v>4.32</v>
      </c>
      <c r="G191" s="1137"/>
      <c r="H191" s="1393">
        <f t="shared" si="19"/>
        <v>0</v>
      </c>
      <c r="I191" s="1138"/>
      <c r="J191" s="1138" t="str">
        <f>VLOOKUP(B191,'[15]Gui chi Quynh'!$B$11:$E$396,4,FALSE)</f>
        <v>A3</v>
      </c>
      <c r="K191" s="1138">
        <f t="shared" si="20"/>
        <v>0.6</v>
      </c>
      <c r="L191" s="1139">
        <v>23</v>
      </c>
      <c r="M191" s="1139">
        <f>VLOOKUP(B191,'[16]CN BC'!$H$10:$J$275,3,FALSE)</f>
        <v>23</v>
      </c>
      <c r="N191" s="1139">
        <f t="shared" si="16"/>
        <v>23</v>
      </c>
      <c r="O191" s="1140"/>
      <c r="P191" s="1141">
        <f t="shared" si="15"/>
        <v>6065280</v>
      </c>
      <c r="Q191" s="1519">
        <f t="shared" si="17"/>
        <v>2.5920000000000001</v>
      </c>
      <c r="R191" s="1606">
        <v>2340000</v>
      </c>
      <c r="S191" s="1618">
        <f t="shared" si="18"/>
        <v>6065280</v>
      </c>
      <c r="T191" s="1142">
        <f t="shared" si="21"/>
        <v>179</v>
      </c>
      <c r="U191" s="1143">
        <f>IFERROR(INDEX('[16]CN BC'!$M$10:$M$276,MATCH(B191,'[16]CN BC'!$H$10:$H$276,0)),"")</f>
        <v>0</v>
      </c>
      <c r="V191" s="1144" t="str">
        <f>VLOOKUP(B191,TH.T4!B197:AC527,28,FALSE)</f>
        <v>CK</v>
      </c>
      <c r="W191" s="1130"/>
      <c r="X191" s="1146"/>
      <c r="Y191" s="1147"/>
      <c r="Z191" s="1146"/>
      <c r="AA191" s="1146"/>
      <c r="AB191" s="1146"/>
      <c r="AC191" s="1146"/>
      <c r="AD191" s="1146"/>
      <c r="AE191" s="1146"/>
    </row>
    <row r="192" spans="1:35" s="1148" customFormat="1" ht="25.5" customHeight="1">
      <c r="A192" s="1132">
        <f>_xlfn.AGGREGATE(4,7,A$12:A191)+1</f>
        <v>180</v>
      </c>
      <c r="B192" s="1133" t="s">
        <v>1889</v>
      </c>
      <c r="C192" s="1153" t="s">
        <v>1761</v>
      </c>
      <c r="D192" s="1154" t="s">
        <v>42</v>
      </c>
      <c r="E192" s="1058" t="str">
        <f>VLOOKUP(B192,TH.Q2!B103:E434,4,FALSE)</f>
        <v>Giảng viên khoa Cơ khí</v>
      </c>
      <c r="F192" s="1136">
        <v>4.9800000000000004</v>
      </c>
      <c r="G192" s="1137">
        <v>0.16</v>
      </c>
      <c r="H192" s="1393">
        <f t="shared" si="19"/>
        <v>0.79700000000000004</v>
      </c>
      <c r="I192" s="1138"/>
      <c r="J192" s="1138" t="str">
        <f>VLOOKUP(B192,'[15]Gui chi Quynh'!$B$11:$E$396,4,FALSE)</f>
        <v>A4</v>
      </c>
      <c r="K192" s="1138">
        <f t="shared" si="20"/>
        <v>0.5</v>
      </c>
      <c r="L192" s="1139">
        <v>23</v>
      </c>
      <c r="M192" s="1139">
        <f>VLOOKUP(B192,'[16]CN BC'!$H$10:$J$275,3,FALSE)</f>
        <v>23</v>
      </c>
      <c r="N192" s="1139">
        <f t="shared" si="16"/>
        <v>23</v>
      </c>
      <c r="O192" s="1140"/>
      <c r="P192" s="1141">
        <f t="shared" si="15"/>
        <v>6759090</v>
      </c>
      <c r="Q192" s="1519">
        <f t="shared" si="17"/>
        <v>2.8885000000000001</v>
      </c>
      <c r="R192" s="1606">
        <v>2340000</v>
      </c>
      <c r="S192" s="1618">
        <f t="shared" si="18"/>
        <v>6759090</v>
      </c>
      <c r="T192" s="1142">
        <f t="shared" si="21"/>
        <v>180</v>
      </c>
      <c r="U192" s="1143">
        <f>IFERROR(INDEX('[16]CN BC'!$M$10:$M$276,MATCH(B192,'[16]CN BC'!$H$10:$H$276,0)),"")</f>
        <v>0</v>
      </c>
      <c r="V192" s="1144" t="str">
        <f>VLOOKUP(B192,TH.T4!B198:AC528,28,FALSE)</f>
        <v>CK</v>
      </c>
      <c r="W192" s="1130"/>
      <c r="X192" s="1146"/>
      <c r="Y192" s="1147"/>
      <c r="Z192" s="1146"/>
      <c r="AA192" s="1146"/>
      <c r="AB192" s="1146"/>
      <c r="AC192" s="1146"/>
      <c r="AD192" s="1146"/>
      <c r="AE192" s="1146"/>
    </row>
    <row r="193" spans="1:35" s="1148" customFormat="1" ht="25.5" customHeight="1">
      <c r="A193" s="1132">
        <f>_xlfn.AGGREGATE(4,7,A$12:A192)+1</f>
        <v>181</v>
      </c>
      <c r="B193" s="1133" t="s">
        <v>1890</v>
      </c>
      <c r="C193" s="1153" t="s">
        <v>1762</v>
      </c>
      <c r="D193" s="1154" t="s">
        <v>1367</v>
      </c>
      <c r="E193" s="1058" t="str">
        <f>VLOOKUP(B193,TH.Q2!B104:E435,4,FALSE)</f>
        <v>Giảng viên khoa Cơ khí</v>
      </c>
      <c r="F193" s="1136">
        <v>4.6500000000000004</v>
      </c>
      <c r="G193" s="1137"/>
      <c r="H193" s="1393">
        <f t="shared" si="19"/>
        <v>0</v>
      </c>
      <c r="I193" s="1138">
        <f>0.25</f>
        <v>0.25</v>
      </c>
      <c r="J193" s="1138" t="str">
        <f>VLOOKUP(B193,'[15]Gui chi Quynh'!$B$11:$E$396,4,FALSE)</f>
        <v>A2</v>
      </c>
      <c r="K193" s="1138">
        <f t="shared" si="20"/>
        <v>0.7</v>
      </c>
      <c r="L193" s="1139">
        <v>23</v>
      </c>
      <c r="M193" s="1139">
        <f>VLOOKUP(B193,'[16]CN BC'!$H$10:$J$275,3,FALSE)</f>
        <v>23</v>
      </c>
      <c r="N193" s="1139">
        <f t="shared" si="16"/>
        <v>23</v>
      </c>
      <c r="O193" s="1140"/>
      <c r="P193" s="1141">
        <f t="shared" si="15"/>
        <v>8026199.9999999991</v>
      </c>
      <c r="Q193" s="1519">
        <f t="shared" si="17"/>
        <v>3.4299999999999997</v>
      </c>
      <c r="R193" s="1606">
        <v>2340000</v>
      </c>
      <c r="S193" s="1618">
        <f t="shared" si="18"/>
        <v>8026199.9999999991</v>
      </c>
      <c r="T193" s="1142">
        <f t="shared" si="21"/>
        <v>181</v>
      </c>
      <c r="U193" s="1143">
        <f>IFERROR(INDEX('[16]CN BC'!$M$10:$M$276,MATCH(B193,'[16]CN BC'!$H$10:$H$276,0)),"")</f>
        <v>0</v>
      </c>
      <c r="V193" s="1144" t="str">
        <f>VLOOKUP(B193,TH.T4!B199:AC529,28,FALSE)</f>
        <v>CK</v>
      </c>
      <c r="W193" s="1130"/>
      <c r="X193" s="1146"/>
      <c r="Y193" s="1147"/>
      <c r="Z193" s="1146"/>
      <c r="AA193" s="1146"/>
      <c r="AB193" s="1146"/>
      <c r="AC193" s="1146"/>
      <c r="AD193" s="1146"/>
      <c r="AE193" s="1146"/>
    </row>
    <row r="194" spans="1:35" s="1148" customFormat="1" ht="25.5" customHeight="1">
      <c r="A194" s="1132">
        <f>_xlfn.AGGREGATE(4,7,A$12:A193)+1</f>
        <v>182</v>
      </c>
      <c r="B194" s="1133" t="s">
        <v>1891</v>
      </c>
      <c r="C194" s="1153" t="s">
        <v>1763</v>
      </c>
      <c r="D194" s="1154" t="s">
        <v>1377</v>
      </c>
      <c r="E194" s="383" t="str">
        <f>VLOOKUP(B194,TH.Q2!B105:E436,4,FALSE)</f>
        <v>Giảng viên khoa Cơ khí</v>
      </c>
      <c r="F194" s="1136">
        <v>4.9800000000000004</v>
      </c>
      <c r="G194" s="1137">
        <v>7.0000000000000007E-2</v>
      </c>
      <c r="H194" s="1400">
        <f t="shared" si="19"/>
        <v>0.34899999999999998</v>
      </c>
      <c r="I194" s="1138">
        <v>0.25</v>
      </c>
      <c r="J194" s="1138" t="str">
        <f>VLOOKUP(B194,'[15]Gui chi Quynh'!$B$11:$E$396,4,FALSE)</f>
        <v>A3</v>
      </c>
      <c r="K194" s="1138">
        <f t="shared" si="20"/>
        <v>0.6</v>
      </c>
      <c r="L194" s="1139">
        <v>23</v>
      </c>
      <c r="M194" s="1139">
        <f>VLOOKUP(B194,'[16]CN BC'!$H$10:$J$275,3,FALSE)</f>
        <v>23</v>
      </c>
      <c r="N194" s="1139">
        <f t="shared" si="16"/>
        <v>23</v>
      </c>
      <c r="O194" s="1155"/>
      <c r="P194" s="1141">
        <f t="shared" si="15"/>
        <v>7832916.0000000009</v>
      </c>
      <c r="Q194" s="1519">
        <f t="shared" si="17"/>
        <v>3.3474000000000004</v>
      </c>
      <c r="R194" s="1606">
        <v>2340000</v>
      </c>
      <c r="S194" s="1618">
        <f t="shared" si="18"/>
        <v>7832916.0000000009</v>
      </c>
      <c r="T194" s="1142">
        <f t="shared" si="21"/>
        <v>182</v>
      </c>
      <c r="U194" s="1143">
        <f>IFERROR(INDEX('[16]CN BC'!$M$10:$M$276,MATCH(B194,'[16]CN BC'!$H$10:$H$276,0)),"")</f>
        <v>0</v>
      </c>
      <c r="V194" s="1189" t="str">
        <f>VLOOKUP(B194,TH.T4!B200:AC530,28,FALSE)</f>
        <v>CK</v>
      </c>
      <c r="W194" s="1171"/>
      <c r="Y194" s="1158"/>
    </row>
    <row r="195" spans="1:35" s="1148" customFormat="1" ht="25.5" customHeight="1">
      <c r="A195" s="1132">
        <f>_xlfn.AGGREGATE(4,7,A$12:A194)+1</f>
        <v>183</v>
      </c>
      <c r="B195" s="1133" t="s">
        <v>1525</v>
      </c>
      <c r="C195" s="1153" t="s">
        <v>1764</v>
      </c>
      <c r="D195" s="1154" t="s">
        <v>1372</v>
      </c>
      <c r="E195" s="1058" t="str">
        <f>VLOOKUP(B195,TH.Q2!B106:E437,4,FALSE)</f>
        <v>Giảng viên khoa Cơ khí</v>
      </c>
      <c r="F195" s="1160">
        <v>3.99</v>
      </c>
      <c r="G195" s="1137"/>
      <c r="H195" s="1393">
        <f t="shared" si="19"/>
        <v>0</v>
      </c>
      <c r="I195" s="1138"/>
      <c r="J195" s="1138" t="str">
        <f>VLOOKUP(B195,'[15]Gui chi Quynh'!$B$11:$E$396,4,FALSE)</f>
        <v>A3</v>
      </c>
      <c r="K195" s="1138">
        <f t="shared" si="20"/>
        <v>0.6</v>
      </c>
      <c r="L195" s="1139">
        <v>23</v>
      </c>
      <c r="M195" s="1139">
        <f>VLOOKUP(B195,'[16]CN BC'!$H$10:$J$275,3,FALSE)</f>
        <v>23</v>
      </c>
      <c r="N195" s="1139">
        <f t="shared" si="16"/>
        <v>23</v>
      </c>
      <c r="O195" s="1140"/>
      <c r="P195" s="1141">
        <f t="shared" si="15"/>
        <v>5601960</v>
      </c>
      <c r="Q195" s="1519">
        <f t="shared" si="17"/>
        <v>2.3940000000000001</v>
      </c>
      <c r="R195" s="1606">
        <v>2340000</v>
      </c>
      <c r="S195" s="1618">
        <f t="shared" si="18"/>
        <v>5601960</v>
      </c>
      <c r="T195" s="1142">
        <f t="shared" si="21"/>
        <v>183</v>
      </c>
      <c r="U195" s="1143">
        <f>IFERROR(INDEX('[16]CN BC'!$M$10:$M$276,MATCH(B195,'[16]CN BC'!$H$10:$H$276,0)),"")</f>
        <v>0</v>
      </c>
      <c r="V195" s="1144" t="str">
        <f>VLOOKUP(B195,TH.T4!B201:AC531,28,FALSE)</f>
        <v>CK</v>
      </c>
      <c r="W195" s="1167"/>
      <c r="X195" s="1146"/>
      <c r="Y195" s="1147"/>
      <c r="Z195" s="1146"/>
      <c r="AA195" s="1146"/>
      <c r="AB195" s="1146"/>
      <c r="AC195" s="1146"/>
      <c r="AD195" s="1146"/>
      <c r="AE195" s="1146"/>
    </row>
    <row r="196" spans="1:35" s="1148" customFormat="1" ht="25.5" customHeight="1">
      <c r="A196" s="1132">
        <f>_xlfn.AGGREGATE(4,7,A$12:A195)+1</f>
        <v>184</v>
      </c>
      <c r="B196" s="1133" t="s">
        <v>1892</v>
      </c>
      <c r="C196" s="1153" t="s">
        <v>1765</v>
      </c>
      <c r="D196" s="1154" t="s">
        <v>1374</v>
      </c>
      <c r="E196" s="383" t="str">
        <f>VLOOKUP(B196,TH.Q2!B107:E438,4,FALSE)</f>
        <v>Giảng viên khoa Cơ khí</v>
      </c>
      <c r="F196" s="1136">
        <v>4.9800000000000004</v>
      </c>
      <c r="G196" s="1137">
        <v>0.06</v>
      </c>
      <c r="H196" s="1400">
        <f t="shared" si="19"/>
        <v>0.29899999999999999</v>
      </c>
      <c r="I196" s="1138"/>
      <c r="J196" s="1138" t="str">
        <f>VLOOKUP(B196,'[15]Gui chi Quynh'!$B$11:$E$396,4,FALSE)</f>
        <v>A4</v>
      </c>
      <c r="K196" s="1138">
        <f t="shared" si="20"/>
        <v>0.5</v>
      </c>
      <c r="L196" s="1139">
        <v>23</v>
      </c>
      <c r="M196" s="1139">
        <f>VLOOKUP(B196,'[16]CN BC'!$H$10:$J$275,3,FALSE)</f>
        <v>23</v>
      </c>
      <c r="N196" s="1139">
        <f t="shared" si="16"/>
        <v>23</v>
      </c>
      <c r="O196" s="1155"/>
      <c r="P196" s="1141">
        <f t="shared" si="15"/>
        <v>6176430.0000000019</v>
      </c>
      <c r="Q196" s="1519">
        <f t="shared" si="17"/>
        <v>2.6395000000000008</v>
      </c>
      <c r="R196" s="1606">
        <v>2340000</v>
      </c>
      <c r="S196" s="1618">
        <f t="shared" si="18"/>
        <v>6176430.0000000019</v>
      </c>
      <c r="T196" s="1142">
        <f t="shared" si="21"/>
        <v>184</v>
      </c>
      <c r="U196" s="1143">
        <f>IFERROR(INDEX('[16]CN BC'!$M$10:$M$276,MATCH(B196,'[16]CN BC'!$H$10:$H$276,0)),"")</f>
        <v>0</v>
      </c>
      <c r="V196" s="1189" t="str">
        <f>VLOOKUP(B196,TH.T4!B202:AC532,28,FALSE)</f>
        <v>CK</v>
      </c>
      <c r="W196" s="1171"/>
      <c r="Y196" s="1158"/>
    </row>
    <row r="197" spans="1:35" s="1148" customFormat="1" ht="25.5" customHeight="1">
      <c r="A197" s="1132">
        <f>_xlfn.AGGREGATE(4,7,A$12:A196)+1</f>
        <v>185</v>
      </c>
      <c r="B197" s="1133" t="s">
        <v>1526</v>
      </c>
      <c r="C197" s="1153" t="s">
        <v>1766</v>
      </c>
      <c r="D197" s="1188" t="s">
        <v>1939</v>
      </c>
      <c r="E197" s="383" t="str">
        <f>VLOOKUP(B197,TH.Q2!B108:E439,4,FALSE)</f>
        <v>Phó Trưởng khoa Cơ khí</v>
      </c>
      <c r="F197" s="1160">
        <v>3.99</v>
      </c>
      <c r="G197" s="1137"/>
      <c r="H197" s="1400">
        <f t="shared" si="19"/>
        <v>0</v>
      </c>
      <c r="I197" s="1138">
        <v>0.35</v>
      </c>
      <c r="J197" s="1138" t="str">
        <f>VLOOKUP(B197,'[15]Gui chi Quynh'!$B$11:$E$396,4,FALSE)</f>
        <v>A3</v>
      </c>
      <c r="K197" s="1138">
        <f t="shared" si="20"/>
        <v>0.6</v>
      </c>
      <c r="L197" s="1139">
        <v>23</v>
      </c>
      <c r="M197" s="1139">
        <f>VLOOKUP(B197,'[16]CN BC'!$H$10:$J$275,3,FALSE)</f>
        <v>23</v>
      </c>
      <c r="N197" s="1139">
        <f t="shared" si="16"/>
        <v>23</v>
      </c>
      <c r="O197" s="1155"/>
      <c r="P197" s="1141">
        <f t="shared" si="15"/>
        <v>6093360</v>
      </c>
      <c r="Q197" s="1519">
        <f t="shared" si="17"/>
        <v>2.6040000000000001</v>
      </c>
      <c r="R197" s="1606">
        <v>2340000</v>
      </c>
      <c r="S197" s="1618">
        <f t="shared" si="18"/>
        <v>6093360</v>
      </c>
      <c r="T197" s="1142">
        <f t="shared" si="21"/>
        <v>185</v>
      </c>
      <c r="U197" s="1143">
        <f>IFERROR(INDEX('[16]CN BC'!$M$10:$M$276,MATCH(B197,'[16]CN BC'!$H$10:$H$276,0)),"")</f>
        <v>0</v>
      </c>
      <c r="V197" s="1189" t="str">
        <f>VLOOKUP(B197,TH.T4!B203:AC533,28,FALSE)</f>
        <v>CK</v>
      </c>
      <c r="W197" s="1171"/>
      <c r="Y197" s="1158"/>
    </row>
    <row r="198" spans="1:35" s="1148" customFormat="1" ht="26.25" customHeight="1">
      <c r="A198" s="1132">
        <f>_xlfn.AGGREGATE(4,7,A$12:A197)+1</f>
        <v>186</v>
      </c>
      <c r="B198" s="1133" t="s">
        <v>1527</v>
      </c>
      <c r="C198" s="1153" t="s">
        <v>1767</v>
      </c>
      <c r="D198" s="1154" t="s">
        <v>1379</v>
      </c>
      <c r="E198" s="383" t="str">
        <f>VLOOKUP(B198,TH.Q2!B109:E440,4,FALSE)</f>
        <v>Giảng viên khoa Cơ khí</v>
      </c>
      <c r="F198" s="1160">
        <v>3.99</v>
      </c>
      <c r="G198" s="1137"/>
      <c r="H198" s="1400">
        <f t="shared" si="19"/>
        <v>0</v>
      </c>
      <c r="I198" s="1138"/>
      <c r="J198" s="1138" t="str">
        <f>VLOOKUP(B198,'[15]Gui chi Quynh'!$B$11:$E$396,4,FALSE)</f>
        <v>A4</v>
      </c>
      <c r="K198" s="1138">
        <f t="shared" si="20"/>
        <v>0.5</v>
      </c>
      <c r="L198" s="1139">
        <v>23</v>
      </c>
      <c r="M198" s="1139">
        <f>VLOOKUP(B198,'[16]CN BC'!$H$10:$J$275,3,FALSE)</f>
        <v>23</v>
      </c>
      <c r="N198" s="1139">
        <f t="shared" si="16"/>
        <v>23</v>
      </c>
      <c r="O198" s="1155"/>
      <c r="P198" s="1141">
        <f t="shared" si="15"/>
        <v>4668300</v>
      </c>
      <c r="Q198" s="1519">
        <f t="shared" si="17"/>
        <v>1.9950000000000001</v>
      </c>
      <c r="R198" s="1606">
        <v>2340000</v>
      </c>
      <c r="S198" s="1618">
        <f t="shared" si="18"/>
        <v>4668300</v>
      </c>
      <c r="T198" s="1142">
        <f t="shared" si="21"/>
        <v>186</v>
      </c>
      <c r="U198" s="1143">
        <f>IFERROR(INDEX('[16]CN BC'!$M$10:$M$276,MATCH(B198,'[16]CN BC'!$H$10:$H$276,0)),"")</f>
        <v>0</v>
      </c>
      <c r="V198" s="1189" t="str">
        <f>VLOOKUP(B198,TH.T4!B204:AC534,28,FALSE)</f>
        <v>CK</v>
      </c>
      <c r="W198" s="1171"/>
      <c r="Y198" s="1158"/>
    </row>
    <row r="199" spans="1:35" s="1148" customFormat="1" ht="27.75" customHeight="1">
      <c r="A199" s="1132">
        <f>_xlfn.AGGREGATE(4,7,A$12:A198)+1</f>
        <v>187</v>
      </c>
      <c r="B199" s="1133" t="s">
        <v>1893</v>
      </c>
      <c r="C199" s="1153" t="s">
        <v>1768</v>
      </c>
      <c r="D199" s="1154" t="s">
        <v>387</v>
      </c>
      <c r="E199" s="1058" t="str">
        <f>VLOOKUP(B199,TH.Q2!B110:E441,4,FALSE)</f>
        <v>Giảng viên khoa Cơ khí</v>
      </c>
      <c r="F199" s="1160">
        <v>3.66</v>
      </c>
      <c r="G199" s="1137"/>
      <c r="H199" s="1393">
        <f t="shared" si="19"/>
        <v>0</v>
      </c>
      <c r="I199" s="1138"/>
      <c r="J199" s="1138" t="str">
        <f>VLOOKUP(B199,'[15]Gui chi Quynh'!$B$11:$E$396,4,FALSE)</f>
        <v>A1</v>
      </c>
      <c r="K199" s="1138">
        <f t="shared" si="20"/>
        <v>0.8</v>
      </c>
      <c r="L199" s="1139">
        <v>23</v>
      </c>
      <c r="M199" s="1139">
        <f>VLOOKUP(B199,'[16]CN BC'!$H$10:$J$275,3,FALSE)</f>
        <v>23</v>
      </c>
      <c r="N199" s="1139">
        <f t="shared" si="16"/>
        <v>23</v>
      </c>
      <c r="O199" s="1140"/>
      <c r="P199" s="1141">
        <f t="shared" si="15"/>
        <v>6851520</v>
      </c>
      <c r="Q199" s="1519">
        <f t="shared" si="17"/>
        <v>2.9279999999999999</v>
      </c>
      <c r="R199" s="1606">
        <v>2340000</v>
      </c>
      <c r="S199" s="1618">
        <f t="shared" si="18"/>
        <v>6851520</v>
      </c>
      <c r="T199" s="1142">
        <f t="shared" si="21"/>
        <v>187</v>
      </c>
      <c r="U199" s="1143">
        <f>IFERROR(INDEX('[16]CN BC'!$M$10:$M$276,MATCH(B199,'[16]CN BC'!$H$10:$H$276,0)),"")</f>
        <v>0</v>
      </c>
      <c r="V199" s="1144" t="str">
        <f>VLOOKUP(B199,TH.T4!B205:AC535,28,FALSE)</f>
        <v>CK</v>
      </c>
      <c r="W199" s="1130"/>
      <c r="X199" s="1146"/>
      <c r="Y199" s="1147"/>
      <c r="Z199" s="1146"/>
      <c r="AA199" s="1146"/>
      <c r="AB199" s="1146"/>
      <c r="AC199" s="1146"/>
      <c r="AD199" s="1146"/>
      <c r="AE199" s="1146"/>
    </row>
    <row r="200" spans="1:35" s="1148" customFormat="1" ht="27.75" customHeight="1">
      <c r="A200" s="1132">
        <f>_xlfn.AGGREGATE(4,7,A$12:A199)+1</f>
        <v>188</v>
      </c>
      <c r="B200" s="1133" t="s">
        <v>1894</v>
      </c>
      <c r="C200" s="1153" t="s">
        <v>1769</v>
      </c>
      <c r="D200" s="1154" t="s">
        <v>388</v>
      </c>
      <c r="E200" s="1058" t="str">
        <f>VLOOKUP(B200,TH.Q2!B111:E442,4,FALSE)</f>
        <v>Giảng viên khoa Cơ khí</v>
      </c>
      <c r="F200" s="1160">
        <v>3.66</v>
      </c>
      <c r="G200" s="1137"/>
      <c r="H200" s="1393">
        <f t="shared" si="19"/>
        <v>0</v>
      </c>
      <c r="I200" s="1138"/>
      <c r="J200" s="1138" t="str">
        <f>VLOOKUP(B200,'[15]Gui chi Quynh'!$B$11:$E$396,4,FALSE)</f>
        <v>A4</v>
      </c>
      <c r="K200" s="1138">
        <f t="shared" si="20"/>
        <v>0.5</v>
      </c>
      <c r="L200" s="1139">
        <v>23</v>
      </c>
      <c r="M200" s="1139">
        <f>VLOOKUP(B200,'[16]CN BC'!$H$10:$J$275,3,FALSE)</f>
        <v>23</v>
      </c>
      <c r="N200" s="1139">
        <f t="shared" si="16"/>
        <v>23</v>
      </c>
      <c r="O200" s="1140"/>
      <c r="P200" s="1141">
        <f t="shared" si="15"/>
        <v>4282200</v>
      </c>
      <c r="Q200" s="1519">
        <f t="shared" si="17"/>
        <v>1.83</v>
      </c>
      <c r="R200" s="1606">
        <v>2340000</v>
      </c>
      <c r="S200" s="1618">
        <f t="shared" si="18"/>
        <v>4282200</v>
      </c>
      <c r="T200" s="1142">
        <f t="shared" si="21"/>
        <v>188</v>
      </c>
      <c r="U200" s="1143">
        <f>IFERROR(INDEX('[16]CN BC'!$M$10:$M$276,MATCH(B200,'[16]CN BC'!$H$10:$H$276,0)),"")</f>
        <v>0</v>
      </c>
      <c r="V200" s="1144" t="str">
        <f>VLOOKUP(B200,TH.T4!B206:AC536,28,FALSE)</f>
        <v>CK</v>
      </c>
      <c r="W200" s="1130"/>
      <c r="X200" s="1146"/>
      <c r="Y200" s="1147"/>
      <c r="Z200" s="1146"/>
      <c r="AA200" s="1146"/>
      <c r="AB200" s="1146"/>
      <c r="AC200" s="1146"/>
      <c r="AD200" s="1146"/>
      <c r="AE200" s="1146"/>
    </row>
    <row r="201" spans="1:35" s="1148" customFormat="1" ht="32.25" customHeight="1">
      <c r="A201" s="1132">
        <f>_xlfn.AGGREGATE(4,7,A$12:A200)+1</f>
        <v>189</v>
      </c>
      <c r="B201" s="1133" t="s">
        <v>2023</v>
      </c>
      <c r="C201" s="1153" t="s">
        <v>1770</v>
      </c>
      <c r="D201" s="1154" t="s">
        <v>386</v>
      </c>
      <c r="E201" s="1058" t="str">
        <f>VLOOKUP(B201,TH.Q2!B112:E443,4,FALSE)</f>
        <v>Giảng viên khoa Cơ khí</v>
      </c>
      <c r="F201" s="1160">
        <v>3.66</v>
      </c>
      <c r="G201" s="1137"/>
      <c r="H201" s="1393">
        <f t="shared" si="19"/>
        <v>0</v>
      </c>
      <c r="I201" s="1138"/>
      <c r="J201" s="1138" t="str">
        <f>VLOOKUP(B201,'[15]Gui chi Quynh'!$B$11:$E$396,4,FALSE)</f>
        <v>A4</v>
      </c>
      <c r="K201" s="1138">
        <f t="shared" si="20"/>
        <v>0.5</v>
      </c>
      <c r="L201" s="1139">
        <v>23</v>
      </c>
      <c r="M201" s="1139">
        <f>VLOOKUP(B201,'[16]CN BC'!$H$10:$J$275,3,FALSE)</f>
        <v>23</v>
      </c>
      <c r="N201" s="1139">
        <f t="shared" si="16"/>
        <v>23</v>
      </c>
      <c r="O201" s="1140"/>
      <c r="P201" s="1141">
        <f t="shared" si="15"/>
        <v>4282200</v>
      </c>
      <c r="Q201" s="1519">
        <f t="shared" si="17"/>
        <v>1.83</v>
      </c>
      <c r="R201" s="1606">
        <v>2340000</v>
      </c>
      <c r="S201" s="1618">
        <f t="shared" si="18"/>
        <v>4282200</v>
      </c>
      <c r="T201" s="1142">
        <f t="shared" si="21"/>
        <v>189</v>
      </c>
      <c r="U201" s="1143">
        <f>IFERROR(INDEX('[16]CN BC'!$M$10:$M$276,MATCH(B201,'[16]CN BC'!$H$10:$H$276,0)),"")</f>
        <v>0</v>
      </c>
      <c r="V201" s="1144" t="str">
        <f>VLOOKUP(B201,TH.T4!B207:AC537,28,FALSE)</f>
        <v>CK</v>
      </c>
      <c r="W201" s="1171"/>
      <c r="Y201" s="1158"/>
    </row>
    <row r="202" spans="1:35" s="1148" customFormat="1" ht="27.75" customHeight="1">
      <c r="A202" s="1132">
        <f>_xlfn.AGGREGATE(4,7,A$12:A201)+1</f>
        <v>190</v>
      </c>
      <c r="B202" s="1133" t="s">
        <v>1528</v>
      </c>
      <c r="C202" s="1149" t="s">
        <v>1771</v>
      </c>
      <c r="D202" s="1154" t="s">
        <v>456</v>
      </c>
      <c r="E202" s="1058" t="str">
        <f>VLOOKUP(B202,TH.Q2!B113:E444,4,FALSE)</f>
        <v>Giảng viên khoa Cơ khí</v>
      </c>
      <c r="F202" s="1160">
        <v>3.66</v>
      </c>
      <c r="G202" s="1137"/>
      <c r="H202" s="1393">
        <f t="shared" si="19"/>
        <v>0</v>
      </c>
      <c r="I202" s="1138"/>
      <c r="J202" s="1138" t="str">
        <f>VLOOKUP(B202,'[15]Gui chi Quynh'!$B$11:$E$396,4,FALSE)</f>
        <v>A4</v>
      </c>
      <c r="K202" s="1138">
        <f t="shared" si="20"/>
        <v>0.5</v>
      </c>
      <c r="L202" s="1139">
        <v>23</v>
      </c>
      <c r="M202" s="1139">
        <f>VLOOKUP(B202,'[16]CN BC'!$H$10:$J$275,3,FALSE)</f>
        <v>23</v>
      </c>
      <c r="N202" s="1139">
        <f t="shared" si="16"/>
        <v>23</v>
      </c>
      <c r="O202" s="1140"/>
      <c r="P202" s="1141">
        <f t="shared" si="15"/>
        <v>4282200</v>
      </c>
      <c r="Q202" s="1519">
        <f t="shared" si="17"/>
        <v>1.83</v>
      </c>
      <c r="R202" s="1606">
        <v>2340000</v>
      </c>
      <c r="S202" s="1618">
        <f t="shared" si="18"/>
        <v>4282200</v>
      </c>
      <c r="T202" s="1142">
        <f t="shared" si="21"/>
        <v>190</v>
      </c>
      <c r="U202" s="1143">
        <f>IFERROR(INDEX('[16]CN BC'!$M$10:$M$276,MATCH(B202,'[16]CN BC'!$H$10:$H$276,0)),"")</f>
        <v>0</v>
      </c>
      <c r="V202" s="1144" t="str">
        <f>VLOOKUP(B202,TH.T4!B208:AC538,28,FALSE)</f>
        <v>CK</v>
      </c>
      <c r="W202" s="1130"/>
      <c r="X202" s="1146"/>
      <c r="Y202" s="1147"/>
      <c r="Z202" s="1146"/>
      <c r="AA202" s="1146"/>
      <c r="AB202" s="1146"/>
      <c r="AC202" s="1146"/>
      <c r="AD202" s="1146"/>
      <c r="AE202" s="1146"/>
      <c r="AF202" s="1146"/>
      <c r="AG202" s="1146"/>
      <c r="AH202" s="1146"/>
      <c r="AI202" s="1146"/>
    </row>
    <row r="203" spans="1:35" s="1148" customFormat="1" ht="24" customHeight="1">
      <c r="A203" s="1132">
        <f>_xlfn.AGGREGATE(4,7,A$12:A202)+1</f>
        <v>191</v>
      </c>
      <c r="B203" s="1133" t="s">
        <v>1529</v>
      </c>
      <c r="C203" s="1153" t="s">
        <v>1772</v>
      </c>
      <c r="D203" s="1154" t="s">
        <v>743</v>
      </c>
      <c r="E203" s="383" t="str">
        <f>VLOOKUP(B203,TH.Q2!B114:E445,4,FALSE)</f>
        <v>Giảng viên - Trưởng BM khoa Cơ khí</v>
      </c>
      <c r="F203" s="1160">
        <v>3.66</v>
      </c>
      <c r="G203" s="1137"/>
      <c r="H203" s="1400">
        <f t="shared" si="19"/>
        <v>0</v>
      </c>
      <c r="I203" s="1138">
        <v>0.25</v>
      </c>
      <c r="J203" s="1138" t="str">
        <f>VLOOKUP(B203,'[15]Gui chi Quynh'!$B$11:$E$396,4,FALSE)</f>
        <v>A2</v>
      </c>
      <c r="K203" s="1138">
        <f t="shared" si="20"/>
        <v>0.7</v>
      </c>
      <c r="L203" s="1139">
        <v>23</v>
      </c>
      <c r="M203" s="1139">
        <f>VLOOKUP(B203,'[16]CN BC'!$H$10:$J$275,3,FALSE)</f>
        <v>23</v>
      </c>
      <c r="N203" s="1139">
        <f t="shared" si="16"/>
        <v>23</v>
      </c>
      <c r="O203" s="1155"/>
      <c r="P203" s="1141">
        <f t="shared" si="15"/>
        <v>6404580</v>
      </c>
      <c r="Q203" s="1519">
        <f t="shared" si="17"/>
        <v>2.7370000000000001</v>
      </c>
      <c r="R203" s="1606">
        <v>2340000</v>
      </c>
      <c r="S203" s="1618">
        <f t="shared" si="18"/>
        <v>6404580</v>
      </c>
      <c r="T203" s="1142">
        <f t="shared" si="21"/>
        <v>191</v>
      </c>
      <c r="U203" s="1143">
        <f>IFERROR(INDEX('[16]CN BC'!$M$10:$M$276,MATCH(B203,'[16]CN BC'!$H$10:$H$276,0)),"")</f>
        <v>0</v>
      </c>
      <c r="V203" s="1189" t="str">
        <f>VLOOKUP(B203,TH.T4!B209:AC539,28,FALSE)</f>
        <v>CK</v>
      </c>
      <c r="W203" s="1171"/>
      <c r="Y203" s="1158"/>
    </row>
    <row r="204" spans="1:35" s="1148" customFormat="1" ht="30" customHeight="1">
      <c r="A204" s="1132">
        <f>_xlfn.AGGREGATE(4,7,A$12:A203)+1</f>
        <v>192</v>
      </c>
      <c r="B204" s="1133" t="s">
        <v>1530</v>
      </c>
      <c r="C204" s="1153" t="s">
        <v>1773</v>
      </c>
      <c r="D204" s="1179">
        <v>1603205357641</v>
      </c>
      <c r="E204" s="1058" t="str">
        <f>VLOOKUP(B204,TH.Q2!B115:E446,4,FALSE)</f>
        <v>Giảng viên khoa Cơ khí</v>
      </c>
      <c r="F204" s="1160">
        <v>3.66</v>
      </c>
      <c r="G204" s="1137"/>
      <c r="H204" s="1393">
        <f t="shared" si="19"/>
        <v>0</v>
      </c>
      <c r="I204" s="1138"/>
      <c r="J204" s="1138" t="str">
        <f>VLOOKUP(B204,'[15]Gui chi Quynh'!$B$11:$E$396,4,FALSE)</f>
        <v>A4</v>
      </c>
      <c r="K204" s="1138">
        <f t="shared" si="20"/>
        <v>0.5</v>
      </c>
      <c r="L204" s="1139">
        <v>23</v>
      </c>
      <c r="M204" s="1139">
        <f>VLOOKUP(B204,'[16]CN BC'!$H$10:$J$275,3,FALSE)</f>
        <v>23</v>
      </c>
      <c r="N204" s="1139">
        <f t="shared" si="16"/>
        <v>23</v>
      </c>
      <c r="O204" s="1140"/>
      <c r="P204" s="1141">
        <f t="shared" si="15"/>
        <v>4282200</v>
      </c>
      <c r="Q204" s="1519">
        <f t="shared" si="17"/>
        <v>1.83</v>
      </c>
      <c r="R204" s="1606">
        <v>2340000</v>
      </c>
      <c r="S204" s="1618">
        <f t="shared" si="18"/>
        <v>4282200</v>
      </c>
      <c r="T204" s="1142">
        <f t="shared" si="21"/>
        <v>192</v>
      </c>
      <c r="U204" s="1143">
        <f>IFERROR(INDEX('[16]CN BC'!$M$10:$M$276,MATCH(B204,'[16]CN BC'!$H$10:$H$276,0)),"")</f>
        <v>0</v>
      </c>
      <c r="V204" s="1144" t="str">
        <f>VLOOKUP(B204,TH.T4!B210:AC540,28,FALSE)</f>
        <v>CK</v>
      </c>
      <c r="W204" s="1227"/>
      <c r="Y204" s="1158"/>
    </row>
    <row r="205" spans="1:35" s="1148" customFormat="1" ht="25.9" customHeight="1">
      <c r="A205" s="1132">
        <f>_xlfn.AGGREGATE(4,7,A$12:A204)+1</f>
        <v>193</v>
      </c>
      <c r="B205" s="1133" t="s">
        <v>1531</v>
      </c>
      <c r="C205" s="1149" t="s">
        <v>1774</v>
      </c>
      <c r="D205" s="1179">
        <v>1603205357120</v>
      </c>
      <c r="E205" s="1058" t="str">
        <f>VLOOKUP(B205,TH.Q2!B116:E447,4,FALSE)</f>
        <v>Giảng viên khoa Cơ khí</v>
      </c>
      <c r="F205" s="1160">
        <v>3.33</v>
      </c>
      <c r="G205" s="1137"/>
      <c r="H205" s="1393">
        <f t="shared" si="19"/>
        <v>0</v>
      </c>
      <c r="I205" s="1138"/>
      <c r="J205" s="1138" t="str">
        <f>VLOOKUP(B205,'[15]Gui chi Quynh'!$B$11:$E$396,4,FALSE)</f>
        <v>A3</v>
      </c>
      <c r="K205" s="1138">
        <f t="shared" si="20"/>
        <v>0.6</v>
      </c>
      <c r="L205" s="1139">
        <v>23</v>
      </c>
      <c r="M205" s="1139">
        <f>VLOOKUP(B205,'[16]CN BC'!$H$10:$J$275,3,FALSE)</f>
        <v>23</v>
      </c>
      <c r="N205" s="1139">
        <f t="shared" si="16"/>
        <v>23</v>
      </c>
      <c r="O205" s="1140"/>
      <c r="P205" s="1141">
        <f t="shared" ref="P205:P268" si="22">(((F205+H205+I205)*$P$9/L205*N205)*K205)+O205</f>
        <v>4675320</v>
      </c>
      <c r="Q205" s="1519">
        <f t="shared" si="17"/>
        <v>1.998</v>
      </c>
      <c r="R205" s="1606">
        <v>2340000</v>
      </c>
      <c r="S205" s="1618">
        <f t="shared" si="18"/>
        <v>4675320</v>
      </c>
      <c r="T205" s="1142">
        <f t="shared" si="21"/>
        <v>193</v>
      </c>
      <c r="U205" s="1143">
        <f>IFERROR(INDEX('[16]CN BC'!$M$10:$M$276,MATCH(B205,'[16]CN BC'!$H$10:$H$276,0)),"")</f>
        <v>0</v>
      </c>
      <c r="V205" s="1144" t="str">
        <f>VLOOKUP(B205,TH.T4!B211:AC541,28,FALSE)</f>
        <v>CK</v>
      </c>
      <c r="W205" s="1130"/>
      <c r="X205" s="1146"/>
      <c r="Y205" s="1147"/>
      <c r="Z205" s="1146"/>
      <c r="AA205" s="1146"/>
      <c r="AB205" s="1146"/>
      <c r="AC205" s="1146"/>
      <c r="AD205" s="1146"/>
      <c r="AE205" s="1146"/>
      <c r="AF205" s="1146"/>
      <c r="AG205" s="1146"/>
      <c r="AH205" s="1146"/>
      <c r="AI205" s="1146"/>
    </row>
    <row r="206" spans="1:35" s="1148" customFormat="1" ht="32.25" customHeight="1">
      <c r="A206" s="1132">
        <f>_xlfn.AGGREGATE(4,7,A$12:A205)+1</f>
        <v>194</v>
      </c>
      <c r="B206" s="1133" t="s">
        <v>1895</v>
      </c>
      <c r="C206" s="1153" t="s">
        <v>1775</v>
      </c>
      <c r="D206" s="1154" t="s">
        <v>1261</v>
      </c>
      <c r="E206" s="383" t="str">
        <f>VLOOKUP(B206,TH.Q2!B117:E448,4,FALSE)</f>
        <v>Giảng viên khoa Cơ khí</v>
      </c>
      <c r="F206" s="1136">
        <v>4.9800000000000004</v>
      </c>
      <c r="G206" s="1137">
        <v>0.08</v>
      </c>
      <c r="H206" s="1400">
        <f t="shared" si="19"/>
        <v>0.39800000000000002</v>
      </c>
      <c r="I206" s="1138"/>
      <c r="J206" s="1138" t="str">
        <f>VLOOKUP(B206,'[15]Gui chi Quynh'!$B$11:$E$396,4,FALSE)</f>
        <v>A3</v>
      </c>
      <c r="K206" s="1138">
        <f t="shared" si="20"/>
        <v>0.6</v>
      </c>
      <c r="L206" s="1139">
        <v>23</v>
      </c>
      <c r="M206" s="1139">
        <f>VLOOKUP(B206,'[16]CN BC'!$H$10:$J$275,3,FALSE)</f>
        <v>23</v>
      </c>
      <c r="N206" s="1139">
        <f t="shared" ref="N206:N269" si="23">IF(M206&gt;=L206,L206,IF(M206&lt;L206,M206))</f>
        <v>23</v>
      </c>
      <c r="O206" s="1155"/>
      <c r="P206" s="1141">
        <f t="shared" si="22"/>
        <v>7550712</v>
      </c>
      <c r="Q206" s="1519">
        <f t="shared" ref="Q206:Q269" si="24">P206/R206</f>
        <v>3.2267999999999999</v>
      </c>
      <c r="R206" s="1606">
        <v>2340000</v>
      </c>
      <c r="S206" s="1618">
        <f t="shared" ref="S206:S269" si="25">Q206*R206</f>
        <v>7550712</v>
      </c>
      <c r="T206" s="1142">
        <f t="shared" si="21"/>
        <v>194</v>
      </c>
      <c r="U206" s="1143">
        <f>IFERROR(INDEX('[16]CN BC'!$M$10:$M$276,MATCH(B206,'[16]CN BC'!$H$10:$H$276,0)),"")</f>
        <v>0</v>
      </c>
      <c r="V206" s="1189" t="str">
        <f>VLOOKUP(B206,TH.T4!B212:AC542,28,FALSE)</f>
        <v>CK</v>
      </c>
      <c r="W206" s="1581"/>
      <c r="Y206" s="1158"/>
    </row>
    <row r="207" spans="1:35" s="1148" customFormat="1" ht="29.25" customHeight="1">
      <c r="A207" s="1132">
        <f>_xlfn.AGGREGATE(4,7,A$12:A206)+1</f>
        <v>195</v>
      </c>
      <c r="B207" s="1133" t="s">
        <v>1532</v>
      </c>
      <c r="C207" s="1149" t="s">
        <v>1777</v>
      </c>
      <c r="D207" s="1150" t="s">
        <v>1594</v>
      </c>
      <c r="E207" s="1058" t="str">
        <f>VLOOKUP(B207,TH.Q2!B119:E450,4,FALSE)</f>
        <v>Giảng viên khoa Cơ khí</v>
      </c>
      <c r="F207" s="1160">
        <v>3.33</v>
      </c>
      <c r="G207" s="1137"/>
      <c r="H207" s="1393">
        <f t="shared" ref="H207:H270" si="26">ROUND(F207*G207,3)</f>
        <v>0</v>
      </c>
      <c r="I207" s="1138"/>
      <c r="J207" s="1138" t="str">
        <f>VLOOKUP(B207,'[15]Gui chi Quynh'!$B$11:$E$396,4,FALSE)</f>
        <v>A4</v>
      </c>
      <c r="K207" s="1138">
        <f t="shared" ref="K207:K270" si="27">IF(J207="A1",0.8,IF(J207="A2",0.7,IF(J207="A3",0.6,IF(J207="A4",0.5,IF(J207="B1",0.35,IF(J207="B2",0.25,IF(J207="C1",0.15,IF(J207="C2",0.1,0))))))))</f>
        <v>0.5</v>
      </c>
      <c r="L207" s="1139">
        <v>23</v>
      </c>
      <c r="M207" s="1139">
        <f>VLOOKUP(B207,'[16]CN BC'!$H$10:$J$275,3,FALSE)</f>
        <v>23</v>
      </c>
      <c r="N207" s="1139">
        <f t="shared" si="23"/>
        <v>23</v>
      </c>
      <c r="O207" s="1140"/>
      <c r="P207" s="1141">
        <f t="shared" si="22"/>
        <v>3896100.0000000005</v>
      </c>
      <c r="Q207" s="1519">
        <f t="shared" si="24"/>
        <v>1.6650000000000003</v>
      </c>
      <c r="R207" s="1606">
        <v>2340000</v>
      </c>
      <c r="S207" s="1618">
        <f t="shared" si="25"/>
        <v>3896100.0000000005</v>
      </c>
      <c r="T207" s="1142">
        <f t="shared" si="21"/>
        <v>195</v>
      </c>
      <c r="U207" s="1143">
        <f>IFERROR(INDEX('[16]CN BC'!$M$10:$M$276,MATCH(B207,'[16]CN BC'!$H$10:$H$276,0)),"")</f>
        <v>0</v>
      </c>
      <c r="V207" s="1144" t="str">
        <f>VLOOKUP(B207,TH.T4!B214:AC544,28,FALSE)</f>
        <v>CK</v>
      </c>
      <c r="W207" s="1130"/>
      <c r="X207" s="1146"/>
      <c r="Y207" s="1147"/>
      <c r="Z207" s="1146"/>
      <c r="AA207" s="1146"/>
      <c r="AB207" s="1146"/>
      <c r="AC207" s="1146"/>
      <c r="AD207" s="1146"/>
      <c r="AE207" s="1146"/>
      <c r="AF207" s="1146"/>
      <c r="AG207" s="1146"/>
      <c r="AH207" s="1146"/>
      <c r="AI207" s="1146"/>
    </row>
    <row r="208" spans="1:35" s="1148" customFormat="1" ht="25.5" customHeight="1">
      <c r="A208" s="1132">
        <f>_xlfn.AGGREGATE(4,7,A$12:A207)+1</f>
        <v>196</v>
      </c>
      <c r="B208" s="1133" t="s">
        <v>1608</v>
      </c>
      <c r="C208" s="1229" t="s">
        <v>1968</v>
      </c>
      <c r="D208" s="1159">
        <v>1603215003955</v>
      </c>
      <c r="E208" s="1058" t="str">
        <f>VLOOKUP(B208,TH.Q2!B120:E451,4,FALSE)</f>
        <v>Giảng viên khoa Cơ khí</v>
      </c>
      <c r="F208" s="1160">
        <v>3</v>
      </c>
      <c r="G208" s="1170"/>
      <c r="H208" s="1393">
        <f t="shared" si="26"/>
        <v>0</v>
      </c>
      <c r="I208" s="1138"/>
      <c r="J208" s="1138" t="str">
        <f>VLOOKUP(B208,'[15]Gui chi Quynh'!$B$11:$E$396,4,FALSE)</f>
        <v>A4</v>
      </c>
      <c r="K208" s="1138">
        <f t="shared" si="27"/>
        <v>0.5</v>
      </c>
      <c r="L208" s="1139">
        <v>23</v>
      </c>
      <c r="M208" s="1139">
        <f>VLOOKUP(B208,'[16]CN BC'!$H$10:$J$275,3,FALSE)</f>
        <v>23</v>
      </c>
      <c r="N208" s="1139">
        <f t="shared" si="23"/>
        <v>23</v>
      </c>
      <c r="O208" s="1140"/>
      <c r="P208" s="1141">
        <f t="shared" si="22"/>
        <v>3510000</v>
      </c>
      <c r="Q208" s="1519">
        <f t="shared" si="24"/>
        <v>1.5</v>
      </c>
      <c r="R208" s="1606">
        <v>2340000</v>
      </c>
      <c r="S208" s="1618">
        <f t="shared" si="25"/>
        <v>3510000</v>
      </c>
      <c r="T208" s="1142">
        <f t="shared" si="21"/>
        <v>196</v>
      </c>
      <c r="U208" s="1143">
        <f>IFERROR(INDEX('[16]CN BC'!$M$10:$M$276,MATCH(B208,'[16]CN BC'!$H$10:$H$276,0)),"")</f>
        <v>0</v>
      </c>
      <c r="V208" s="1144" t="str">
        <f>VLOOKUP(B208,TH.T4!B215:AC545,28,FALSE)</f>
        <v>CK</v>
      </c>
      <c r="W208" s="1130"/>
      <c r="X208" s="1146"/>
      <c r="Y208" s="1147"/>
      <c r="Z208" s="1146"/>
      <c r="AA208" s="1146"/>
      <c r="AB208" s="1146"/>
      <c r="AC208" s="1146"/>
      <c r="AD208" s="1146"/>
      <c r="AE208" s="1146"/>
    </row>
    <row r="209" spans="1:35" s="1148" customFormat="1" ht="24.75" customHeight="1">
      <c r="A209" s="1132">
        <f>_xlfn.AGGREGATE(4,7,A$12:A208)+1</f>
        <v>197</v>
      </c>
      <c r="B209" s="1133" t="s">
        <v>1835</v>
      </c>
      <c r="C209" s="1153" t="s">
        <v>1970</v>
      </c>
      <c r="D209" s="1230" t="s">
        <v>1969</v>
      </c>
      <c r="E209" s="1058" t="str">
        <f>VLOOKUP(B209,TH.Q2!B121:E452,4,FALSE)</f>
        <v>Giảng viên khoa Cơ khí</v>
      </c>
      <c r="F209" s="1160">
        <v>3</v>
      </c>
      <c r="G209" s="1170"/>
      <c r="H209" s="1393">
        <f t="shared" si="26"/>
        <v>0</v>
      </c>
      <c r="I209" s="1138"/>
      <c r="J209" s="1138" t="str">
        <f>VLOOKUP(B209,'[15]Gui chi Quynh'!$B$11:$E$396,4,FALSE)</f>
        <v>A3</v>
      </c>
      <c r="K209" s="1138">
        <f t="shared" si="27"/>
        <v>0.6</v>
      </c>
      <c r="L209" s="1139">
        <v>23</v>
      </c>
      <c r="M209" s="1139">
        <f>VLOOKUP(B209,'[16]CN BC'!$H$10:$J$275,3,FALSE)</f>
        <v>23</v>
      </c>
      <c r="N209" s="1139">
        <f t="shared" si="23"/>
        <v>23</v>
      </c>
      <c r="O209" s="1140"/>
      <c r="P209" s="1141">
        <f t="shared" si="22"/>
        <v>4212000</v>
      </c>
      <c r="Q209" s="1519">
        <f t="shared" si="24"/>
        <v>1.8</v>
      </c>
      <c r="R209" s="1606">
        <v>2340000</v>
      </c>
      <c r="S209" s="1618">
        <f t="shared" si="25"/>
        <v>4212000</v>
      </c>
      <c r="T209" s="1142">
        <f t="shared" si="21"/>
        <v>197</v>
      </c>
      <c r="U209" s="1143">
        <f>IFERROR(INDEX('[16]CN BC'!$M$10:$M$276,MATCH(B209,'[16]CN BC'!$H$10:$H$276,0)),"")</f>
        <v>0</v>
      </c>
      <c r="V209" s="1144" t="str">
        <f>VLOOKUP(B209,TH.T4!B216:AC546,28,FALSE)</f>
        <v>CK</v>
      </c>
      <c r="W209" s="1130"/>
      <c r="X209" s="1146"/>
      <c r="Y209" s="1147"/>
      <c r="Z209" s="1146"/>
      <c r="AA209" s="1146"/>
      <c r="AB209" s="1146"/>
      <c r="AC209" s="1146"/>
      <c r="AD209" s="1146"/>
      <c r="AE209" s="1146"/>
    </row>
    <row r="210" spans="1:35" s="1148" customFormat="1" ht="29.25" customHeight="1">
      <c r="A210" s="1132">
        <f>_xlfn.AGGREGATE(4,7,A$12:A209)+1</f>
        <v>198</v>
      </c>
      <c r="B210" s="1133" t="s">
        <v>1897</v>
      </c>
      <c r="C210" s="1153" t="s">
        <v>1670</v>
      </c>
      <c r="D210" s="1154" t="s">
        <v>1286</v>
      </c>
      <c r="E210" s="1058" t="str">
        <f>VLOOKUP(B210,TH.Q2!B122:E453,4,FALSE)</f>
        <v>Giảng viên khoa Cơ khí</v>
      </c>
      <c r="F210" s="1136">
        <v>4.9800000000000004</v>
      </c>
      <c r="G210" s="1137">
        <v>0.12</v>
      </c>
      <c r="H210" s="1393">
        <f t="shared" si="26"/>
        <v>0.59799999999999998</v>
      </c>
      <c r="I210" s="1138"/>
      <c r="J210" s="1138" t="str">
        <f>VLOOKUP(B210,'[15]Gui chi Quynh'!$B$11:$E$396,4,FALSE)</f>
        <v>A4</v>
      </c>
      <c r="K210" s="1138">
        <f t="shared" si="27"/>
        <v>0.5</v>
      </c>
      <c r="L210" s="1139">
        <v>23</v>
      </c>
      <c r="M210" s="1139">
        <f>VLOOKUP(B210,'[16]CN BC'!$H$10:$J$275,3,FALSE)</f>
        <v>23</v>
      </c>
      <c r="N210" s="1139">
        <f t="shared" si="23"/>
        <v>23</v>
      </c>
      <c r="O210" s="1140"/>
      <c r="P210" s="1141">
        <f t="shared" si="22"/>
        <v>6526260</v>
      </c>
      <c r="Q210" s="1519">
        <f t="shared" si="24"/>
        <v>2.7890000000000001</v>
      </c>
      <c r="R210" s="1606">
        <v>2340000</v>
      </c>
      <c r="S210" s="1618">
        <f t="shared" si="25"/>
        <v>6526260</v>
      </c>
      <c r="T210" s="1142">
        <f t="shared" si="21"/>
        <v>198</v>
      </c>
      <c r="U210" s="1143">
        <f>IFERROR(INDEX('[16]CN BC'!$M$10:$M$276,MATCH(B210,'[16]CN BC'!$H$10:$H$276,0)),"")</f>
        <v>0</v>
      </c>
      <c r="V210" s="1144" t="str">
        <f>VLOOKUP(B210,TH.T4!B217:AC547,28,FALSE)</f>
        <v>CK</v>
      </c>
      <c r="W210" s="1171"/>
      <c r="Y210" s="1158"/>
    </row>
    <row r="211" spans="1:35" s="1148" customFormat="1" ht="25.5" customHeight="1">
      <c r="A211" s="1132">
        <f>_xlfn.AGGREGATE(4,7,A$12:A210)+1</f>
        <v>199</v>
      </c>
      <c r="B211" s="1133" t="s">
        <v>1840</v>
      </c>
      <c r="C211" s="1153" t="s">
        <v>1971</v>
      </c>
      <c r="D211" s="1159">
        <v>1603205596180</v>
      </c>
      <c r="E211" s="1058" t="str">
        <f>VLOOKUP(B211,TH.Q2!B123:E454,4,FALSE)</f>
        <v>Giảng viên khoa Cơ khí</v>
      </c>
      <c r="F211" s="1136">
        <v>2.67</v>
      </c>
      <c r="G211" s="1137"/>
      <c r="H211" s="1393">
        <f t="shared" si="26"/>
        <v>0</v>
      </c>
      <c r="I211" s="1138"/>
      <c r="J211" s="1138" t="str">
        <f>VLOOKUP(B211,'[15]Gui chi Quynh'!$B$11:$E$396,4,FALSE)</f>
        <v>A3</v>
      </c>
      <c r="K211" s="1138">
        <f t="shared" si="27"/>
        <v>0.6</v>
      </c>
      <c r="L211" s="1139">
        <v>23</v>
      </c>
      <c r="M211" s="1139">
        <f>VLOOKUP(B211,'[16]CN BC'!$H$10:$J$275,3,FALSE)</f>
        <v>23</v>
      </c>
      <c r="N211" s="1139">
        <f t="shared" si="23"/>
        <v>23</v>
      </c>
      <c r="O211" s="1140"/>
      <c r="P211" s="1141">
        <f t="shared" si="22"/>
        <v>3748680</v>
      </c>
      <c r="Q211" s="1519">
        <f t="shared" si="24"/>
        <v>1.6020000000000001</v>
      </c>
      <c r="R211" s="1606">
        <v>2340000</v>
      </c>
      <c r="S211" s="1618">
        <f t="shared" si="25"/>
        <v>3748680</v>
      </c>
      <c r="T211" s="1142">
        <f t="shared" si="21"/>
        <v>199</v>
      </c>
      <c r="U211" s="1143">
        <f>IFERROR(INDEX('[16]CN BC'!$M$10:$M$276,MATCH(B211,'[16]CN BC'!$H$10:$H$276,0)),"")</f>
        <v>0</v>
      </c>
      <c r="V211" s="1144" t="str">
        <f>VLOOKUP(B211,TH.T4!B218:AC548,28,FALSE)</f>
        <v>CK</v>
      </c>
      <c r="W211" s="1130"/>
      <c r="X211" s="1146"/>
      <c r="Y211" s="1147"/>
      <c r="Z211" s="1146"/>
      <c r="AA211" s="1146"/>
      <c r="AB211" s="1146"/>
      <c r="AC211" s="1146"/>
      <c r="AD211" s="1146"/>
      <c r="AE211" s="1146"/>
    </row>
    <row r="212" spans="1:35" s="1148" customFormat="1" ht="24.75" customHeight="1">
      <c r="A212" s="1132">
        <f>_xlfn.AGGREGATE(4,7,A$12:A211)+1</f>
        <v>200</v>
      </c>
      <c r="B212" s="1133" t="s">
        <v>1943</v>
      </c>
      <c r="C212" s="1153" t="s">
        <v>1972</v>
      </c>
      <c r="D212" s="1154"/>
      <c r="E212" s="1058" t="str">
        <f>VLOOKUP(B212,TH.Q2!B124:E455,4,FALSE)</f>
        <v>Giảng viên khoa Cơ khí</v>
      </c>
      <c r="F212" s="1160">
        <v>3</v>
      </c>
      <c r="G212" s="1137"/>
      <c r="H212" s="1393">
        <f t="shared" si="26"/>
        <v>0</v>
      </c>
      <c r="I212" s="1138"/>
      <c r="J212" s="1138" t="str">
        <f>VLOOKUP(B212,'[15]Gui chi Quynh'!$B$11:$E$396,4,FALSE)</f>
        <v>A3</v>
      </c>
      <c r="K212" s="1138">
        <f t="shared" si="27"/>
        <v>0.6</v>
      </c>
      <c r="L212" s="1139">
        <v>23</v>
      </c>
      <c r="M212" s="1139">
        <f>VLOOKUP(B212,'[16]CN BC'!$H$10:$J$275,3,FALSE)</f>
        <v>23</v>
      </c>
      <c r="N212" s="1139">
        <f t="shared" si="23"/>
        <v>23</v>
      </c>
      <c r="O212" s="1140"/>
      <c r="P212" s="1141">
        <f t="shared" si="22"/>
        <v>4212000</v>
      </c>
      <c r="Q212" s="1519">
        <f t="shared" si="24"/>
        <v>1.8</v>
      </c>
      <c r="R212" s="1606">
        <v>2340000</v>
      </c>
      <c r="S212" s="1618">
        <f t="shared" si="25"/>
        <v>4212000</v>
      </c>
      <c r="T212" s="1142">
        <f t="shared" si="21"/>
        <v>200</v>
      </c>
      <c r="U212" s="1143">
        <f>IFERROR(INDEX('[16]CN BC'!$M$10:$M$276,MATCH(B212,'[16]CN BC'!$H$10:$H$276,0)),"")</f>
        <v>0</v>
      </c>
      <c r="V212" s="1144" t="str">
        <f>VLOOKUP(B212,TH.T4!B219:AC549,28,FALSE)</f>
        <v>CK</v>
      </c>
      <c r="W212" s="1130"/>
      <c r="X212" s="1146"/>
      <c r="Y212" s="1158"/>
    </row>
    <row r="213" spans="1:35" s="1148" customFormat="1" ht="26.25" customHeight="1">
      <c r="A213" s="1132">
        <f>_xlfn.AGGREGATE(4,7,A$12:A212)+1</f>
        <v>201</v>
      </c>
      <c r="B213" s="1133" t="s">
        <v>1994</v>
      </c>
      <c r="C213" s="1153"/>
      <c r="D213" s="1154"/>
      <c r="E213" s="1058" t="str">
        <f>VLOOKUP(B213,TH.Q2!B125:E456,4,FALSE)</f>
        <v>Giảng viên khoa Cơ khí</v>
      </c>
      <c r="F213" s="1136">
        <v>4.32</v>
      </c>
      <c r="G213" s="1137"/>
      <c r="H213" s="1393">
        <f t="shared" si="26"/>
        <v>0</v>
      </c>
      <c r="I213" s="1138"/>
      <c r="J213" s="1138" t="str">
        <f>VLOOKUP(B213,'[15]Gui chi Quynh'!$B$11:$E$396,4,FALSE)</f>
        <v>A4</v>
      </c>
      <c r="K213" s="1138">
        <f t="shared" si="27"/>
        <v>0.5</v>
      </c>
      <c r="L213" s="1139">
        <v>23</v>
      </c>
      <c r="M213" s="1139">
        <f>VLOOKUP(B213,'[16]CN BC'!$H$10:$J$275,3,FALSE)</f>
        <v>23</v>
      </c>
      <c r="N213" s="1139">
        <f t="shared" si="23"/>
        <v>23</v>
      </c>
      <c r="O213" s="1140"/>
      <c r="P213" s="1141">
        <f t="shared" si="22"/>
        <v>5054400</v>
      </c>
      <c r="Q213" s="1519">
        <f t="shared" si="24"/>
        <v>2.16</v>
      </c>
      <c r="R213" s="1606">
        <v>2340000</v>
      </c>
      <c r="S213" s="1618">
        <f t="shared" si="25"/>
        <v>5054400</v>
      </c>
      <c r="T213" s="1142">
        <f t="shared" si="21"/>
        <v>201</v>
      </c>
      <c r="U213" s="1143">
        <f>IFERROR(INDEX('[16]CN BC'!$M$10:$M$276,MATCH(B213,'[16]CN BC'!$H$10:$H$276,0)),"")</f>
        <v>0</v>
      </c>
      <c r="V213" s="1144" t="str">
        <f>VLOOKUP(B213,TH.T4!B220:AC550,28,FALSE)</f>
        <v>CK</v>
      </c>
      <c r="W213" s="1130"/>
      <c r="X213" s="1146"/>
      <c r="Y213" s="1147"/>
      <c r="Z213" s="1146"/>
      <c r="AA213" s="1146"/>
      <c r="AB213" s="1146"/>
      <c r="AC213" s="1146"/>
      <c r="AD213" s="1146"/>
      <c r="AE213" s="1146"/>
    </row>
    <row r="214" spans="1:35" s="1148" customFormat="1" ht="25.5" customHeight="1">
      <c r="A214" s="1132">
        <f>_xlfn.AGGREGATE(4,7,A$12:A213)+1</f>
        <v>202</v>
      </c>
      <c r="B214" s="1133" t="s">
        <v>2000</v>
      </c>
      <c r="C214" s="1153"/>
      <c r="D214" s="1154"/>
      <c r="E214" s="1058" t="str">
        <f>VLOOKUP(B214,TH.Q2!B126:E457,4,FALSE)</f>
        <v>Giảng viên khoa Cơ khí</v>
      </c>
      <c r="F214" s="1136">
        <v>2.67</v>
      </c>
      <c r="G214" s="1137"/>
      <c r="H214" s="1393">
        <f t="shared" si="26"/>
        <v>0</v>
      </c>
      <c r="I214" s="1138"/>
      <c r="J214" s="1138" t="str">
        <f>VLOOKUP(B214,'[15]Gui chi Quynh'!$B$11:$E$396,4,FALSE)</f>
        <v>A3</v>
      </c>
      <c r="K214" s="1138">
        <f t="shared" si="27"/>
        <v>0.6</v>
      </c>
      <c r="L214" s="1139">
        <v>23</v>
      </c>
      <c r="M214" s="1139">
        <f>VLOOKUP(B214,'[16]CN BC'!$H$10:$J$275,3,FALSE)</f>
        <v>23</v>
      </c>
      <c r="N214" s="1139">
        <f t="shared" si="23"/>
        <v>23</v>
      </c>
      <c r="O214" s="1140"/>
      <c r="P214" s="1141">
        <f t="shared" si="22"/>
        <v>3748680</v>
      </c>
      <c r="Q214" s="1519">
        <f t="shared" si="24"/>
        <v>1.6020000000000001</v>
      </c>
      <c r="R214" s="1606">
        <v>2340000</v>
      </c>
      <c r="S214" s="1618">
        <f t="shared" si="25"/>
        <v>3748680</v>
      </c>
      <c r="T214" s="1142">
        <f t="shared" si="21"/>
        <v>202</v>
      </c>
      <c r="U214" s="1143">
        <f>IFERROR(INDEX('[16]CN BC'!$M$10:$M$276,MATCH(B214,'[16]CN BC'!$H$10:$H$276,0)),"")</f>
        <v>0</v>
      </c>
      <c r="V214" s="1144" t="str">
        <f>VLOOKUP(B214,TH.T4!B221:AC551,28,FALSE)</f>
        <v>CK</v>
      </c>
      <c r="W214" s="1130"/>
      <c r="X214" s="1146"/>
      <c r="Y214" s="1158"/>
    </row>
    <row r="215" spans="1:35" s="1148" customFormat="1" ht="27" customHeight="1">
      <c r="A215" s="1132">
        <f>_xlfn.AGGREGATE(4,7,A$12:A214)+1</f>
        <v>203</v>
      </c>
      <c r="B215" s="1133" t="s">
        <v>1855</v>
      </c>
      <c r="C215" s="1153" t="s">
        <v>1651</v>
      </c>
      <c r="D215" s="1154" t="s">
        <v>1292</v>
      </c>
      <c r="E215" s="1058" t="str">
        <f>VLOOKUP(B215,TH.Q2!B127:E458,4,FALSE)</f>
        <v>Giảng viên khoa Cơ khí</v>
      </c>
      <c r="F215" s="1136">
        <v>4.9800000000000004</v>
      </c>
      <c r="G215" s="1137">
        <v>7.0000000000000007E-2</v>
      </c>
      <c r="H215" s="1393">
        <f t="shared" si="26"/>
        <v>0.34899999999999998</v>
      </c>
      <c r="I215" s="1138">
        <v>0.35</v>
      </c>
      <c r="J215" s="1138" t="str">
        <f>VLOOKUP(B215,'[15]Gui chi Quynh'!$B$11:$E$396,4,FALSE)</f>
        <v>A3</v>
      </c>
      <c r="K215" s="1138">
        <f t="shared" si="27"/>
        <v>0.6</v>
      </c>
      <c r="L215" s="1139">
        <v>23</v>
      </c>
      <c r="M215" s="1139">
        <f>VLOOKUP(B215,'[16]CN BC'!$H$10:$J$275,3,FALSE)</f>
        <v>23</v>
      </c>
      <c r="N215" s="1139">
        <f t="shared" si="23"/>
        <v>23</v>
      </c>
      <c r="O215" s="1140"/>
      <c r="P215" s="1141">
        <f t="shared" si="22"/>
        <v>7973316.0000000009</v>
      </c>
      <c r="Q215" s="1519">
        <f t="shared" si="24"/>
        <v>3.4074000000000004</v>
      </c>
      <c r="R215" s="1606">
        <v>2340000</v>
      </c>
      <c r="S215" s="1618">
        <f t="shared" si="25"/>
        <v>7973316.0000000009</v>
      </c>
      <c r="T215" s="1142">
        <f t="shared" si="21"/>
        <v>203</v>
      </c>
      <c r="U215" s="1143">
        <f>IFERROR(INDEX('[16]CN BC'!$M$10:$M$276,MATCH(B215,'[16]CN BC'!$H$10:$H$276,0)),"")</f>
        <v>0</v>
      </c>
      <c r="V215" s="1144" t="str">
        <f>VLOOKUP(B215,TH.T4!B222:AC552,28,FALSE)</f>
        <v>CK</v>
      </c>
      <c r="W215" s="1130"/>
      <c r="X215" s="1146"/>
      <c r="Y215" s="1147"/>
    </row>
    <row r="216" spans="1:35" s="1146" customFormat="1" ht="25.5" customHeight="1">
      <c r="A216" s="1132">
        <f>_xlfn.AGGREGATE(4,7,A$12:A215)+1</f>
        <v>204</v>
      </c>
      <c r="B216" s="1172" t="s">
        <v>1898</v>
      </c>
      <c r="C216" s="1149" t="s">
        <v>1781</v>
      </c>
      <c r="D216" s="1173" t="s">
        <v>1386</v>
      </c>
      <c r="E216" s="1058" t="str">
        <f>VLOOKUP(B216,TH.Q2!B128:E459,4,FALSE)</f>
        <v>Trưởng khoa Điện - Điện tử</v>
      </c>
      <c r="F216" s="1174">
        <v>4.6500000000000004</v>
      </c>
      <c r="G216" s="1175"/>
      <c r="H216" s="1393">
        <f t="shared" si="26"/>
        <v>0</v>
      </c>
      <c r="I216" s="1138">
        <v>0.45</v>
      </c>
      <c r="J216" s="1138" t="str">
        <f>VLOOKUP(B216,'[15]Gui chi Quynh'!$B$11:$E$396,4,FALSE)</f>
        <v>A1</v>
      </c>
      <c r="K216" s="1138">
        <f t="shared" si="27"/>
        <v>0.8</v>
      </c>
      <c r="L216" s="1139">
        <v>23</v>
      </c>
      <c r="M216" s="1139">
        <f>VLOOKUP(B216,'[16]CN BC'!$H$10:$J$275,3,FALSE)</f>
        <v>23</v>
      </c>
      <c r="N216" s="1139">
        <f t="shared" si="23"/>
        <v>23</v>
      </c>
      <c r="O216" s="1140"/>
      <c r="P216" s="1141">
        <f t="shared" si="22"/>
        <v>9547200.0000000019</v>
      </c>
      <c r="Q216" s="1519">
        <f t="shared" si="24"/>
        <v>4.080000000000001</v>
      </c>
      <c r="R216" s="1606">
        <v>2340000</v>
      </c>
      <c r="S216" s="1618">
        <f t="shared" si="25"/>
        <v>9547200.0000000019</v>
      </c>
      <c r="T216" s="1142">
        <f t="shared" si="21"/>
        <v>204</v>
      </c>
      <c r="U216" s="1143">
        <f>IFERROR(INDEX('[16]CN BC'!$M$10:$M$276,MATCH(B216,'[16]CN BC'!$H$10:$H$276,0)),"")</f>
        <v>0</v>
      </c>
      <c r="V216" s="1144" t="str">
        <f>VLOOKUP(B216,TH.T4!B223:AC553,28,FALSE)</f>
        <v>Đ-ĐT</v>
      </c>
      <c r="W216" s="1130"/>
      <c r="Y216" s="1147"/>
    </row>
    <row r="217" spans="1:35" s="1148" customFormat="1" ht="27.75" customHeight="1">
      <c r="A217" s="1132">
        <f>_xlfn.AGGREGATE(4,7,A$12:A216)+1</f>
        <v>205</v>
      </c>
      <c r="B217" s="1133" t="s">
        <v>526</v>
      </c>
      <c r="C217" s="1149" t="s">
        <v>1646</v>
      </c>
      <c r="D217" s="1154" t="s">
        <v>1398</v>
      </c>
      <c r="E217" s="1058" t="str">
        <f>VLOOKUP(B217,TH.Q2!B129:E460,4,FALSE)</f>
        <v>Phó Trưởng khoa Điện - Điện tử</v>
      </c>
      <c r="F217" s="1136">
        <v>4.9800000000000004</v>
      </c>
      <c r="G217" s="1137">
        <v>0.17</v>
      </c>
      <c r="H217" s="1393">
        <f t="shared" si="26"/>
        <v>0.84699999999999998</v>
      </c>
      <c r="I217" s="1138">
        <f>0.35</f>
        <v>0.35</v>
      </c>
      <c r="J217" s="1138" t="str">
        <f>VLOOKUP(B217,'[15]Gui chi Quynh'!$B$11:$E$396,4,FALSE)</f>
        <v>A1</v>
      </c>
      <c r="K217" s="1138">
        <f t="shared" si="27"/>
        <v>0.8</v>
      </c>
      <c r="L217" s="1139">
        <v>23</v>
      </c>
      <c r="M217" s="1139">
        <f>VLOOKUP(B217,'[16]CN BC'!$H$10:$J$275,3,FALSE)</f>
        <v>23</v>
      </c>
      <c r="N217" s="1139">
        <f t="shared" si="23"/>
        <v>23</v>
      </c>
      <c r="O217" s="1140"/>
      <c r="P217" s="1141">
        <f t="shared" si="22"/>
        <v>11563344.000000002</v>
      </c>
      <c r="Q217" s="1519">
        <f t="shared" si="24"/>
        <v>4.9416000000000011</v>
      </c>
      <c r="R217" s="1606">
        <v>2340000</v>
      </c>
      <c r="S217" s="1618">
        <f t="shared" si="25"/>
        <v>11563344.000000002</v>
      </c>
      <c r="T217" s="1142">
        <f t="shared" si="21"/>
        <v>205</v>
      </c>
      <c r="U217" s="1143">
        <f>IFERROR(INDEX('[16]CN BC'!$M$10:$M$276,MATCH(B217,'[16]CN BC'!$H$10:$H$276,0)),"")</f>
        <v>0</v>
      </c>
      <c r="V217" s="1144" t="str">
        <f>VLOOKUP(B217,TH.T4!B224:AC554,28,FALSE)</f>
        <v>Đ-ĐT</v>
      </c>
      <c r="W217" s="1130"/>
      <c r="X217" s="1146"/>
      <c r="Y217" s="1147"/>
      <c r="Z217" s="1146"/>
      <c r="AA217" s="1146"/>
      <c r="AB217" s="1146"/>
      <c r="AC217" s="1146"/>
      <c r="AD217" s="1146"/>
      <c r="AE217" s="1146"/>
      <c r="AF217" s="1146"/>
      <c r="AG217" s="1146"/>
      <c r="AH217" s="1146"/>
      <c r="AI217" s="1146"/>
    </row>
    <row r="218" spans="1:35" s="1148" customFormat="1" ht="24.75" customHeight="1">
      <c r="A218" s="1132">
        <f>_xlfn.AGGREGATE(4,7,A$12:A217)+1</f>
        <v>206</v>
      </c>
      <c r="B218" s="1133" t="s">
        <v>1899</v>
      </c>
      <c r="C218" s="1153" t="s">
        <v>1778</v>
      </c>
      <c r="D218" s="1154" t="s">
        <v>1381</v>
      </c>
      <c r="E218" s="383" t="str">
        <f>VLOOKUP(B218,TH.Q2!B130:E461,4,FALSE)</f>
        <v>Giảng viên khoa Điện - Điện tử</v>
      </c>
      <c r="F218" s="1136">
        <v>4.9800000000000004</v>
      </c>
      <c r="G218" s="1137">
        <v>7.0000000000000007E-2</v>
      </c>
      <c r="H218" s="1400">
        <f t="shared" si="26"/>
        <v>0.34899999999999998</v>
      </c>
      <c r="I218" s="1138"/>
      <c r="J218" s="1138" t="str">
        <f>VLOOKUP(B218,'[15]Gui chi Quynh'!$B$11:$E$396,4,FALSE)</f>
        <v>A2</v>
      </c>
      <c r="K218" s="1138">
        <f t="shared" si="27"/>
        <v>0.7</v>
      </c>
      <c r="L218" s="1139">
        <v>23</v>
      </c>
      <c r="M218" s="1139">
        <f>VLOOKUP(B218,'[16]CN BC'!$H$10:$J$275,3,FALSE)</f>
        <v>23</v>
      </c>
      <c r="N218" s="1139">
        <f t="shared" si="23"/>
        <v>23</v>
      </c>
      <c r="O218" s="1155"/>
      <c r="P218" s="1141">
        <f t="shared" si="22"/>
        <v>8728902.0000000019</v>
      </c>
      <c r="Q218" s="1519">
        <f t="shared" si="24"/>
        <v>3.7303000000000006</v>
      </c>
      <c r="R218" s="1606">
        <v>2340000</v>
      </c>
      <c r="S218" s="1618">
        <f t="shared" si="25"/>
        <v>8728902.0000000019</v>
      </c>
      <c r="T218" s="1142">
        <f t="shared" ref="T218:T281" si="28">A218</f>
        <v>206</v>
      </c>
      <c r="U218" s="1143">
        <f>IFERROR(INDEX('[16]CN BC'!$M$10:$M$276,MATCH(B218,'[16]CN BC'!$H$10:$H$276,0)),"")</f>
        <v>0</v>
      </c>
      <c r="V218" s="1189" t="str">
        <f>VLOOKUP(B218,TH.T4!B225:AC555,28,FALSE)</f>
        <v>Đ-ĐT</v>
      </c>
      <c r="W218" s="1171"/>
      <c r="Y218" s="1158"/>
    </row>
    <row r="219" spans="1:35" s="1148" customFormat="1" ht="28.5" customHeight="1">
      <c r="A219" s="1132">
        <f>_xlfn.AGGREGATE(4,7,A$12:A218)+1</f>
        <v>207</v>
      </c>
      <c r="B219" s="1133" t="s">
        <v>461</v>
      </c>
      <c r="C219" s="1153" t="s">
        <v>1779</v>
      </c>
      <c r="D219" s="1154" t="s">
        <v>1384</v>
      </c>
      <c r="E219" s="383" t="str">
        <f>VLOOKUP(B219,TH.Q2!B131:E462,4,FALSE)</f>
        <v>Giảng viên khoa Điện - Điện tử</v>
      </c>
      <c r="F219" s="1136">
        <v>4.9800000000000004</v>
      </c>
      <c r="G219" s="1137">
        <v>7.0000000000000007E-2</v>
      </c>
      <c r="H219" s="1400">
        <f t="shared" si="26"/>
        <v>0.34899999999999998</v>
      </c>
      <c r="I219" s="1138"/>
      <c r="J219" s="1138" t="str">
        <f>VLOOKUP(B219,'[15]Gui chi Quynh'!$B$11:$E$396,4,FALSE)</f>
        <v>A3</v>
      </c>
      <c r="K219" s="1138">
        <f t="shared" si="27"/>
        <v>0.6</v>
      </c>
      <c r="L219" s="1139">
        <v>23</v>
      </c>
      <c r="M219" s="1139">
        <f>VLOOKUP(B219,'[16]CN BC'!$H$10:$J$275,3,FALSE)</f>
        <v>23</v>
      </c>
      <c r="N219" s="1139">
        <f t="shared" si="23"/>
        <v>23</v>
      </c>
      <c r="O219" s="1155"/>
      <c r="P219" s="1141">
        <f t="shared" si="22"/>
        <v>7481916.0000000019</v>
      </c>
      <c r="Q219" s="1519">
        <f t="shared" si="24"/>
        <v>3.1974000000000009</v>
      </c>
      <c r="R219" s="1606">
        <v>2340000</v>
      </c>
      <c r="S219" s="1618">
        <f t="shared" si="25"/>
        <v>7481916.0000000019</v>
      </c>
      <c r="T219" s="1142">
        <f t="shared" si="28"/>
        <v>207</v>
      </c>
      <c r="U219" s="1143">
        <f>IFERROR(INDEX('[16]CN BC'!$M$10:$M$276,MATCH(B219,'[16]CN BC'!$H$10:$H$276,0)),"")</f>
        <v>0</v>
      </c>
      <c r="V219" s="1189" t="str">
        <f>VLOOKUP(B219,TH.T4!B226:AC556,28,FALSE)</f>
        <v>Đ-ĐT</v>
      </c>
      <c r="W219" s="1171"/>
      <c r="Y219" s="1158"/>
    </row>
    <row r="220" spans="1:35" s="1148" customFormat="1" ht="25.5" customHeight="1">
      <c r="A220" s="1132">
        <f>_xlfn.AGGREGATE(4,7,A$12:A219)+1</f>
        <v>208</v>
      </c>
      <c r="B220" s="1133" t="s">
        <v>1900</v>
      </c>
      <c r="C220" s="1153" t="s">
        <v>1780</v>
      </c>
      <c r="D220" s="1154" t="s">
        <v>1385</v>
      </c>
      <c r="E220" s="383" t="str">
        <f>VLOOKUP(B220,TH.Q2!B132:E463,4,FALSE)</f>
        <v>Giảng viên khoa Điện - Điện tử</v>
      </c>
      <c r="F220" s="1136">
        <v>4.9800000000000004</v>
      </c>
      <c r="G220" s="1137"/>
      <c r="H220" s="1400">
        <f t="shared" si="26"/>
        <v>0</v>
      </c>
      <c r="I220" s="1138"/>
      <c r="J220" s="1138" t="str">
        <f>VLOOKUP(B220,'[15]Gui chi Quynh'!$B$11:$E$396,4,FALSE)</f>
        <v>A3</v>
      </c>
      <c r="K220" s="1138">
        <f t="shared" si="27"/>
        <v>0.6</v>
      </c>
      <c r="L220" s="1139">
        <v>23</v>
      </c>
      <c r="M220" s="1139">
        <f>VLOOKUP(B220,'[16]CN BC'!$H$10:$J$275,3,FALSE)</f>
        <v>23</v>
      </c>
      <c r="N220" s="1139">
        <f t="shared" si="23"/>
        <v>23</v>
      </c>
      <c r="O220" s="1155"/>
      <c r="P220" s="1141">
        <f t="shared" si="22"/>
        <v>6991920.0000000009</v>
      </c>
      <c r="Q220" s="1519">
        <f t="shared" si="24"/>
        <v>2.9880000000000004</v>
      </c>
      <c r="R220" s="1606">
        <v>2340000</v>
      </c>
      <c r="S220" s="1618">
        <f t="shared" si="25"/>
        <v>6991920.0000000009</v>
      </c>
      <c r="T220" s="1142">
        <f t="shared" si="28"/>
        <v>208</v>
      </c>
      <c r="U220" s="1143">
        <f>IFERROR(INDEX('[16]CN BC'!$M$10:$M$276,MATCH(B220,'[16]CN BC'!$H$10:$H$276,0)),"")</f>
        <v>0</v>
      </c>
      <c r="V220" s="1189" t="str">
        <f>VLOOKUP(B220,TH.T4!B227:AC557,28,FALSE)</f>
        <v>Đ-ĐT</v>
      </c>
      <c r="W220" s="1171"/>
      <c r="Y220" s="1158"/>
    </row>
    <row r="221" spans="1:35" s="1148" customFormat="1" ht="25.5" customHeight="1">
      <c r="A221" s="1132">
        <f>_xlfn.AGGREGATE(4,7,A$12:A220)+1</f>
        <v>209</v>
      </c>
      <c r="B221" s="1133" t="s">
        <v>1901</v>
      </c>
      <c r="C221" s="1153" t="s">
        <v>1782</v>
      </c>
      <c r="D221" s="1154" t="s">
        <v>1387</v>
      </c>
      <c r="E221" s="383" t="str">
        <f>VLOOKUP(B221,TH.Q2!B133:E464,4,FALSE)</f>
        <v>Giảng viên khoa Điện - Điện tử</v>
      </c>
      <c r="F221" s="1136">
        <v>4.32</v>
      </c>
      <c r="G221" s="1137"/>
      <c r="H221" s="1400">
        <f t="shared" si="26"/>
        <v>0</v>
      </c>
      <c r="I221" s="1138"/>
      <c r="J221" s="1138" t="str">
        <f>VLOOKUP(B221,'[15]Gui chi Quynh'!$B$11:$E$396,4,FALSE)</f>
        <v>A3</v>
      </c>
      <c r="K221" s="1138">
        <f t="shared" si="27"/>
        <v>0.6</v>
      </c>
      <c r="L221" s="1139">
        <v>23</v>
      </c>
      <c r="M221" s="1139">
        <f>VLOOKUP(B221,'[16]CN BC'!$H$10:$J$275,3,FALSE)</f>
        <v>23</v>
      </c>
      <c r="N221" s="1139">
        <f t="shared" si="23"/>
        <v>23</v>
      </c>
      <c r="O221" s="1155"/>
      <c r="P221" s="1141">
        <f t="shared" si="22"/>
        <v>6065280</v>
      </c>
      <c r="Q221" s="1519">
        <f t="shared" si="24"/>
        <v>2.5920000000000001</v>
      </c>
      <c r="R221" s="1606">
        <v>2340000</v>
      </c>
      <c r="S221" s="1618">
        <f t="shared" si="25"/>
        <v>6065280</v>
      </c>
      <c r="T221" s="1142">
        <f t="shared" si="28"/>
        <v>209</v>
      </c>
      <c r="U221" s="1143">
        <f>IFERROR(INDEX('[16]CN BC'!$M$10:$M$276,MATCH(B221,'[16]CN BC'!$H$10:$H$276,0)),"")</f>
        <v>0</v>
      </c>
      <c r="V221" s="1189" t="str">
        <f>VLOOKUP(B221,TH.T4!B228:AC558,28,FALSE)</f>
        <v>Đ-ĐT</v>
      </c>
      <c r="W221" s="1171"/>
      <c r="Y221" s="1158"/>
    </row>
    <row r="222" spans="1:35" s="1148" customFormat="1" ht="25.5" customHeight="1">
      <c r="A222" s="1132">
        <f>_xlfn.AGGREGATE(4,7,A$12:A221)+1</f>
        <v>210</v>
      </c>
      <c r="B222" s="1133" t="s">
        <v>1534</v>
      </c>
      <c r="C222" s="1153" t="s">
        <v>1783</v>
      </c>
      <c r="D222" s="1154" t="s">
        <v>1388</v>
      </c>
      <c r="E222" s="383" t="str">
        <f>VLOOKUP(B222,TH.Q2!B134:E465,4,FALSE)</f>
        <v>Giảng viên khoa
Điện - Điện tử</v>
      </c>
      <c r="F222" s="1136">
        <v>4.6500000000000004</v>
      </c>
      <c r="G222" s="1137"/>
      <c r="H222" s="1400">
        <f t="shared" si="26"/>
        <v>0</v>
      </c>
      <c r="I222" s="1138"/>
      <c r="J222" s="1138" t="str">
        <f>VLOOKUP(B222,'[15]Gui chi Quynh'!$B$11:$E$396,4,FALSE)</f>
        <v>A3</v>
      </c>
      <c r="K222" s="1138">
        <f t="shared" si="27"/>
        <v>0.6</v>
      </c>
      <c r="L222" s="1139">
        <v>23</v>
      </c>
      <c r="M222" s="1139">
        <f>VLOOKUP(B222,'[16]CN BC'!$H$10:$J$275,3,FALSE)</f>
        <v>23</v>
      </c>
      <c r="N222" s="1139">
        <f t="shared" si="23"/>
        <v>23</v>
      </c>
      <c r="O222" s="1155"/>
      <c r="P222" s="1141">
        <f t="shared" si="22"/>
        <v>6528600</v>
      </c>
      <c r="Q222" s="1519">
        <f t="shared" si="24"/>
        <v>2.79</v>
      </c>
      <c r="R222" s="1606">
        <v>2340000</v>
      </c>
      <c r="S222" s="1618">
        <f t="shared" si="25"/>
        <v>6528600</v>
      </c>
      <c r="T222" s="1142">
        <f t="shared" si="28"/>
        <v>210</v>
      </c>
      <c r="U222" s="1143">
        <f>IFERROR(INDEX('[16]CN BC'!$M$10:$M$276,MATCH(B222,'[16]CN BC'!$H$10:$H$276,0)),"")</f>
        <v>0</v>
      </c>
      <c r="V222" s="1189" t="str">
        <f>VLOOKUP(B222,TH.T4!B229:AC559,28,FALSE)</f>
        <v>Đ-ĐT</v>
      </c>
      <c r="W222" s="1171"/>
      <c r="Y222" s="1158"/>
    </row>
    <row r="223" spans="1:35" s="1148" customFormat="1" ht="25.5" customHeight="1">
      <c r="A223" s="1132">
        <f>_xlfn.AGGREGATE(4,7,A$12:A222)+1</f>
        <v>211</v>
      </c>
      <c r="B223" s="1133" t="s">
        <v>1535</v>
      </c>
      <c r="C223" s="1153" t="s">
        <v>1784</v>
      </c>
      <c r="D223" s="1150" t="s">
        <v>1595</v>
      </c>
      <c r="E223" s="383" t="str">
        <f>VLOOKUP(B223,TH.Q2!B135:E466,4,FALSE)</f>
        <v>Trưởng BM Cơ điện tử và Tự động hóa</v>
      </c>
      <c r="F223" s="1160">
        <v>3.66</v>
      </c>
      <c r="G223" s="1137"/>
      <c r="H223" s="1400">
        <f t="shared" si="26"/>
        <v>0</v>
      </c>
      <c r="I223" s="1138">
        <v>0.25</v>
      </c>
      <c r="J223" s="1138" t="str">
        <f>VLOOKUP(B223,'[15]Gui chi Quynh'!$B$11:$E$396,4,FALSE)</f>
        <v>A1</v>
      </c>
      <c r="K223" s="1138">
        <f t="shared" si="27"/>
        <v>0.8</v>
      </c>
      <c r="L223" s="1139">
        <v>23</v>
      </c>
      <c r="M223" s="1139">
        <f>VLOOKUP(B223,'[16]CN BC'!$H$10:$J$275,3,FALSE)</f>
        <v>23</v>
      </c>
      <c r="N223" s="1139">
        <f t="shared" si="23"/>
        <v>23</v>
      </c>
      <c r="O223" s="1155"/>
      <c r="P223" s="1141">
        <f t="shared" si="22"/>
        <v>7319520</v>
      </c>
      <c r="Q223" s="1519">
        <f t="shared" si="24"/>
        <v>3.1280000000000001</v>
      </c>
      <c r="R223" s="1606">
        <v>2340000</v>
      </c>
      <c r="S223" s="1618">
        <f t="shared" si="25"/>
        <v>7319520</v>
      </c>
      <c r="T223" s="1142">
        <f t="shared" si="28"/>
        <v>211</v>
      </c>
      <c r="U223" s="1143">
        <f>IFERROR(INDEX('[16]CN BC'!$M$10:$M$276,MATCH(B223,'[16]CN BC'!$H$10:$H$276,0)),"")</f>
        <v>0</v>
      </c>
      <c r="V223" s="1189" t="str">
        <f>VLOOKUP(B223,TH.T4!B230:AC560,28,FALSE)</f>
        <v>Đ-ĐT</v>
      </c>
      <c r="W223" s="1171"/>
      <c r="Y223" s="1158"/>
    </row>
    <row r="224" spans="1:35" s="1148" customFormat="1" ht="24.75" customHeight="1">
      <c r="A224" s="1132">
        <f>_xlfn.AGGREGATE(4,7,A$12:A223)+1</f>
        <v>212</v>
      </c>
      <c r="B224" s="1223" t="s">
        <v>1903</v>
      </c>
      <c r="C224" s="1153" t="s">
        <v>1786</v>
      </c>
      <c r="D224" s="1154" t="s">
        <v>1392</v>
      </c>
      <c r="E224" s="1058" t="str">
        <f>VLOOKUP(B224,TH.Q2!B136:E467,4,FALSE)</f>
        <v>Giảng viên khoa Điện - Điện tử</v>
      </c>
      <c r="F224" s="1160">
        <v>4.32</v>
      </c>
      <c r="G224" s="1137"/>
      <c r="H224" s="1393">
        <f t="shared" si="26"/>
        <v>0</v>
      </c>
      <c r="I224" s="1138"/>
      <c r="J224" s="1138" t="str">
        <f>VLOOKUP(B224,'[15]Gui chi Quynh'!$B$11:$E$396,4,FALSE)</f>
        <v>A3</v>
      </c>
      <c r="K224" s="1138">
        <f t="shared" si="27"/>
        <v>0.6</v>
      </c>
      <c r="L224" s="1139">
        <v>23</v>
      </c>
      <c r="M224" s="1139">
        <f>VLOOKUP(B224,'[16]CN BC'!$H$10:$J$275,3,FALSE)</f>
        <v>23</v>
      </c>
      <c r="N224" s="1139">
        <f t="shared" si="23"/>
        <v>23</v>
      </c>
      <c r="O224" s="1140"/>
      <c r="P224" s="1141">
        <f t="shared" si="22"/>
        <v>6065280</v>
      </c>
      <c r="Q224" s="1519">
        <f t="shared" si="24"/>
        <v>2.5920000000000001</v>
      </c>
      <c r="R224" s="1606">
        <v>2340000</v>
      </c>
      <c r="S224" s="1618">
        <f t="shared" si="25"/>
        <v>6065280</v>
      </c>
      <c r="T224" s="1142">
        <f t="shared" si="28"/>
        <v>212</v>
      </c>
      <c r="U224" s="1143">
        <f>IFERROR(INDEX('[16]CN BC'!$M$10:$M$276,MATCH(B224,'[16]CN BC'!$H$10:$H$276,0)),"")</f>
        <v>0</v>
      </c>
      <c r="V224" s="1144" t="str">
        <f>VLOOKUP(B224,TH.T4!B231:AC561,28,FALSE)</f>
        <v>Đ-ĐT</v>
      </c>
      <c r="W224" s="1167"/>
      <c r="X224" s="1146"/>
      <c r="Y224" s="1147"/>
      <c r="Z224" s="1146"/>
      <c r="AA224" s="1146"/>
      <c r="AB224" s="1146"/>
      <c r="AC224" s="1146"/>
      <c r="AD224" s="1146"/>
      <c r="AE224" s="1146"/>
    </row>
    <row r="225" spans="1:35" s="1148" customFormat="1" ht="24.75" customHeight="1">
      <c r="A225" s="1132">
        <f>_xlfn.AGGREGATE(4,7,A$12:A224)+1</f>
        <v>213</v>
      </c>
      <c r="B225" s="1133" t="s">
        <v>1904</v>
      </c>
      <c r="C225" s="1149" t="s">
        <v>1787</v>
      </c>
      <c r="D225" s="1154" t="s">
        <v>1396</v>
      </c>
      <c r="E225" s="1058" t="str">
        <f>VLOOKUP(B225,TH.Q2!B137:E468,4,FALSE)</f>
        <v>Giảng viên khoa Điện - Điện tử</v>
      </c>
      <c r="F225" s="1136">
        <v>4.6500000000000004</v>
      </c>
      <c r="G225" s="1137"/>
      <c r="H225" s="1393">
        <f t="shared" si="26"/>
        <v>0</v>
      </c>
      <c r="I225" s="1138"/>
      <c r="J225" s="1138" t="str">
        <f>VLOOKUP(B225,'[15]Gui chi Quynh'!$B$11:$E$396,4,FALSE)</f>
        <v>A4</v>
      </c>
      <c r="K225" s="1138">
        <f t="shared" si="27"/>
        <v>0.5</v>
      </c>
      <c r="L225" s="1139">
        <v>23</v>
      </c>
      <c r="M225" s="1139">
        <f>VLOOKUP(B225,'[16]CN BC'!$H$10:$J$275,3,FALSE)</f>
        <v>23</v>
      </c>
      <c r="N225" s="1139">
        <f t="shared" si="23"/>
        <v>23</v>
      </c>
      <c r="O225" s="1140"/>
      <c r="P225" s="1141">
        <f t="shared" si="22"/>
        <v>5440500</v>
      </c>
      <c r="Q225" s="1519">
        <f t="shared" si="24"/>
        <v>2.3250000000000002</v>
      </c>
      <c r="R225" s="1606">
        <v>2340000</v>
      </c>
      <c r="S225" s="1618">
        <f t="shared" si="25"/>
        <v>5440500</v>
      </c>
      <c r="T225" s="1142">
        <f t="shared" si="28"/>
        <v>213</v>
      </c>
      <c r="U225" s="1143">
        <f>IFERROR(INDEX('[16]CN BC'!$M$10:$M$276,MATCH(B225,'[16]CN BC'!$H$10:$H$276,0)),"")</f>
        <v>0</v>
      </c>
      <c r="V225" s="1144" t="str">
        <f>VLOOKUP(B225,TH.T4!B232:AC562,28,FALSE)</f>
        <v>Đ-ĐT</v>
      </c>
      <c r="W225" s="1130"/>
      <c r="X225" s="1146"/>
      <c r="Y225" s="1147"/>
      <c r="Z225" s="1146"/>
      <c r="AA225" s="1146"/>
      <c r="AB225" s="1146"/>
      <c r="AC225" s="1146"/>
      <c r="AD225" s="1146"/>
      <c r="AE225" s="1146"/>
      <c r="AF225" s="1146"/>
      <c r="AG225" s="1146"/>
      <c r="AH225" s="1146"/>
      <c r="AI225" s="1146"/>
    </row>
    <row r="226" spans="1:35" s="1148" customFormat="1" ht="24.75" customHeight="1">
      <c r="A226" s="1132">
        <f>_xlfn.AGGREGATE(4,7,A$12:A225)+1</f>
        <v>214</v>
      </c>
      <c r="B226" s="1133" t="s">
        <v>1536</v>
      </c>
      <c r="C226" s="1153" t="s">
        <v>1788</v>
      </c>
      <c r="D226" s="1154" t="s">
        <v>389</v>
      </c>
      <c r="E226" s="1058" t="str">
        <f>VLOOKUP(B226,TH.Q2!B138:E469,4,FALSE)</f>
        <v>Giảng viên khoa
Điện - Điện tử</v>
      </c>
      <c r="F226" s="1160">
        <v>3.66</v>
      </c>
      <c r="G226" s="1137"/>
      <c r="H226" s="1393">
        <f t="shared" si="26"/>
        <v>0</v>
      </c>
      <c r="I226" s="1138"/>
      <c r="J226" s="1138" t="str">
        <f>VLOOKUP(B226,'[15]Gui chi Quynh'!$B$11:$E$396,4,FALSE)</f>
        <v>A3</v>
      </c>
      <c r="K226" s="1138">
        <f t="shared" si="27"/>
        <v>0.6</v>
      </c>
      <c r="L226" s="1139">
        <v>23</v>
      </c>
      <c r="M226" s="1139">
        <f>VLOOKUP(B226,'[16]CN BC'!$H$10:$J$275,3,FALSE)</f>
        <v>23</v>
      </c>
      <c r="N226" s="1139">
        <f t="shared" si="23"/>
        <v>23</v>
      </c>
      <c r="O226" s="1140"/>
      <c r="P226" s="1141">
        <f t="shared" si="22"/>
        <v>5138640</v>
      </c>
      <c r="Q226" s="1519">
        <f t="shared" si="24"/>
        <v>2.1960000000000002</v>
      </c>
      <c r="R226" s="1606">
        <v>2340000</v>
      </c>
      <c r="S226" s="1618">
        <f t="shared" si="25"/>
        <v>5138640</v>
      </c>
      <c r="T226" s="1142">
        <f t="shared" si="28"/>
        <v>214</v>
      </c>
      <c r="U226" s="1143">
        <f>IFERROR(INDEX('[16]CN BC'!$M$10:$M$276,MATCH(B226,'[16]CN BC'!$H$10:$H$276,0)),"")</f>
        <v>0</v>
      </c>
      <c r="V226" s="1144" t="str">
        <f>VLOOKUP(B226,TH.T4!B233:AC563,28,FALSE)</f>
        <v>Đ-ĐT</v>
      </c>
      <c r="W226" s="1130"/>
      <c r="X226" s="1146"/>
      <c r="Y226" s="1147"/>
      <c r="Z226" s="1146"/>
      <c r="AA226" s="1146"/>
      <c r="AB226" s="1146"/>
      <c r="AC226" s="1146"/>
      <c r="AD226" s="1146"/>
      <c r="AE226" s="1146"/>
    </row>
    <row r="227" spans="1:35" s="1148" customFormat="1" ht="24.75" customHeight="1">
      <c r="A227" s="1132">
        <f>_xlfn.AGGREGATE(4,7,A$12:A226)+1</f>
        <v>215</v>
      </c>
      <c r="B227" s="1133" t="s">
        <v>1537</v>
      </c>
      <c r="C227" s="1153" t="s">
        <v>1789</v>
      </c>
      <c r="D227" s="1154" t="s">
        <v>1334</v>
      </c>
      <c r="E227" s="383" t="str">
        <f>VLOOKUP(B227,TH.Q2!B139:E470,4,FALSE)</f>
        <v>Giảng viên khoa
Điện - Điện tử</v>
      </c>
      <c r="F227" s="1160">
        <v>4.32</v>
      </c>
      <c r="G227" s="1137"/>
      <c r="H227" s="1400">
        <f t="shared" si="26"/>
        <v>0</v>
      </c>
      <c r="I227" s="1138"/>
      <c r="J227" s="1138" t="str">
        <f>VLOOKUP(B227,'[15]Gui chi Quynh'!$B$11:$E$396,4,FALSE)</f>
        <v>A3</v>
      </c>
      <c r="K227" s="1138">
        <f t="shared" si="27"/>
        <v>0.6</v>
      </c>
      <c r="L227" s="1139">
        <v>23</v>
      </c>
      <c r="M227" s="1139">
        <f>VLOOKUP(B227,'[16]CN BC'!$H$10:$J$275,3,FALSE)</f>
        <v>23</v>
      </c>
      <c r="N227" s="1139">
        <f t="shared" si="23"/>
        <v>23</v>
      </c>
      <c r="O227" s="1155"/>
      <c r="P227" s="1141">
        <f t="shared" si="22"/>
        <v>6065280</v>
      </c>
      <c r="Q227" s="1519">
        <f t="shared" si="24"/>
        <v>2.5920000000000001</v>
      </c>
      <c r="R227" s="1606">
        <v>2340000</v>
      </c>
      <c r="S227" s="1618">
        <f t="shared" si="25"/>
        <v>6065280</v>
      </c>
      <c r="T227" s="1142">
        <f t="shared" si="28"/>
        <v>215</v>
      </c>
      <c r="U227" s="1143">
        <f>IFERROR(INDEX('[16]CN BC'!$M$10:$M$276,MATCH(B227,'[16]CN BC'!$H$10:$H$276,0)),"")</f>
        <v>0</v>
      </c>
      <c r="V227" s="1189" t="str">
        <f>VLOOKUP(B227,TH.T4!B234:AC564,28,FALSE)</f>
        <v>Đ-ĐT</v>
      </c>
      <c r="W227" s="1171"/>
      <c r="Y227" s="1158"/>
    </row>
    <row r="228" spans="1:35" s="1148" customFormat="1" ht="24.75" customHeight="1">
      <c r="A228" s="1132">
        <f>_xlfn.AGGREGATE(4,7,A$12:A227)+1</f>
        <v>216</v>
      </c>
      <c r="B228" s="1133" t="s">
        <v>1905</v>
      </c>
      <c r="C228" s="1149" t="s">
        <v>1790</v>
      </c>
      <c r="D228" s="1168" t="s">
        <v>463</v>
      </c>
      <c r="E228" s="1058" t="str">
        <f>VLOOKUP(B228,TH.Q2!B140:E471,4,FALSE)</f>
        <v>Giảng viên khoa Điện - Điện tử</v>
      </c>
      <c r="F228" s="1160">
        <v>3.66</v>
      </c>
      <c r="G228" s="1137"/>
      <c r="H228" s="1393">
        <f t="shared" si="26"/>
        <v>0</v>
      </c>
      <c r="I228" s="1138"/>
      <c r="J228" s="1138" t="str">
        <f>VLOOKUP(B228,'[15]Gui chi Quynh'!$B$11:$E$396,4,FALSE)</f>
        <v>A3</v>
      </c>
      <c r="K228" s="1138">
        <f t="shared" si="27"/>
        <v>0.6</v>
      </c>
      <c r="L228" s="1139">
        <v>23</v>
      </c>
      <c r="M228" s="1139">
        <f>VLOOKUP(B228,'[16]CN BC'!$H$10:$J$275,3,FALSE)</f>
        <v>23</v>
      </c>
      <c r="N228" s="1139">
        <f t="shared" si="23"/>
        <v>23</v>
      </c>
      <c r="O228" s="1140"/>
      <c r="P228" s="1141">
        <f t="shared" si="22"/>
        <v>5138640</v>
      </c>
      <c r="Q228" s="1519">
        <f t="shared" si="24"/>
        <v>2.1960000000000002</v>
      </c>
      <c r="R228" s="1606">
        <v>2340000</v>
      </c>
      <c r="S228" s="1618">
        <f t="shared" si="25"/>
        <v>5138640</v>
      </c>
      <c r="T228" s="1142">
        <f t="shared" si="28"/>
        <v>216</v>
      </c>
      <c r="U228" s="1143">
        <f>IFERROR(INDEX('[16]CN BC'!$M$10:$M$276,MATCH(B228,'[16]CN BC'!$H$10:$H$276,0)),"")</f>
        <v>0</v>
      </c>
      <c r="V228" s="1144" t="str">
        <f>VLOOKUP(B228,TH.T4!B235:AC565,28,FALSE)</f>
        <v>Đ-ĐT</v>
      </c>
      <c r="W228" s="1130"/>
      <c r="X228" s="1146"/>
      <c r="Y228" s="1147"/>
      <c r="Z228" s="1146"/>
      <c r="AA228" s="1146"/>
      <c r="AB228" s="1146"/>
      <c r="AC228" s="1146"/>
      <c r="AD228" s="1146"/>
      <c r="AE228" s="1146"/>
      <c r="AF228" s="1146"/>
      <c r="AG228" s="1146"/>
      <c r="AH228" s="1146"/>
      <c r="AI228" s="1146"/>
    </row>
    <row r="229" spans="1:35" s="1148" customFormat="1" ht="34.5" customHeight="1">
      <c r="A229" s="1132">
        <f>_xlfn.AGGREGATE(4,7,A$12:A228)+1</f>
        <v>217</v>
      </c>
      <c r="B229" s="1133" t="s">
        <v>1538</v>
      </c>
      <c r="C229" s="1149" t="s">
        <v>1791</v>
      </c>
      <c r="D229" s="1168" t="s">
        <v>510</v>
      </c>
      <c r="E229" s="1058" t="str">
        <f>VLOOKUP(B229,TH.Q2!B141:E472,4,FALSE)</f>
        <v>Giảng viên khoa
Điện - Điện tử</v>
      </c>
      <c r="F229" s="1160">
        <v>3.66</v>
      </c>
      <c r="G229" s="1137"/>
      <c r="H229" s="1393">
        <f t="shared" si="26"/>
        <v>0</v>
      </c>
      <c r="I229" s="1138"/>
      <c r="J229" s="1138" t="str">
        <f>VLOOKUP(B229,'[15]Gui chi Quynh'!$B$11:$E$396,4,FALSE)</f>
        <v>A1</v>
      </c>
      <c r="K229" s="1138">
        <f t="shared" si="27"/>
        <v>0.8</v>
      </c>
      <c r="L229" s="1139">
        <v>23</v>
      </c>
      <c r="M229" s="1139">
        <f>VLOOKUP(B229,'[16]CN BC'!$H$10:$J$275,3,FALSE)</f>
        <v>23</v>
      </c>
      <c r="N229" s="1139">
        <f t="shared" si="23"/>
        <v>23</v>
      </c>
      <c r="O229" s="1140"/>
      <c r="P229" s="1141">
        <f t="shared" si="22"/>
        <v>6851520</v>
      </c>
      <c r="Q229" s="1519">
        <f t="shared" si="24"/>
        <v>2.9279999999999999</v>
      </c>
      <c r="R229" s="1606">
        <v>2340000</v>
      </c>
      <c r="S229" s="1618">
        <f t="shared" si="25"/>
        <v>6851520</v>
      </c>
      <c r="T229" s="1142">
        <f t="shared" si="28"/>
        <v>217</v>
      </c>
      <c r="U229" s="1143">
        <f>IFERROR(INDEX('[16]CN BC'!$M$10:$M$276,MATCH(B229,'[16]CN BC'!$H$10:$H$276,0)),"")</f>
        <v>0</v>
      </c>
      <c r="V229" s="1144" t="str">
        <f>VLOOKUP(B229,TH.T4!B236:AC566,28,FALSE)</f>
        <v>Đ-ĐT</v>
      </c>
      <c r="W229" s="1130"/>
      <c r="X229" s="1146"/>
      <c r="Y229" s="1147"/>
      <c r="Z229" s="1146"/>
      <c r="AA229" s="1146"/>
      <c r="AB229" s="1146"/>
      <c r="AC229" s="1146"/>
      <c r="AD229" s="1146"/>
      <c r="AE229" s="1146"/>
      <c r="AF229" s="1146"/>
      <c r="AG229" s="1146"/>
      <c r="AH229" s="1146"/>
      <c r="AI229" s="1146"/>
    </row>
    <row r="230" spans="1:35" s="1148" customFormat="1" ht="25.5" customHeight="1">
      <c r="A230" s="1132">
        <f>_xlfn.AGGREGATE(4,7,A$12:A229)+1</f>
        <v>218</v>
      </c>
      <c r="B230" s="1133" t="s">
        <v>1906</v>
      </c>
      <c r="C230" s="1153" t="s">
        <v>1792</v>
      </c>
      <c r="D230" s="1154" t="s">
        <v>1399</v>
      </c>
      <c r="E230" s="1058" t="str">
        <f>VLOOKUP(B230,TH.Q2!B142:E473,4,FALSE)</f>
        <v>Giảng viên khoa Điện - Điện tử</v>
      </c>
      <c r="F230" s="1136">
        <v>4.9800000000000004</v>
      </c>
      <c r="G230" s="1137">
        <v>0.09</v>
      </c>
      <c r="H230" s="1393">
        <f t="shared" si="26"/>
        <v>0.44800000000000001</v>
      </c>
      <c r="I230" s="1138">
        <v>0.35</v>
      </c>
      <c r="J230" s="1138" t="str">
        <f>VLOOKUP(B230,'[15]Gui chi Quynh'!$B$11:$E$396,4,FALSE)</f>
        <v>A1</v>
      </c>
      <c r="K230" s="1138">
        <f t="shared" si="27"/>
        <v>0.8</v>
      </c>
      <c r="L230" s="1139">
        <v>23</v>
      </c>
      <c r="M230" s="1139">
        <f>VLOOKUP(B230,'[16]CN BC'!$H$10:$J$275,3,FALSE)</f>
        <v>23</v>
      </c>
      <c r="N230" s="1139">
        <f t="shared" si="23"/>
        <v>23</v>
      </c>
      <c r="O230" s="1140"/>
      <c r="P230" s="1141">
        <f t="shared" si="22"/>
        <v>10816416</v>
      </c>
      <c r="Q230" s="1519">
        <f t="shared" si="24"/>
        <v>4.6223999999999998</v>
      </c>
      <c r="R230" s="1606">
        <v>2340000</v>
      </c>
      <c r="S230" s="1618">
        <f t="shared" si="25"/>
        <v>10816416</v>
      </c>
      <c r="T230" s="1142">
        <f t="shared" si="28"/>
        <v>218</v>
      </c>
      <c r="U230" s="1143">
        <f>IFERROR(INDEX('[16]CN BC'!$M$10:$M$276,MATCH(B230,'[16]CN BC'!$H$10:$H$276,0)),"")</f>
        <v>0</v>
      </c>
      <c r="V230" s="1144" t="str">
        <f>VLOOKUP(B230,TH.T4!B237:AC567,28,FALSE)</f>
        <v>Đ-ĐT</v>
      </c>
      <c r="W230" s="1130"/>
      <c r="X230" s="1146"/>
      <c r="Y230" s="1147"/>
      <c r="Z230" s="1146"/>
      <c r="AA230" s="1146"/>
      <c r="AB230" s="1146"/>
      <c r="AC230" s="1146"/>
      <c r="AD230" s="1146"/>
      <c r="AE230" s="1146"/>
    </row>
    <row r="231" spans="1:35" s="1148" customFormat="1" ht="25.5" customHeight="1">
      <c r="A231" s="1132">
        <f>_xlfn.AGGREGATE(4,7,A$12:A230)+1</f>
        <v>219</v>
      </c>
      <c r="B231" s="1133" t="s">
        <v>1907</v>
      </c>
      <c r="C231" s="1153" t="s">
        <v>1793</v>
      </c>
      <c r="D231" s="1154" t="s">
        <v>1400</v>
      </c>
      <c r="E231" s="1058" t="str">
        <f>VLOOKUP(B231,TH.Q2!B143:E474,4,FALSE)</f>
        <v>Giảng viên khoa Điện - Điện tử</v>
      </c>
      <c r="F231" s="1136">
        <v>4.9800000000000004</v>
      </c>
      <c r="G231" s="1137">
        <v>0.12</v>
      </c>
      <c r="H231" s="1393">
        <f t="shared" si="26"/>
        <v>0.59799999999999998</v>
      </c>
      <c r="I231" s="1138"/>
      <c r="J231" s="1138" t="str">
        <f>VLOOKUP(B231,'[15]Gui chi Quynh'!$B$11:$E$396,4,FALSE)</f>
        <v>A3</v>
      </c>
      <c r="K231" s="1138">
        <f t="shared" si="27"/>
        <v>0.6</v>
      </c>
      <c r="L231" s="1139">
        <v>23</v>
      </c>
      <c r="M231" s="1139">
        <f>VLOOKUP(B231,'[16]CN BC'!$H$10:$J$275,3,FALSE)</f>
        <v>23</v>
      </c>
      <c r="N231" s="1139">
        <f t="shared" si="23"/>
        <v>23</v>
      </c>
      <c r="O231" s="1140"/>
      <c r="P231" s="1141">
        <f t="shared" si="22"/>
        <v>7831512</v>
      </c>
      <c r="Q231" s="1519">
        <f t="shared" si="24"/>
        <v>3.3468</v>
      </c>
      <c r="R231" s="1606">
        <v>2340000</v>
      </c>
      <c r="S231" s="1618">
        <f t="shared" si="25"/>
        <v>7831512</v>
      </c>
      <c r="T231" s="1142">
        <f t="shared" si="28"/>
        <v>219</v>
      </c>
      <c r="U231" s="1143">
        <f>IFERROR(INDEX('[16]CN BC'!$M$10:$M$276,MATCH(B231,'[16]CN BC'!$H$10:$H$276,0)),"")</f>
        <v>0</v>
      </c>
      <c r="V231" s="1144" t="str">
        <f>VLOOKUP(B231,TH.T4!B238:AC568,28,FALSE)</f>
        <v>Đ-ĐT</v>
      </c>
      <c r="W231" s="1130"/>
      <c r="X231" s="1146"/>
      <c r="Y231" s="1147"/>
    </row>
    <row r="232" spans="1:35" s="1148" customFormat="1" ht="25.5" customHeight="1">
      <c r="A232" s="1132">
        <f>_xlfn.AGGREGATE(4,7,A$12:A231)+1</f>
        <v>220</v>
      </c>
      <c r="B232" s="1133" t="s">
        <v>1908</v>
      </c>
      <c r="C232" s="1153" t="s">
        <v>1794</v>
      </c>
      <c r="D232" s="1154" t="s">
        <v>1401</v>
      </c>
      <c r="E232" s="1058" t="str">
        <f>VLOOKUP(B232,TH.Q2!B144:E475,4,FALSE)</f>
        <v>Giảng viên khoa Điện - Điện tử</v>
      </c>
      <c r="F232" s="1136">
        <v>4.9800000000000004</v>
      </c>
      <c r="G232" s="1137">
        <v>0.09</v>
      </c>
      <c r="H232" s="1393">
        <f t="shared" si="26"/>
        <v>0.44800000000000001</v>
      </c>
      <c r="I232" s="1138"/>
      <c r="J232" s="1138" t="str">
        <f>VLOOKUP(B232,'[15]Gui chi Quynh'!$B$11:$E$396,4,FALSE)</f>
        <v>A3</v>
      </c>
      <c r="K232" s="1138">
        <f t="shared" si="27"/>
        <v>0.6</v>
      </c>
      <c r="L232" s="1139">
        <v>23</v>
      </c>
      <c r="M232" s="1139">
        <f>VLOOKUP(B232,'[16]CN BC'!$H$10:$J$275,3,FALSE)</f>
        <v>23</v>
      </c>
      <c r="N232" s="1139">
        <f t="shared" si="23"/>
        <v>23</v>
      </c>
      <c r="O232" s="1140"/>
      <c r="P232" s="1141">
        <f t="shared" si="22"/>
        <v>7620912.0000000009</v>
      </c>
      <c r="Q232" s="1519">
        <f t="shared" si="24"/>
        <v>3.2568000000000006</v>
      </c>
      <c r="R232" s="1606">
        <v>2340000</v>
      </c>
      <c r="S232" s="1618">
        <f t="shared" si="25"/>
        <v>7620912.0000000009</v>
      </c>
      <c r="T232" s="1142">
        <f t="shared" si="28"/>
        <v>220</v>
      </c>
      <c r="U232" s="1143">
        <f>IFERROR(INDEX('[16]CN BC'!$M$10:$M$276,MATCH(B232,'[16]CN BC'!$H$10:$H$276,0)),"")</f>
        <v>0</v>
      </c>
      <c r="V232" s="1144" t="str">
        <f>VLOOKUP(B232,TH.T4!B239:AC569,28,FALSE)</f>
        <v>Đ-ĐT</v>
      </c>
      <c r="W232" s="1130"/>
      <c r="X232" s="1146"/>
      <c r="Y232" s="1147"/>
      <c r="Z232" s="1146"/>
      <c r="AA232" s="1146"/>
      <c r="AB232" s="1146"/>
      <c r="AC232" s="1146"/>
      <c r="AD232" s="1146"/>
      <c r="AE232" s="1146"/>
    </row>
    <row r="233" spans="1:35" s="1148" customFormat="1" ht="24" customHeight="1">
      <c r="A233" s="1132">
        <f>_xlfn.AGGREGATE(4,7,A$12:A232)+1</f>
        <v>221</v>
      </c>
      <c r="B233" s="1133" t="s">
        <v>1909</v>
      </c>
      <c r="C233" s="1153" t="s">
        <v>1795</v>
      </c>
      <c r="D233" s="1154" t="s">
        <v>1404</v>
      </c>
      <c r="E233" s="383" t="str">
        <f>VLOOKUP(B233,TH.Q2!B145:E476,4,FALSE)</f>
        <v>Giảng viên khoa Điện - Điện tử</v>
      </c>
      <c r="F233" s="1136">
        <v>4.6500000000000004</v>
      </c>
      <c r="G233" s="1582"/>
      <c r="H233" s="1400">
        <f t="shared" si="26"/>
        <v>0</v>
      </c>
      <c r="I233" s="1138"/>
      <c r="J233" s="1138" t="str">
        <f>VLOOKUP(B233,'[15]Gui chi Quynh'!$B$11:$E$396,4,FALSE)</f>
        <v>A4</v>
      </c>
      <c r="K233" s="1138">
        <f t="shared" si="27"/>
        <v>0.5</v>
      </c>
      <c r="L233" s="1139">
        <v>23</v>
      </c>
      <c r="M233" s="1139">
        <f>VLOOKUP(B233,'[16]CN BC'!$H$10:$J$275,3,FALSE)</f>
        <v>23</v>
      </c>
      <c r="N233" s="1139">
        <f t="shared" si="23"/>
        <v>23</v>
      </c>
      <c r="O233" s="1155"/>
      <c r="P233" s="1141">
        <f t="shared" si="22"/>
        <v>5440500</v>
      </c>
      <c r="Q233" s="1519">
        <f t="shared" si="24"/>
        <v>2.3250000000000002</v>
      </c>
      <c r="R233" s="1606">
        <v>2340000</v>
      </c>
      <c r="S233" s="1618">
        <f t="shared" si="25"/>
        <v>5440500</v>
      </c>
      <c r="T233" s="1142">
        <f t="shared" si="28"/>
        <v>221</v>
      </c>
      <c r="U233" s="1143">
        <f>IFERROR(INDEX('[16]CN BC'!$M$10:$M$276,MATCH(B233,'[16]CN BC'!$H$10:$H$276,0)),"")</f>
        <v>0</v>
      </c>
      <c r="V233" s="1189" t="str">
        <f>VLOOKUP(B233,TH.T4!B240:AC570,28,FALSE)</f>
        <v>Đ-ĐT</v>
      </c>
      <c r="W233" s="1171"/>
      <c r="Y233" s="1158"/>
    </row>
    <row r="234" spans="1:35" s="1148" customFormat="1" ht="21.75" customHeight="1">
      <c r="A234" s="1132">
        <f>_xlfn.AGGREGATE(4,7,A$12:A233)+1</f>
        <v>222</v>
      </c>
      <c r="B234" s="1133" t="s">
        <v>1539</v>
      </c>
      <c r="C234" s="1153" t="s">
        <v>1796</v>
      </c>
      <c r="D234" s="1154" t="s">
        <v>1405</v>
      </c>
      <c r="E234" s="383" t="str">
        <f>VLOOKUP(B234,TH.Q2!B146:E477,4,FALSE)</f>
        <v>Giảng viên khoa
Điện - Điện tử</v>
      </c>
      <c r="F234" s="1136">
        <v>4.6500000000000004</v>
      </c>
      <c r="G234" s="1137"/>
      <c r="H234" s="1400">
        <f t="shared" si="26"/>
        <v>0</v>
      </c>
      <c r="I234" s="1138"/>
      <c r="J234" s="1138" t="str">
        <f>VLOOKUP(B234,'[15]Gui chi Quynh'!$B$11:$E$396,4,FALSE)</f>
        <v>A3</v>
      </c>
      <c r="K234" s="1138">
        <f t="shared" si="27"/>
        <v>0.6</v>
      </c>
      <c r="L234" s="1139">
        <v>23</v>
      </c>
      <c r="M234" s="1139">
        <f>VLOOKUP(B234,'[16]CN BC'!$H$10:$J$275,3,FALSE)</f>
        <v>23</v>
      </c>
      <c r="N234" s="1139">
        <f t="shared" si="23"/>
        <v>23</v>
      </c>
      <c r="O234" s="1155"/>
      <c r="P234" s="1141">
        <f t="shared" si="22"/>
        <v>6528600</v>
      </c>
      <c r="Q234" s="1519">
        <f t="shared" si="24"/>
        <v>2.79</v>
      </c>
      <c r="R234" s="1606">
        <v>2340000</v>
      </c>
      <c r="S234" s="1618">
        <f t="shared" si="25"/>
        <v>6528600</v>
      </c>
      <c r="T234" s="1142">
        <f t="shared" si="28"/>
        <v>222</v>
      </c>
      <c r="U234" s="1143">
        <f>IFERROR(INDEX('[16]CN BC'!$M$10:$M$276,MATCH(B234,'[16]CN BC'!$H$10:$H$276,0)),"")</f>
        <v>0</v>
      </c>
      <c r="V234" s="1189" t="str">
        <f>VLOOKUP(B234,TH.T4!B241:AC571,28,FALSE)</f>
        <v>Đ-ĐT</v>
      </c>
      <c r="W234" s="1171"/>
      <c r="Y234" s="1158"/>
    </row>
    <row r="235" spans="1:35" s="1148" customFormat="1" ht="24" customHeight="1">
      <c r="A235" s="1132">
        <f>_xlfn.AGGREGATE(4,7,A$12:A234)+1</f>
        <v>223</v>
      </c>
      <c r="B235" s="1133" t="s">
        <v>1910</v>
      </c>
      <c r="C235" s="1149" t="s">
        <v>1797</v>
      </c>
      <c r="D235" s="1154" t="s">
        <v>1406</v>
      </c>
      <c r="E235" s="1058" t="str">
        <f>VLOOKUP(B235,TH.Q2!B147:E478,4,FALSE)</f>
        <v>Giảng viên khoa Điện - Điện tử</v>
      </c>
      <c r="F235" s="1136">
        <v>4.6500000000000004</v>
      </c>
      <c r="G235" s="1137"/>
      <c r="H235" s="1393">
        <f t="shared" si="26"/>
        <v>0</v>
      </c>
      <c r="I235" s="1138"/>
      <c r="J235" s="1138" t="str">
        <f>VLOOKUP(B235,'[15]Gui chi Quynh'!$B$11:$E$396,4,FALSE)</f>
        <v>A3</v>
      </c>
      <c r="K235" s="1138">
        <f t="shared" si="27"/>
        <v>0.6</v>
      </c>
      <c r="L235" s="1139">
        <v>23</v>
      </c>
      <c r="M235" s="1139">
        <f>VLOOKUP(B235,'[16]CN BC'!$H$10:$J$275,3,FALSE)</f>
        <v>23</v>
      </c>
      <c r="N235" s="1139">
        <f t="shared" si="23"/>
        <v>23</v>
      </c>
      <c r="O235" s="1140"/>
      <c r="P235" s="1141">
        <f t="shared" si="22"/>
        <v>6528600</v>
      </c>
      <c r="Q235" s="1519">
        <f t="shared" si="24"/>
        <v>2.79</v>
      </c>
      <c r="R235" s="1606">
        <v>2340000</v>
      </c>
      <c r="S235" s="1618">
        <f t="shared" si="25"/>
        <v>6528600</v>
      </c>
      <c r="T235" s="1142">
        <f t="shared" si="28"/>
        <v>223</v>
      </c>
      <c r="U235" s="1143">
        <f>IFERROR(INDEX('[16]CN BC'!$M$10:$M$276,MATCH(B235,'[16]CN BC'!$H$10:$H$276,0)),"")</f>
        <v>0</v>
      </c>
      <c r="V235" s="1144" t="str">
        <f>VLOOKUP(B235,TH.T4!B242:AC572,28,FALSE)</f>
        <v>Đ-ĐT</v>
      </c>
      <c r="W235" s="1130"/>
      <c r="X235" s="1146"/>
      <c r="Y235" s="1147"/>
      <c r="Z235" s="1146"/>
      <c r="AA235" s="1146"/>
      <c r="AB235" s="1146"/>
      <c r="AC235" s="1146"/>
      <c r="AD235" s="1146"/>
      <c r="AE235" s="1146"/>
      <c r="AF235" s="1146"/>
      <c r="AG235" s="1146"/>
      <c r="AH235" s="1146"/>
      <c r="AI235" s="1146"/>
    </row>
    <row r="236" spans="1:35" s="1148" customFormat="1" ht="24.75" customHeight="1">
      <c r="A236" s="1132">
        <f>_xlfn.AGGREGATE(4,7,A$12:A235)+1</f>
        <v>224</v>
      </c>
      <c r="B236" s="1133" t="s">
        <v>1911</v>
      </c>
      <c r="C236" s="1153" t="s">
        <v>1798</v>
      </c>
      <c r="D236" s="1154" t="s">
        <v>1407</v>
      </c>
      <c r="E236" s="1058" t="str">
        <f>VLOOKUP(B236,TH.Q2!B148:E479,4,FALSE)</f>
        <v>Giảng viên khoa Điện - Điện tử</v>
      </c>
      <c r="F236" s="1136">
        <v>4.6500000000000004</v>
      </c>
      <c r="G236" s="1137"/>
      <c r="H236" s="1393">
        <f t="shared" si="26"/>
        <v>0</v>
      </c>
      <c r="I236" s="1138"/>
      <c r="J236" s="1138" t="str">
        <f>VLOOKUP(B236,'[15]Gui chi Quynh'!$B$11:$E$396,4,FALSE)</f>
        <v>A3</v>
      </c>
      <c r="K236" s="1138">
        <f t="shared" si="27"/>
        <v>0.6</v>
      </c>
      <c r="L236" s="1139">
        <v>23</v>
      </c>
      <c r="M236" s="1139">
        <f>VLOOKUP(B236,'[16]CN BC'!$H$10:$J$275,3,FALSE)</f>
        <v>23</v>
      </c>
      <c r="N236" s="1139">
        <f t="shared" si="23"/>
        <v>23</v>
      </c>
      <c r="O236" s="1140"/>
      <c r="P236" s="1141">
        <f t="shared" si="22"/>
        <v>6528600</v>
      </c>
      <c r="Q236" s="1519">
        <f t="shared" si="24"/>
        <v>2.79</v>
      </c>
      <c r="R236" s="1606">
        <v>2340000</v>
      </c>
      <c r="S236" s="1618">
        <f t="shared" si="25"/>
        <v>6528600</v>
      </c>
      <c r="T236" s="1142">
        <f t="shared" si="28"/>
        <v>224</v>
      </c>
      <c r="U236" s="1143">
        <f>IFERROR(INDEX('[16]CN BC'!$M$10:$M$276,MATCH(B236,'[16]CN BC'!$H$10:$H$276,0)),"")</f>
        <v>0</v>
      </c>
      <c r="V236" s="1144" t="str">
        <f>VLOOKUP(B236,TH.T4!B243:AC573,28,FALSE)</f>
        <v>Đ-ĐT</v>
      </c>
      <c r="W236" s="1130"/>
      <c r="X236" s="1146"/>
      <c r="Y236" s="1147"/>
      <c r="Z236" s="1146"/>
      <c r="AA236" s="1146"/>
      <c r="AB236" s="1146"/>
      <c r="AC236" s="1146"/>
      <c r="AD236" s="1146"/>
      <c r="AE236" s="1146"/>
    </row>
    <row r="237" spans="1:35" s="1146" customFormat="1" ht="24.75" customHeight="1">
      <c r="A237" s="1132">
        <f>_xlfn.AGGREGATE(4,7,A$12:A236)+1</f>
        <v>225</v>
      </c>
      <c r="B237" s="1172" t="s">
        <v>1912</v>
      </c>
      <c r="C237" s="1149" t="s">
        <v>1799</v>
      </c>
      <c r="D237" s="1173" t="s">
        <v>1409</v>
      </c>
      <c r="E237" s="1058" t="str">
        <f>VLOOKUP(B237,TH.Q2!B149:E480,4,FALSE)</f>
        <v>Giảng viên khoa Điện - Điện tử</v>
      </c>
      <c r="F237" s="1174">
        <v>4.6500000000000004</v>
      </c>
      <c r="G237" s="1175"/>
      <c r="H237" s="1393">
        <f t="shared" si="26"/>
        <v>0</v>
      </c>
      <c r="I237" s="1176"/>
      <c r="J237" s="1138" t="str">
        <f>VLOOKUP(B237,'[15]Gui chi Quynh'!$B$11:$E$396,4,FALSE)</f>
        <v>A2</v>
      </c>
      <c r="K237" s="1138">
        <f t="shared" si="27"/>
        <v>0.7</v>
      </c>
      <c r="L237" s="1139">
        <v>23</v>
      </c>
      <c r="M237" s="1139">
        <f>VLOOKUP(B237,'[16]CN BC'!$H$10:$J$275,3,FALSE)</f>
        <v>23</v>
      </c>
      <c r="N237" s="1139">
        <f t="shared" si="23"/>
        <v>23</v>
      </c>
      <c r="O237" s="1140"/>
      <c r="P237" s="1141">
        <f t="shared" si="22"/>
        <v>7616699.9999999991</v>
      </c>
      <c r="Q237" s="1519">
        <f t="shared" si="24"/>
        <v>3.2549999999999994</v>
      </c>
      <c r="R237" s="1606">
        <v>2340000</v>
      </c>
      <c r="S237" s="1618">
        <f t="shared" si="25"/>
        <v>7616699.9999999991</v>
      </c>
      <c r="T237" s="1142">
        <f t="shared" si="28"/>
        <v>225</v>
      </c>
      <c r="U237" s="1143">
        <f>IFERROR(INDEX('[16]CN BC'!$M$10:$M$276,MATCH(B237,'[16]CN BC'!$H$10:$H$276,0)),"")</f>
        <v>0</v>
      </c>
      <c r="V237" s="1144" t="str">
        <f>VLOOKUP(B237,TH.T4!B244:AC574,28,FALSE)</f>
        <v>Đ-ĐT</v>
      </c>
      <c r="W237" s="1130"/>
      <c r="Y237" s="1147"/>
    </row>
    <row r="238" spans="1:35" s="1146" customFormat="1" ht="24.75" customHeight="1">
      <c r="A238" s="1132">
        <f>_xlfn.AGGREGATE(4,7,A$12:A237)+1</f>
        <v>226</v>
      </c>
      <c r="B238" s="1172" t="s">
        <v>1913</v>
      </c>
      <c r="C238" s="1149" t="s">
        <v>1800</v>
      </c>
      <c r="D238" s="1173" t="s">
        <v>1410</v>
      </c>
      <c r="E238" s="1058" t="str">
        <f>VLOOKUP(B238,TH.Q2!B150:E481,4,FALSE)</f>
        <v>Giảng viên khoa Điện - Điện tử</v>
      </c>
      <c r="F238" s="1174">
        <v>4.6500000000000004</v>
      </c>
      <c r="G238" s="1175"/>
      <c r="H238" s="1393">
        <f t="shared" si="26"/>
        <v>0</v>
      </c>
      <c r="I238" s="1176"/>
      <c r="J238" s="1138" t="str">
        <f>VLOOKUP(B238,'[15]Gui chi Quynh'!$B$11:$E$396,4,FALSE)</f>
        <v>A4</v>
      </c>
      <c r="K238" s="1138">
        <f t="shared" si="27"/>
        <v>0.5</v>
      </c>
      <c r="L238" s="1139">
        <v>23</v>
      </c>
      <c r="M238" s="1139">
        <f>VLOOKUP(B238,'[16]CN BC'!$H$10:$J$275,3,FALSE)</f>
        <v>23</v>
      </c>
      <c r="N238" s="1139">
        <f t="shared" si="23"/>
        <v>23</v>
      </c>
      <c r="O238" s="1140"/>
      <c r="P238" s="1141">
        <f t="shared" si="22"/>
        <v>5440500</v>
      </c>
      <c r="Q238" s="1519">
        <f t="shared" si="24"/>
        <v>2.3250000000000002</v>
      </c>
      <c r="R238" s="1606">
        <v>2340000</v>
      </c>
      <c r="S238" s="1618">
        <f t="shared" si="25"/>
        <v>5440500</v>
      </c>
      <c r="T238" s="1142">
        <f t="shared" si="28"/>
        <v>226</v>
      </c>
      <c r="U238" s="1143">
        <f>IFERROR(INDEX('[16]CN BC'!$M$10:$M$276,MATCH(B238,'[16]CN BC'!$H$10:$H$276,0)),"")</f>
        <v>0</v>
      </c>
      <c r="V238" s="1144" t="str">
        <f>VLOOKUP(B238,TH.T4!B245:AC575,28,FALSE)</f>
        <v>Đ-ĐT</v>
      </c>
      <c r="W238" s="1130"/>
      <c r="Y238" s="1147"/>
    </row>
    <row r="239" spans="1:35" s="1146" customFormat="1" ht="24.75" customHeight="1">
      <c r="A239" s="1132">
        <f>_xlfn.AGGREGATE(4,7,A$12:A238)+1</f>
        <v>227</v>
      </c>
      <c r="B239" s="1172" t="s">
        <v>1540</v>
      </c>
      <c r="C239" s="1149" t="s">
        <v>1801</v>
      </c>
      <c r="D239" s="1173" t="s">
        <v>1412</v>
      </c>
      <c r="E239" s="1058" t="str">
        <f>VLOOKUP(B239,TH.Q2!B151:E482,4,FALSE)</f>
        <v>Giảng viên khoa
Điện - Điện tử</v>
      </c>
      <c r="F239" s="1174">
        <v>3.99</v>
      </c>
      <c r="G239" s="1175"/>
      <c r="H239" s="1393">
        <f t="shared" si="26"/>
        <v>0</v>
      </c>
      <c r="I239" s="1176"/>
      <c r="J239" s="1138" t="str">
        <f>VLOOKUP(B239,'[15]Gui chi Quynh'!$B$11:$E$396,4,FALSE)</f>
        <v>A4</v>
      </c>
      <c r="K239" s="1138">
        <f t="shared" si="27"/>
        <v>0.5</v>
      </c>
      <c r="L239" s="1139">
        <v>23</v>
      </c>
      <c r="M239" s="1139">
        <f>VLOOKUP(B239,'[16]CN BC'!$H$10:$J$275,3,FALSE)</f>
        <v>23</v>
      </c>
      <c r="N239" s="1139">
        <f t="shared" si="23"/>
        <v>23</v>
      </c>
      <c r="O239" s="1140"/>
      <c r="P239" s="1141">
        <f t="shared" si="22"/>
        <v>4668300</v>
      </c>
      <c r="Q239" s="1519">
        <f t="shared" si="24"/>
        <v>1.9950000000000001</v>
      </c>
      <c r="R239" s="1606">
        <v>2340000</v>
      </c>
      <c r="S239" s="1618">
        <f t="shared" si="25"/>
        <v>4668300</v>
      </c>
      <c r="T239" s="1142">
        <f t="shared" si="28"/>
        <v>227</v>
      </c>
      <c r="U239" s="1143">
        <f>IFERROR(INDEX('[16]CN BC'!$M$10:$M$276,MATCH(B239,'[16]CN BC'!$H$10:$H$276,0)),"")</f>
        <v>0</v>
      </c>
      <c r="V239" s="1144" t="str">
        <f>VLOOKUP(B239,TH.T4!B246:AC576,28,FALSE)</f>
        <v>Đ-ĐT</v>
      </c>
      <c r="W239" s="1130"/>
      <c r="Y239" s="1147"/>
    </row>
    <row r="240" spans="1:35" s="1148" customFormat="1" ht="25.5" customHeight="1">
      <c r="A240" s="1132">
        <f>_xlfn.AGGREGATE(4,7,A$12:A239)+1</f>
        <v>228</v>
      </c>
      <c r="B240" s="1133" t="s">
        <v>1609</v>
      </c>
      <c r="C240" s="1153" t="s">
        <v>1973</v>
      </c>
      <c r="D240" s="1166" t="s">
        <v>1611</v>
      </c>
      <c r="E240" s="1058" t="str">
        <f>VLOOKUP(B240,TH.Q2!B152:E483,4,FALSE)</f>
        <v>Giảng viên khoa
Điện - Điện tử</v>
      </c>
      <c r="F240" s="1160">
        <v>3.33</v>
      </c>
      <c r="G240" s="1137"/>
      <c r="H240" s="1393">
        <f t="shared" si="26"/>
        <v>0</v>
      </c>
      <c r="I240" s="1138"/>
      <c r="J240" s="1138" t="str">
        <f>VLOOKUP(B240,'[15]Gui chi Quynh'!$B$11:$E$396,4,FALSE)</f>
        <v>A1</v>
      </c>
      <c r="K240" s="1138">
        <f t="shared" si="27"/>
        <v>0.8</v>
      </c>
      <c r="L240" s="1139">
        <v>23</v>
      </c>
      <c r="M240" s="1139">
        <f>VLOOKUP(B240,'[16]CN BC'!$H$10:$J$275,3,FALSE)</f>
        <v>23</v>
      </c>
      <c r="N240" s="1139">
        <f t="shared" si="23"/>
        <v>23</v>
      </c>
      <c r="O240" s="1140"/>
      <c r="P240" s="1141">
        <f t="shared" si="22"/>
        <v>6233760.0000000009</v>
      </c>
      <c r="Q240" s="1519">
        <f t="shared" si="24"/>
        <v>2.6640000000000006</v>
      </c>
      <c r="R240" s="1606">
        <v>2340000</v>
      </c>
      <c r="S240" s="1618">
        <f t="shared" si="25"/>
        <v>6233760.0000000009</v>
      </c>
      <c r="T240" s="1142">
        <f t="shared" si="28"/>
        <v>228</v>
      </c>
      <c r="U240" s="1143">
        <f>IFERROR(INDEX('[16]CN BC'!$M$10:$M$276,MATCH(B240,'[16]CN BC'!$H$10:$H$276,0)),"")</f>
        <v>0</v>
      </c>
      <c r="V240" s="1144" t="str">
        <f>VLOOKUP(B240,TH.T4!B247:AC577,28,FALSE)</f>
        <v>Đ-ĐT</v>
      </c>
      <c r="W240" s="1130"/>
      <c r="X240" s="1146"/>
      <c r="Y240" s="1147"/>
      <c r="Z240" s="1146"/>
      <c r="AA240" s="1146"/>
      <c r="AB240" s="1146"/>
      <c r="AC240" s="1146"/>
      <c r="AD240" s="1146"/>
      <c r="AE240" s="1146"/>
    </row>
    <row r="241" spans="1:31" s="1148" customFormat="1" ht="25.5" customHeight="1">
      <c r="A241" s="1132">
        <f>_xlfn.AGGREGATE(4,7,A$12:A240)+1</f>
        <v>229</v>
      </c>
      <c r="B241" s="1133" t="s">
        <v>1610</v>
      </c>
      <c r="C241" s="1153" t="s">
        <v>1974</v>
      </c>
      <c r="D241" s="1166" t="s">
        <v>1612</v>
      </c>
      <c r="E241" s="1058" t="str">
        <f>VLOOKUP(B241,TH.Q2!B153:E484,4,FALSE)</f>
        <v>Giảng viên khoa
Điện - Điện tử</v>
      </c>
      <c r="F241" s="1136">
        <v>2.67</v>
      </c>
      <c r="G241" s="1137"/>
      <c r="H241" s="1393">
        <f t="shared" si="26"/>
        <v>0</v>
      </c>
      <c r="I241" s="1138">
        <v>0.25</v>
      </c>
      <c r="J241" s="1138" t="str">
        <f>VLOOKUP(B241,'[15]Gui chi Quynh'!$B$11:$E$396,4,FALSE)</f>
        <v>A1</v>
      </c>
      <c r="K241" s="1138">
        <f t="shared" si="27"/>
        <v>0.8</v>
      </c>
      <c r="L241" s="1139">
        <v>23</v>
      </c>
      <c r="M241" s="1139">
        <f>VLOOKUP(B241,'[16]CN BC'!$H$10:$J$275,3,FALSE)</f>
        <v>23</v>
      </c>
      <c r="N241" s="1139">
        <f t="shared" si="23"/>
        <v>23</v>
      </c>
      <c r="O241" s="1140"/>
      <c r="P241" s="1141">
        <f t="shared" si="22"/>
        <v>5466240.0000000009</v>
      </c>
      <c r="Q241" s="1519">
        <f t="shared" si="24"/>
        <v>2.3360000000000003</v>
      </c>
      <c r="R241" s="1606">
        <v>2340000</v>
      </c>
      <c r="S241" s="1618">
        <f t="shared" si="25"/>
        <v>5466240.0000000009</v>
      </c>
      <c r="T241" s="1142">
        <f t="shared" si="28"/>
        <v>229</v>
      </c>
      <c r="U241" s="1143">
        <f>IFERROR(INDEX('[16]CN BC'!$M$10:$M$276,MATCH(B241,'[16]CN BC'!$H$10:$H$276,0)),"")</f>
        <v>0</v>
      </c>
      <c r="V241" s="1144" t="str">
        <f>VLOOKUP(B241,TH.T4!B248:AC578,28,FALSE)</f>
        <v>Đ-ĐT</v>
      </c>
      <c r="W241" s="1130"/>
      <c r="X241" s="1146"/>
      <c r="Y241" s="1147"/>
      <c r="Z241" s="1146"/>
      <c r="AA241" s="1146"/>
      <c r="AB241" s="1146"/>
      <c r="AC241" s="1146"/>
      <c r="AD241" s="1146"/>
      <c r="AE241" s="1146"/>
    </row>
    <row r="242" spans="1:31" s="1148" customFormat="1" ht="25.5" customHeight="1">
      <c r="A242" s="1132">
        <f>_xlfn.AGGREGATE(4,7,A$12:A241)+1</f>
        <v>230</v>
      </c>
      <c r="B242" s="1223" t="s">
        <v>1838</v>
      </c>
      <c r="C242" s="1153" t="s">
        <v>1975</v>
      </c>
      <c r="D242" s="1159">
        <v>1603205590132</v>
      </c>
      <c r="E242" s="1058" t="str">
        <f>VLOOKUP(B242,TH.Q2!B154:E485,4,FALSE)</f>
        <v>Giảng viên khoa
Điện - Điện tử</v>
      </c>
      <c r="F242" s="1136">
        <v>2.67</v>
      </c>
      <c r="G242" s="1137"/>
      <c r="H242" s="1393">
        <f t="shared" si="26"/>
        <v>0</v>
      </c>
      <c r="I242" s="1138">
        <v>0.25</v>
      </c>
      <c r="J242" s="1138" t="str">
        <f>VLOOKUP(B242,'[15]Gui chi Quynh'!$B$11:$E$396,4,FALSE)</f>
        <v>A1</v>
      </c>
      <c r="K242" s="1138">
        <f t="shared" si="27"/>
        <v>0.8</v>
      </c>
      <c r="L242" s="1139">
        <v>23</v>
      </c>
      <c r="M242" s="1139">
        <f>VLOOKUP(B242,'[16]CN BC'!$H$10:$J$275,3,FALSE)</f>
        <v>23</v>
      </c>
      <c r="N242" s="1139">
        <f t="shared" si="23"/>
        <v>23</v>
      </c>
      <c r="O242" s="1140"/>
      <c r="P242" s="1141">
        <f t="shared" si="22"/>
        <v>5466240.0000000009</v>
      </c>
      <c r="Q242" s="1519">
        <f t="shared" si="24"/>
        <v>2.3360000000000003</v>
      </c>
      <c r="R242" s="1606">
        <v>2340000</v>
      </c>
      <c r="S242" s="1618">
        <f t="shared" si="25"/>
        <v>5466240.0000000009</v>
      </c>
      <c r="T242" s="1142">
        <f t="shared" si="28"/>
        <v>230</v>
      </c>
      <c r="U242" s="1143">
        <f>IFERROR(INDEX('[16]CN BC'!$M$10:$M$276,MATCH(B242,'[16]CN BC'!$H$10:$H$276,0)),"")</f>
        <v>0</v>
      </c>
      <c r="V242" s="1144" t="str">
        <f>VLOOKUP(B242,TH.T4!B249:AC579,28,FALSE)</f>
        <v>Đ-ĐT</v>
      </c>
      <c r="W242" s="1130"/>
      <c r="X242" s="1146"/>
      <c r="Y242" s="1147"/>
      <c r="Z242" s="1146"/>
      <c r="AA242" s="1146"/>
      <c r="AB242" s="1146"/>
      <c r="AC242" s="1146"/>
      <c r="AD242" s="1146"/>
      <c r="AE242" s="1146"/>
    </row>
    <row r="243" spans="1:31" s="1148" customFormat="1" ht="25.5" customHeight="1">
      <c r="A243" s="1132">
        <f>_xlfn.AGGREGATE(4,7,A$12:A242)+1</f>
        <v>231</v>
      </c>
      <c r="B243" s="1223" t="s">
        <v>1993</v>
      </c>
      <c r="C243" s="1153"/>
      <c r="D243" s="1225"/>
      <c r="E243" s="1058" t="str">
        <f>VLOOKUP(B243,TH.Q2!B155:E486,4,FALSE)</f>
        <v>Giảng viên khoa Điện - Điện tử</v>
      </c>
      <c r="F243" s="1136">
        <v>3.99</v>
      </c>
      <c r="G243" s="1137"/>
      <c r="H243" s="1393">
        <f t="shared" si="26"/>
        <v>0</v>
      </c>
      <c r="I243" s="1138"/>
      <c r="J243" s="1138" t="str">
        <f>VLOOKUP(B243,'[15]Gui chi Quynh'!$B$11:$E$396,4,FALSE)</f>
        <v>A3</v>
      </c>
      <c r="K243" s="1138">
        <f t="shared" si="27"/>
        <v>0.6</v>
      </c>
      <c r="L243" s="1139">
        <v>23</v>
      </c>
      <c r="M243" s="1139">
        <f>VLOOKUP(B243,'[16]CN BC'!$H$10:$J$275,3,FALSE)</f>
        <v>23</v>
      </c>
      <c r="N243" s="1139">
        <f t="shared" si="23"/>
        <v>23</v>
      </c>
      <c r="O243" s="1140"/>
      <c r="P243" s="1141">
        <f t="shared" si="22"/>
        <v>5601960</v>
      </c>
      <c r="Q243" s="1519">
        <f t="shared" si="24"/>
        <v>2.3940000000000001</v>
      </c>
      <c r="R243" s="1606">
        <v>2340000</v>
      </c>
      <c r="S243" s="1618">
        <f t="shared" si="25"/>
        <v>5601960</v>
      </c>
      <c r="T243" s="1142">
        <f t="shared" si="28"/>
        <v>231</v>
      </c>
      <c r="U243" s="1143">
        <f>IFERROR(INDEX('[16]CN BC'!$M$10:$M$276,MATCH(B243,'[16]CN BC'!$H$10:$H$276,0)),"")</f>
        <v>0</v>
      </c>
      <c r="V243" s="1144" t="str">
        <f>VLOOKUP(B243,TH.T4!B250:AC580,28,FALSE)</f>
        <v>Đ-ĐT</v>
      </c>
      <c r="W243" s="1130"/>
      <c r="X243" s="1146"/>
      <c r="Y243" s="1147"/>
      <c r="Z243" s="1146"/>
      <c r="AA243" s="1146"/>
      <c r="AB243" s="1146"/>
      <c r="AC243" s="1146"/>
      <c r="AD243" s="1146"/>
      <c r="AE243" s="1146"/>
    </row>
    <row r="244" spans="1:31" s="1148" customFormat="1" ht="30.75" customHeight="1">
      <c r="A244" s="1132">
        <f>_xlfn.AGGREGATE(4,7,A$12:A243)+1</f>
        <v>232</v>
      </c>
      <c r="B244" s="1223" t="s">
        <v>2002</v>
      </c>
      <c r="C244" s="1153"/>
      <c r="D244" s="1225"/>
      <c r="E244" s="1058" t="str">
        <f>VLOOKUP(B244,TH.Q2!B156:E487,4,FALSE)</f>
        <v>Giảng viên khoa Điện - Điện tử</v>
      </c>
      <c r="F244" s="1136">
        <v>2.67</v>
      </c>
      <c r="G244" s="1137"/>
      <c r="H244" s="1393">
        <f t="shared" si="26"/>
        <v>0</v>
      </c>
      <c r="I244" s="1138"/>
      <c r="J244" s="1138" t="str">
        <f>VLOOKUP(B244,'[15]Gui chi Quynh'!$B$11:$E$396,4,FALSE)</f>
        <v>A1</v>
      </c>
      <c r="K244" s="1138">
        <f t="shared" si="27"/>
        <v>0.8</v>
      </c>
      <c r="L244" s="1139">
        <v>23</v>
      </c>
      <c r="M244" s="1139">
        <f>VLOOKUP(B244,'[16]CN BC'!$H$10:$J$275,3,FALSE)</f>
        <v>23</v>
      </c>
      <c r="N244" s="1139">
        <f t="shared" si="23"/>
        <v>23</v>
      </c>
      <c r="O244" s="1140"/>
      <c r="P244" s="1141">
        <f t="shared" si="22"/>
        <v>4998240</v>
      </c>
      <c r="Q244" s="1519">
        <f t="shared" si="24"/>
        <v>2.1360000000000001</v>
      </c>
      <c r="R244" s="1606">
        <v>2340000</v>
      </c>
      <c r="S244" s="1618">
        <f t="shared" si="25"/>
        <v>4998240</v>
      </c>
      <c r="T244" s="1142">
        <f t="shared" si="28"/>
        <v>232</v>
      </c>
      <c r="U244" s="1143">
        <f>IFERROR(INDEX('[16]CN BC'!$M$10:$M$276,MATCH(B244,'[16]CN BC'!$H$10:$H$276,0)),"")</f>
        <v>0</v>
      </c>
      <c r="V244" s="1144" t="str">
        <f>VLOOKUP(B244,TH.T4!B251:AC581,28,FALSE)</f>
        <v>Đ-ĐT</v>
      </c>
      <c r="W244" s="1171"/>
      <c r="Y244" s="1158"/>
    </row>
    <row r="245" spans="1:31" s="1148" customFormat="1" ht="31.5" customHeight="1">
      <c r="A245" s="1132">
        <f>_xlfn.AGGREGATE(4,7,A$12:A244)+1</f>
        <v>233</v>
      </c>
      <c r="B245" s="1223" t="s">
        <v>2004</v>
      </c>
      <c r="C245" s="1153"/>
      <c r="D245" s="1225"/>
      <c r="E245" s="1058" t="str">
        <f>VLOOKUP(B245,TH.Q2!B157:E488,4,FALSE)</f>
        <v>Giảng viên khoa Điện - Điện tử</v>
      </c>
      <c r="F245" s="1136">
        <v>2.34</v>
      </c>
      <c r="G245" s="1137"/>
      <c r="H245" s="1393">
        <f t="shared" si="26"/>
        <v>0</v>
      </c>
      <c r="I245" s="1138"/>
      <c r="J245" s="1138" t="str">
        <f>VLOOKUP(B245,'[15]Gui chi Quynh'!$B$11:$E$396,4,FALSE)</f>
        <v>A3</v>
      </c>
      <c r="K245" s="1138">
        <f t="shared" si="27"/>
        <v>0.6</v>
      </c>
      <c r="L245" s="1139">
        <v>23</v>
      </c>
      <c r="M245" s="1139">
        <f>VLOOKUP(B245,'[16]CN BC'!$H$10:$J$275,3,FALSE)</f>
        <v>23</v>
      </c>
      <c r="N245" s="1139">
        <f t="shared" si="23"/>
        <v>23</v>
      </c>
      <c r="O245" s="1140"/>
      <c r="P245" s="1141">
        <f t="shared" si="22"/>
        <v>3285360</v>
      </c>
      <c r="Q245" s="1519">
        <f t="shared" si="24"/>
        <v>1.4039999999999999</v>
      </c>
      <c r="R245" s="1606">
        <v>2340000</v>
      </c>
      <c r="S245" s="1618">
        <f t="shared" si="25"/>
        <v>3285360</v>
      </c>
      <c r="T245" s="1142">
        <f t="shared" si="28"/>
        <v>233</v>
      </c>
      <c r="U245" s="1143">
        <f>IFERROR(INDEX('[16]CN BC'!$M$10:$M$276,MATCH(B245,'[16]CN BC'!$H$10:$H$276,0)),"")</f>
        <v>0</v>
      </c>
      <c r="V245" s="1144" t="str">
        <f>VLOOKUP(B245,TH.T4!B252:AC582,28,FALSE)</f>
        <v>Đ-ĐT</v>
      </c>
      <c r="W245" s="1171"/>
      <c r="Y245" s="1158"/>
    </row>
    <row r="246" spans="1:31" s="1148" customFormat="1" ht="29.25" customHeight="1">
      <c r="A246" s="1132">
        <f>_xlfn.AGGREGATE(4,7,A$12:A245)+1</f>
        <v>234</v>
      </c>
      <c r="B246" s="1133" t="s">
        <v>1914</v>
      </c>
      <c r="C246" s="1153" t="s">
        <v>1803</v>
      </c>
      <c r="D246" s="1154" t="s">
        <v>0</v>
      </c>
      <c r="E246" s="1058" t="str">
        <f>VLOOKUP(B246,TH.Q2!B158:E489,4,FALSE)</f>
        <v>Trưởng khoa Động lực</v>
      </c>
      <c r="F246" s="1136">
        <v>4.6500000000000004</v>
      </c>
      <c r="G246" s="1137"/>
      <c r="H246" s="1393">
        <f t="shared" si="26"/>
        <v>0</v>
      </c>
      <c r="I246" s="1138">
        <v>0.45</v>
      </c>
      <c r="J246" s="1138" t="str">
        <f>VLOOKUP(B246,'[15]Gui chi Quynh'!$B$11:$E$396,4,FALSE)</f>
        <v>A2</v>
      </c>
      <c r="K246" s="1138">
        <f t="shared" si="27"/>
        <v>0.7</v>
      </c>
      <c r="L246" s="1139">
        <v>23</v>
      </c>
      <c r="M246" s="1139">
        <f>VLOOKUP(B246,'[16]CN BC'!$H$10:$J$275,3,FALSE)</f>
        <v>23</v>
      </c>
      <c r="N246" s="1139">
        <f t="shared" si="23"/>
        <v>23</v>
      </c>
      <c r="O246" s="1140"/>
      <c r="P246" s="1141">
        <f t="shared" si="22"/>
        <v>8353800.0000000009</v>
      </c>
      <c r="Q246" s="1519">
        <f t="shared" si="24"/>
        <v>3.5700000000000003</v>
      </c>
      <c r="R246" s="1606">
        <v>2340000</v>
      </c>
      <c r="S246" s="1618">
        <f t="shared" si="25"/>
        <v>8353800.0000000009</v>
      </c>
      <c r="T246" s="1142">
        <f t="shared" si="28"/>
        <v>234</v>
      </c>
      <c r="U246" s="1143">
        <f>IFERROR(INDEX('[16]CN BC'!$M$10:$M$276,MATCH(B246,'[16]CN BC'!$H$10:$H$276,0)),"")</f>
        <v>0</v>
      </c>
      <c r="V246" s="1144" t="str">
        <f>VLOOKUP(B246,TH.T4!B253:AC583,28,FALSE)</f>
        <v>ĐL</v>
      </c>
      <c r="W246" s="1167"/>
      <c r="X246" s="1146"/>
      <c r="Y246" s="1147"/>
      <c r="Z246" s="1146"/>
      <c r="AA246" s="1146"/>
      <c r="AB246" s="1146"/>
      <c r="AC246" s="1146"/>
      <c r="AD246" s="1146"/>
      <c r="AE246" s="1146"/>
    </row>
    <row r="247" spans="1:31" s="1148" customFormat="1" ht="27.75" customHeight="1">
      <c r="A247" s="1132">
        <f>_xlfn.AGGREGATE(4,7,A$12:A246)+1</f>
        <v>235</v>
      </c>
      <c r="B247" s="1133" t="s">
        <v>1915</v>
      </c>
      <c r="C247" s="1153" t="s">
        <v>1804</v>
      </c>
      <c r="D247" s="1154" t="s">
        <v>1420</v>
      </c>
      <c r="E247" s="1058" t="str">
        <f>VLOOKUP(B247,TH.Q2!B159:E490,4,FALSE)</f>
        <v>Phó Trưởng khoa
 Động lực</v>
      </c>
      <c r="F247" s="1136">
        <v>4.9800000000000004</v>
      </c>
      <c r="G247" s="1137"/>
      <c r="H247" s="1393">
        <f t="shared" si="26"/>
        <v>0</v>
      </c>
      <c r="I247" s="1138">
        <v>0.35</v>
      </c>
      <c r="J247" s="1138" t="str">
        <f>VLOOKUP(B247,'[15]Gui chi Quynh'!$B$11:$E$396,4,FALSE)</f>
        <v>A3</v>
      </c>
      <c r="K247" s="1138">
        <f t="shared" si="27"/>
        <v>0.6</v>
      </c>
      <c r="L247" s="1139">
        <v>23</v>
      </c>
      <c r="M247" s="1139">
        <f>VLOOKUP(B247,'[16]CN BC'!$H$10:$J$275,3,FALSE)</f>
        <v>23</v>
      </c>
      <c r="N247" s="1139">
        <f t="shared" si="23"/>
        <v>23</v>
      </c>
      <c r="O247" s="1140"/>
      <c r="P247" s="1141">
        <f t="shared" si="22"/>
        <v>7483320.0000000009</v>
      </c>
      <c r="Q247" s="1519">
        <f t="shared" si="24"/>
        <v>3.1980000000000004</v>
      </c>
      <c r="R247" s="1606">
        <v>2340000</v>
      </c>
      <c r="S247" s="1618">
        <f t="shared" si="25"/>
        <v>7483320.0000000009</v>
      </c>
      <c r="T247" s="1142">
        <f t="shared" si="28"/>
        <v>235</v>
      </c>
      <c r="U247" s="1143">
        <f>IFERROR(INDEX('[16]CN BC'!$M$10:$M$276,MATCH(B247,'[16]CN BC'!$H$10:$H$276,0)),"")</f>
        <v>0</v>
      </c>
      <c r="V247" s="1144" t="str">
        <f>VLOOKUP(B247,TH.T4!B254:AC584,28,FALSE)</f>
        <v>ĐL</v>
      </c>
      <c r="W247" s="1130"/>
      <c r="X247" s="1146"/>
      <c r="Y247" s="1147"/>
      <c r="Z247" s="1146"/>
      <c r="AA247" s="1146"/>
      <c r="AB247" s="1146"/>
      <c r="AC247" s="1146"/>
      <c r="AD247" s="1146"/>
      <c r="AE247" s="1146"/>
    </row>
    <row r="248" spans="1:31" s="1148" customFormat="1" ht="27.75" customHeight="1">
      <c r="A248" s="1132">
        <f>_xlfn.AGGREGATE(4,7,A$12:A247)+1</f>
        <v>236</v>
      </c>
      <c r="B248" s="1133" t="s">
        <v>1916</v>
      </c>
      <c r="C248" s="1153" t="s">
        <v>1805</v>
      </c>
      <c r="D248" s="1154" t="s">
        <v>1</v>
      </c>
      <c r="E248" s="1058" t="str">
        <f>VLOOKUP(B248,TH.Q2!B160:E491,4,FALSE)</f>
        <v>Giảng viên khoa Động lực</v>
      </c>
      <c r="F248" s="1136">
        <v>4.32</v>
      </c>
      <c r="G248" s="1137"/>
      <c r="H248" s="1393">
        <f t="shared" si="26"/>
        <v>0</v>
      </c>
      <c r="I248" s="1138">
        <v>0.25</v>
      </c>
      <c r="J248" s="1138" t="str">
        <f>VLOOKUP(B248,'[15]Gui chi Quynh'!$B$11:$E$396,4,FALSE)</f>
        <v>A4</v>
      </c>
      <c r="K248" s="1138">
        <f t="shared" si="27"/>
        <v>0.5</v>
      </c>
      <c r="L248" s="1139">
        <v>23</v>
      </c>
      <c r="M248" s="1139">
        <f>VLOOKUP(B248,'[16]CN BC'!$H$10:$J$275,3,FALSE)</f>
        <v>23</v>
      </c>
      <c r="N248" s="1139">
        <f t="shared" si="23"/>
        <v>23</v>
      </c>
      <c r="O248" s="1140"/>
      <c r="P248" s="1141">
        <f t="shared" si="22"/>
        <v>5346900</v>
      </c>
      <c r="Q248" s="1519">
        <f t="shared" si="24"/>
        <v>2.2850000000000001</v>
      </c>
      <c r="R248" s="1606">
        <v>2340000</v>
      </c>
      <c r="S248" s="1618">
        <f t="shared" si="25"/>
        <v>5346900</v>
      </c>
      <c r="T248" s="1142">
        <f t="shared" si="28"/>
        <v>236</v>
      </c>
      <c r="U248" s="1143">
        <f>IFERROR(INDEX('[16]CN BC'!$M$10:$M$276,MATCH(B248,'[16]CN BC'!$H$10:$H$276,0)),"")</f>
        <v>0</v>
      </c>
      <c r="V248" s="1144" t="str">
        <f>VLOOKUP(B248,TH.T4!B255:AC585,28,FALSE)</f>
        <v>ĐL</v>
      </c>
      <c r="W248" s="1130"/>
      <c r="X248" s="1146"/>
      <c r="Y248" s="1147"/>
      <c r="Z248" s="1146"/>
      <c r="AA248" s="1146"/>
      <c r="AB248" s="1146"/>
      <c r="AC248" s="1146"/>
      <c r="AD248" s="1146"/>
      <c r="AE248" s="1146"/>
    </row>
    <row r="249" spans="1:31" s="1148" customFormat="1" ht="27.75" customHeight="1">
      <c r="A249" s="1132">
        <f>_xlfn.AGGREGATE(4,7,A$12:A248)+1</f>
        <v>237</v>
      </c>
      <c r="B249" s="1133" t="s">
        <v>1542</v>
      </c>
      <c r="C249" s="1153" t="s">
        <v>1806</v>
      </c>
      <c r="D249" s="1154" t="s">
        <v>3</v>
      </c>
      <c r="E249" s="383" t="str">
        <f>VLOOKUP(B249,TH.Q2!B161:E492,4,FALSE)</f>
        <v>Giảng viên - Trưởng BM khoa Động lực</v>
      </c>
      <c r="F249" s="1160">
        <v>4.32</v>
      </c>
      <c r="G249" s="1137"/>
      <c r="H249" s="1400">
        <f t="shared" si="26"/>
        <v>0</v>
      </c>
      <c r="I249" s="1138"/>
      <c r="J249" s="1138" t="str">
        <f>VLOOKUP(B249,'[15]Gui chi Quynh'!$B$11:$E$396,4,FALSE)</f>
        <v>A4</v>
      </c>
      <c r="K249" s="1138">
        <f t="shared" si="27"/>
        <v>0.5</v>
      </c>
      <c r="L249" s="1139">
        <v>23</v>
      </c>
      <c r="M249" s="1139">
        <f>VLOOKUP(B249,'[16]CN BC'!$H$10:$J$275,3,FALSE)</f>
        <v>23</v>
      </c>
      <c r="N249" s="1139">
        <f t="shared" si="23"/>
        <v>23</v>
      </c>
      <c r="O249" s="1155"/>
      <c r="P249" s="1141">
        <f t="shared" si="22"/>
        <v>5054400</v>
      </c>
      <c r="Q249" s="1519">
        <f t="shared" si="24"/>
        <v>2.16</v>
      </c>
      <c r="R249" s="1606">
        <v>2340000</v>
      </c>
      <c r="S249" s="1618">
        <f t="shared" si="25"/>
        <v>5054400</v>
      </c>
      <c r="T249" s="1142">
        <f t="shared" si="28"/>
        <v>237</v>
      </c>
      <c r="U249" s="1143">
        <f>IFERROR(INDEX('[16]CN BC'!$M$10:$M$276,MATCH(B249,'[16]CN BC'!$H$10:$H$276,0)),"")</f>
        <v>0</v>
      </c>
      <c r="V249" s="1189" t="str">
        <f>VLOOKUP(B249,TH.T4!B256:AC586,28,FALSE)</f>
        <v>ĐL</v>
      </c>
      <c r="W249" s="1171"/>
      <c r="Y249" s="1158"/>
    </row>
    <row r="250" spans="1:31" s="1148" customFormat="1" ht="27.75" customHeight="1">
      <c r="A250" s="1132">
        <f>_xlfn.AGGREGATE(4,7,A$12:A249)+1</f>
        <v>238</v>
      </c>
      <c r="B250" s="1133" t="s">
        <v>1543</v>
      </c>
      <c r="C250" s="1153" t="s">
        <v>1807</v>
      </c>
      <c r="D250" s="1154" t="s">
        <v>4</v>
      </c>
      <c r="E250" s="1058" t="str">
        <f>VLOOKUP(B250,TH.Q2!B162:E493,4,FALSE)</f>
        <v>Giảng viên - Trưởng BM khoa Động lực</v>
      </c>
      <c r="F250" s="1160">
        <v>3.99</v>
      </c>
      <c r="G250" s="1137"/>
      <c r="H250" s="1393">
        <f t="shared" si="26"/>
        <v>0</v>
      </c>
      <c r="I250" s="1138">
        <v>0.25</v>
      </c>
      <c r="J250" s="1138" t="str">
        <f>VLOOKUP(B250,'[15]Gui chi Quynh'!$B$11:$E$396,4,FALSE)</f>
        <v>A3</v>
      </c>
      <c r="K250" s="1138">
        <f t="shared" si="27"/>
        <v>0.6</v>
      </c>
      <c r="L250" s="1139">
        <v>23</v>
      </c>
      <c r="M250" s="1139">
        <f>VLOOKUP(B250,'[16]CN BC'!$H$10:$J$275,3,FALSE)</f>
        <v>23</v>
      </c>
      <c r="N250" s="1139">
        <f t="shared" si="23"/>
        <v>23</v>
      </c>
      <c r="O250" s="1140"/>
      <c r="P250" s="1141">
        <f t="shared" si="22"/>
        <v>5952960</v>
      </c>
      <c r="Q250" s="1519">
        <f t="shared" si="24"/>
        <v>2.544</v>
      </c>
      <c r="R250" s="1606">
        <v>2340000</v>
      </c>
      <c r="S250" s="1618">
        <f t="shared" si="25"/>
        <v>5952960</v>
      </c>
      <c r="T250" s="1142">
        <f t="shared" si="28"/>
        <v>238</v>
      </c>
      <c r="U250" s="1143">
        <f>IFERROR(INDEX('[16]CN BC'!$M$10:$M$276,MATCH(B250,'[16]CN BC'!$H$10:$H$276,0)),"")</f>
        <v>0</v>
      </c>
      <c r="V250" s="1144" t="str">
        <f>VLOOKUP(B250,TH.T4!B257:AC587,28,FALSE)</f>
        <v>ĐL</v>
      </c>
      <c r="W250" s="1130"/>
      <c r="X250" s="1146"/>
      <c r="Y250" s="1147"/>
      <c r="Z250" s="1146"/>
      <c r="AA250" s="1146"/>
      <c r="AB250" s="1146"/>
      <c r="AC250" s="1146"/>
      <c r="AD250" s="1146"/>
      <c r="AE250" s="1146"/>
    </row>
    <row r="251" spans="1:31" s="1148" customFormat="1" ht="23.25" customHeight="1">
      <c r="A251" s="1132">
        <f>_xlfn.AGGREGATE(4,7,A$12:A250)+1</f>
        <v>239</v>
      </c>
      <c r="B251" s="1133" t="s">
        <v>1544</v>
      </c>
      <c r="C251" s="1153" t="s">
        <v>1808</v>
      </c>
      <c r="D251" s="1154" t="s">
        <v>5</v>
      </c>
      <c r="E251" s="383" t="str">
        <f>VLOOKUP(B251,TH.Q2!B163:E494,4,FALSE)</f>
        <v>Giảng viên khoa Động lực</v>
      </c>
      <c r="F251" s="1160">
        <v>3.99</v>
      </c>
      <c r="G251" s="1137"/>
      <c r="H251" s="1400">
        <f t="shared" si="26"/>
        <v>0</v>
      </c>
      <c r="I251" s="1138"/>
      <c r="J251" s="1138" t="str">
        <f>VLOOKUP(B251,'[15]Gui chi Quynh'!$B$11:$E$396,4,FALSE)</f>
        <v>A4</v>
      </c>
      <c r="K251" s="1138">
        <f t="shared" si="27"/>
        <v>0.5</v>
      </c>
      <c r="L251" s="1139">
        <v>23</v>
      </c>
      <c r="M251" s="1139">
        <f>VLOOKUP(B251,'[16]CN BC'!$H$10:$J$275,3,FALSE)</f>
        <v>23</v>
      </c>
      <c r="N251" s="1139">
        <f t="shared" si="23"/>
        <v>23</v>
      </c>
      <c r="O251" s="1155"/>
      <c r="P251" s="1141">
        <f t="shared" si="22"/>
        <v>4668300</v>
      </c>
      <c r="Q251" s="1519">
        <f t="shared" si="24"/>
        <v>1.9950000000000001</v>
      </c>
      <c r="R251" s="1606">
        <v>2340000</v>
      </c>
      <c r="S251" s="1618">
        <f t="shared" si="25"/>
        <v>4668300</v>
      </c>
      <c r="T251" s="1142">
        <f t="shared" si="28"/>
        <v>239</v>
      </c>
      <c r="U251" s="1143">
        <f>IFERROR(INDEX('[16]CN BC'!$M$10:$M$276,MATCH(B251,'[16]CN BC'!$H$10:$H$276,0)),"")</f>
        <v>0</v>
      </c>
      <c r="V251" s="1189" t="str">
        <f>VLOOKUP(B251,TH.T4!B258:AC588,28,FALSE)</f>
        <v>ĐL</v>
      </c>
      <c r="W251" s="1171"/>
      <c r="Y251" s="1158"/>
    </row>
    <row r="252" spans="1:31" s="1148" customFormat="1" ht="27.75" customHeight="1">
      <c r="A252" s="1132">
        <f>_xlfn.AGGREGATE(4,7,A$12:A251)+1</f>
        <v>240</v>
      </c>
      <c r="B252" s="1133" t="s">
        <v>1917</v>
      </c>
      <c r="C252" s="1153" t="s">
        <v>1809</v>
      </c>
      <c r="D252" s="1154" t="s">
        <v>394</v>
      </c>
      <c r="E252" s="383" t="str">
        <f>VLOOKUP(B252,TH.Q2!B164:E495,4,FALSE)</f>
        <v>Giảng viên khoa Động lực</v>
      </c>
      <c r="F252" s="1160">
        <v>3.99</v>
      </c>
      <c r="G252" s="1137"/>
      <c r="H252" s="1400">
        <f t="shared" si="26"/>
        <v>0</v>
      </c>
      <c r="I252" s="1138"/>
      <c r="J252" s="1138" t="str">
        <f>VLOOKUP(B252,'[15]Gui chi Quynh'!$B$11:$E$396,4,FALSE)</f>
        <v>A4</v>
      </c>
      <c r="K252" s="1138">
        <f t="shared" si="27"/>
        <v>0.5</v>
      </c>
      <c r="L252" s="1139">
        <v>23</v>
      </c>
      <c r="M252" s="1139">
        <f>VLOOKUP(B252,'[16]CN BC'!$H$10:$J$275,3,FALSE)</f>
        <v>23</v>
      </c>
      <c r="N252" s="1139">
        <f t="shared" si="23"/>
        <v>23</v>
      </c>
      <c r="O252" s="1155"/>
      <c r="P252" s="1141">
        <f t="shared" si="22"/>
        <v>4668300</v>
      </c>
      <c r="Q252" s="1519">
        <f t="shared" si="24"/>
        <v>1.9950000000000001</v>
      </c>
      <c r="R252" s="1606">
        <v>2340000</v>
      </c>
      <c r="S252" s="1618">
        <f t="shared" si="25"/>
        <v>4668300</v>
      </c>
      <c r="T252" s="1142">
        <f t="shared" si="28"/>
        <v>240</v>
      </c>
      <c r="U252" s="1143">
        <f>IFERROR(INDEX('[16]CN BC'!$M$10:$M$276,MATCH(B252,'[16]CN BC'!$H$10:$H$276,0)),"")</f>
        <v>0</v>
      </c>
      <c r="V252" s="1189" t="str">
        <f>VLOOKUP(B252,TH.T4!B259:AC589,28,FALSE)</f>
        <v>ĐL</v>
      </c>
      <c r="W252" s="1171"/>
      <c r="Y252" s="1158"/>
    </row>
    <row r="253" spans="1:31" s="1148" customFormat="1" ht="26.25" customHeight="1">
      <c r="A253" s="1132">
        <f>_xlfn.AGGREGATE(4,7,A$12:A252)+1</f>
        <v>241</v>
      </c>
      <c r="B253" s="1223" t="s">
        <v>1918</v>
      </c>
      <c r="C253" s="1153" t="s">
        <v>1810</v>
      </c>
      <c r="D253" s="1154" t="s">
        <v>393</v>
      </c>
      <c r="E253" s="383" t="str">
        <f>VLOOKUP(B253,TH.Q2!B165:E496,4,FALSE)</f>
        <v>Giảng viên khoa Động lực</v>
      </c>
      <c r="F253" s="1160">
        <v>3.99</v>
      </c>
      <c r="G253" s="1137"/>
      <c r="H253" s="1400">
        <f t="shared" si="26"/>
        <v>0</v>
      </c>
      <c r="I253" s="1138"/>
      <c r="J253" s="1138" t="str">
        <f>VLOOKUP(B253,'[15]Gui chi Quynh'!$B$11:$E$396,4,FALSE)</f>
        <v>A4</v>
      </c>
      <c r="K253" s="1138">
        <f t="shared" si="27"/>
        <v>0.5</v>
      </c>
      <c r="L253" s="1139">
        <v>23</v>
      </c>
      <c r="M253" s="1139">
        <f>VLOOKUP(B253,'[16]CN BC'!$H$10:$J$275,3,FALSE)</f>
        <v>23</v>
      </c>
      <c r="N253" s="1139">
        <f t="shared" si="23"/>
        <v>23</v>
      </c>
      <c r="O253" s="1155"/>
      <c r="P253" s="1141">
        <f t="shared" si="22"/>
        <v>4668300</v>
      </c>
      <c r="Q253" s="1519">
        <f t="shared" si="24"/>
        <v>1.9950000000000001</v>
      </c>
      <c r="R253" s="1606">
        <v>2340000</v>
      </c>
      <c r="S253" s="1618">
        <f t="shared" si="25"/>
        <v>4668300</v>
      </c>
      <c r="T253" s="1142">
        <f t="shared" si="28"/>
        <v>241</v>
      </c>
      <c r="U253" s="1143">
        <f>IFERROR(INDEX('[16]CN BC'!$M$10:$M$276,MATCH(B253,'[16]CN BC'!$H$10:$H$276,0)),"")</f>
        <v>0</v>
      </c>
      <c r="V253" s="1189" t="str">
        <f>VLOOKUP(B253,TH.T4!B260:AC590,28,FALSE)</f>
        <v>ĐL</v>
      </c>
      <c r="W253" s="1171"/>
      <c r="Y253" s="1158"/>
    </row>
    <row r="254" spans="1:31" s="1148" customFormat="1" ht="27.75" customHeight="1">
      <c r="A254" s="1132">
        <f>_xlfn.AGGREGATE(4,7,A$12:A253)+1</f>
        <v>242</v>
      </c>
      <c r="B254" s="1133" t="s">
        <v>1545</v>
      </c>
      <c r="C254" s="1153" t="s">
        <v>1811</v>
      </c>
      <c r="D254" s="1154" t="s">
        <v>395</v>
      </c>
      <c r="E254" s="383" t="str">
        <f>VLOOKUP(B254,TH.Q2!B166:E497,4,FALSE)</f>
        <v>Giảng viên khoa Động lực</v>
      </c>
      <c r="F254" s="1160">
        <v>3.99</v>
      </c>
      <c r="G254" s="1137"/>
      <c r="H254" s="1400">
        <f t="shared" si="26"/>
        <v>0</v>
      </c>
      <c r="I254" s="1138"/>
      <c r="J254" s="1138" t="str">
        <f>VLOOKUP(B254,'[15]Gui chi Quynh'!$B$11:$E$396,4,FALSE)</f>
        <v>A4</v>
      </c>
      <c r="K254" s="1138">
        <f t="shared" si="27"/>
        <v>0.5</v>
      </c>
      <c r="L254" s="1139">
        <v>23</v>
      </c>
      <c r="M254" s="1139">
        <f>VLOOKUP(B254,'[16]CN BC'!$H$10:$J$275,3,FALSE)</f>
        <v>23</v>
      </c>
      <c r="N254" s="1139">
        <f t="shared" si="23"/>
        <v>23</v>
      </c>
      <c r="O254" s="1155"/>
      <c r="P254" s="1141">
        <f t="shared" si="22"/>
        <v>4668300</v>
      </c>
      <c r="Q254" s="1519">
        <f t="shared" si="24"/>
        <v>1.9950000000000001</v>
      </c>
      <c r="R254" s="1606">
        <v>2340000</v>
      </c>
      <c r="S254" s="1618">
        <f t="shared" si="25"/>
        <v>4668300</v>
      </c>
      <c r="T254" s="1142">
        <f t="shared" si="28"/>
        <v>242</v>
      </c>
      <c r="U254" s="1143">
        <f>IFERROR(INDEX('[16]CN BC'!$M$10:$M$276,MATCH(B254,'[16]CN BC'!$H$10:$H$276,0)),"")</f>
        <v>0</v>
      </c>
      <c r="V254" s="1189" t="str">
        <f>VLOOKUP(B254,TH.T4!B261:AC591,28,FALSE)</f>
        <v>ĐL</v>
      </c>
      <c r="W254" s="1171"/>
      <c r="Y254" s="1158"/>
    </row>
    <row r="255" spans="1:31" s="1148" customFormat="1" ht="27.75" customHeight="1">
      <c r="A255" s="1132">
        <f>_xlfn.AGGREGATE(4,7,A$12:A254)+1</f>
        <v>243</v>
      </c>
      <c r="B255" s="1133" t="s">
        <v>1546</v>
      </c>
      <c r="C255" s="1153" t="s">
        <v>1812</v>
      </c>
      <c r="D255" s="1154" t="s">
        <v>473</v>
      </c>
      <c r="E255" s="1058" t="str">
        <f>VLOOKUP(B255,TH.Q2!B167:E498,4,FALSE)</f>
        <v>Giảng viên khoa Động lực</v>
      </c>
      <c r="F255" s="1160">
        <v>3.66</v>
      </c>
      <c r="G255" s="1137"/>
      <c r="H255" s="1393">
        <f t="shared" si="26"/>
        <v>0</v>
      </c>
      <c r="I255" s="1138"/>
      <c r="J255" s="1138" t="str">
        <f>VLOOKUP(B255,'[15]Gui chi Quynh'!$B$11:$E$396,4,FALSE)</f>
        <v>A4</v>
      </c>
      <c r="K255" s="1138">
        <f t="shared" si="27"/>
        <v>0.5</v>
      </c>
      <c r="L255" s="1139">
        <v>23</v>
      </c>
      <c r="M255" s="1139">
        <f>VLOOKUP(B255,'[16]CN BC'!$H$10:$J$275,3,FALSE)</f>
        <v>23</v>
      </c>
      <c r="N255" s="1139">
        <f t="shared" si="23"/>
        <v>23</v>
      </c>
      <c r="O255" s="1140"/>
      <c r="P255" s="1141">
        <f t="shared" si="22"/>
        <v>4282200</v>
      </c>
      <c r="Q255" s="1519">
        <f t="shared" si="24"/>
        <v>1.83</v>
      </c>
      <c r="R255" s="1606">
        <v>2340000</v>
      </c>
      <c r="S255" s="1618">
        <f t="shared" si="25"/>
        <v>4282200</v>
      </c>
      <c r="T255" s="1142">
        <f t="shared" si="28"/>
        <v>243</v>
      </c>
      <c r="U255" s="1143">
        <f>IFERROR(INDEX('[16]CN BC'!$M$10:$M$276,MATCH(B255,'[16]CN BC'!$H$10:$H$276,0)),"")</f>
        <v>0</v>
      </c>
      <c r="V255" s="1144" t="str">
        <f>VLOOKUP(B255,TH.T4!B262:AC592,28,FALSE)</f>
        <v>ĐL</v>
      </c>
      <c r="W255" s="1167"/>
      <c r="X255" s="1146"/>
      <c r="Y255" s="1147"/>
      <c r="Z255" s="1146"/>
      <c r="AA255" s="1146"/>
      <c r="AB255" s="1146"/>
      <c r="AC255" s="1146"/>
      <c r="AD255" s="1146"/>
      <c r="AE255" s="1146"/>
    </row>
    <row r="256" spans="1:31" s="1148" customFormat="1" ht="25.5" customHeight="1">
      <c r="A256" s="1132">
        <f>_xlfn.AGGREGATE(4,7,A$12:A255)+1</f>
        <v>244</v>
      </c>
      <c r="B256" s="1133" t="s">
        <v>1547</v>
      </c>
      <c r="C256" s="1153" t="s">
        <v>1813</v>
      </c>
      <c r="D256" s="1226" t="s">
        <v>490</v>
      </c>
      <c r="E256" s="1058" t="str">
        <f>VLOOKUP(B256,TH.Q2!B168:E499,4,FALSE)</f>
        <v>Giảng viên khoa Động lực</v>
      </c>
      <c r="F256" s="1160">
        <v>3.66</v>
      </c>
      <c r="G256" s="1137"/>
      <c r="H256" s="1393">
        <f t="shared" si="26"/>
        <v>0</v>
      </c>
      <c r="I256" s="1138"/>
      <c r="J256" s="1138" t="str">
        <f>VLOOKUP(B256,'[15]Gui chi Quynh'!$B$11:$E$396,4,FALSE)</f>
        <v>A4</v>
      </c>
      <c r="K256" s="1138">
        <f t="shared" si="27"/>
        <v>0.5</v>
      </c>
      <c r="L256" s="1139">
        <v>23</v>
      </c>
      <c r="M256" s="1139">
        <f>VLOOKUP(B256,'[16]CN BC'!$H$10:$J$275,3,FALSE)</f>
        <v>23</v>
      </c>
      <c r="N256" s="1139">
        <f t="shared" si="23"/>
        <v>23</v>
      </c>
      <c r="O256" s="1140"/>
      <c r="P256" s="1141">
        <f t="shared" si="22"/>
        <v>4282200</v>
      </c>
      <c r="Q256" s="1519">
        <f t="shared" si="24"/>
        <v>1.83</v>
      </c>
      <c r="R256" s="1606">
        <v>2340000</v>
      </c>
      <c r="S256" s="1618">
        <f t="shared" si="25"/>
        <v>4282200</v>
      </c>
      <c r="T256" s="1142">
        <f t="shared" si="28"/>
        <v>244</v>
      </c>
      <c r="U256" s="1143">
        <f>IFERROR(INDEX('[16]CN BC'!$M$10:$M$276,MATCH(B256,'[16]CN BC'!$H$10:$H$276,0)),"")</f>
        <v>0</v>
      </c>
      <c r="V256" s="1144" t="str">
        <f>VLOOKUP(B256,TH.T4!B263:AC593,28,FALSE)</f>
        <v>ĐL</v>
      </c>
      <c r="W256" s="1130"/>
      <c r="X256" s="1146"/>
      <c r="Y256" s="1147"/>
      <c r="Z256" s="1146"/>
      <c r="AA256" s="1146"/>
      <c r="AB256" s="1146"/>
      <c r="AC256" s="1146"/>
      <c r="AD256" s="1146"/>
      <c r="AE256" s="1146"/>
    </row>
    <row r="257" spans="1:35" s="1148" customFormat="1" ht="23.25" customHeight="1">
      <c r="A257" s="1132">
        <f>_xlfn.AGGREGATE(4,7,A$12:A256)+1</f>
        <v>245</v>
      </c>
      <c r="B257" s="1133" t="s">
        <v>1919</v>
      </c>
      <c r="C257" s="1153" t="s">
        <v>1814</v>
      </c>
      <c r="D257" s="1154" t="s">
        <v>750</v>
      </c>
      <c r="E257" s="1058" t="str">
        <f>VLOOKUP(B257,TH.Q2!B169:E500,4,FALSE)</f>
        <v>Giảng viên khoa Động lực</v>
      </c>
      <c r="F257" s="1160">
        <v>3.66</v>
      </c>
      <c r="G257" s="1137"/>
      <c r="H257" s="1393">
        <f t="shared" si="26"/>
        <v>0</v>
      </c>
      <c r="I257" s="1138"/>
      <c r="J257" s="1138" t="str">
        <f>VLOOKUP(B257,'[15]Gui chi Quynh'!$B$11:$E$396,4,FALSE)</f>
        <v>A3</v>
      </c>
      <c r="K257" s="1138">
        <f t="shared" si="27"/>
        <v>0.6</v>
      </c>
      <c r="L257" s="1139">
        <v>23</v>
      </c>
      <c r="M257" s="1139">
        <f>VLOOKUP(B257,'[16]CN BC'!$H$10:$J$275,3,FALSE)</f>
        <v>23</v>
      </c>
      <c r="N257" s="1139">
        <f t="shared" si="23"/>
        <v>23</v>
      </c>
      <c r="O257" s="1140"/>
      <c r="P257" s="1141">
        <f t="shared" si="22"/>
        <v>5138640</v>
      </c>
      <c r="Q257" s="1519">
        <f t="shared" si="24"/>
        <v>2.1960000000000002</v>
      </c>
      <c r="R257" s="1606">
        <v>2340000</v>
      </c>
      <c r="S257" s="1618">
        <f t="shared" si="25"/>
        <v>5138640</v>
      </c>
      <c r="T257" s="1142">
        <f t="shared" si="28"/>
        <v>245</v>
      </c>
      <c r="U257" s="1143">
        <f>IFERROR(INDEX('[16]CN BC'!$M$10:$M$276,MATCH(B257,'[16]CN BC'!$H$10:$H$276,0)),"")</f>
        <v>0</v>
      </c>
      <c r="V257" s="1144" t="str">
        <f>VLOOKUP(B257,TH.T4!B264:AC594,28,FALSE)</f>
        <v>ĐL</v>
      </c>
      <c r="W257" s="1130"/>
      <c r="X257" s="1146"/>
      <c r="Y257" s="1147"/>
      <c r="Z257" s="1146"/>
      <c r="AA257" s="1146"/>
      <c r="AB257" s="1146"/>
      <c r="AC257" s="1146"/>
      <c r="AD257" s="1146"/>
      <c r="AE257" s="1146"/>
    </row>
    <row r="258" spans="1:35" s="1148" customFormat="1" ht="25.5" customHeight="1">
      <c r="A258" s="1132">
        <f>_xlfn.AGGREGATE(4,7,A$12:A257)+1</f>
        <v>246</v>
      </c>
      <c r="B258" s="1133" t="s">
        <v>1548</v>
      </c>
      <c r="C258" s="1153" t="s">
        <v>1815</v>
      </c>
      <c r="D258" s="1154" t="s">
        <v>752</v>
      </c>
      <c r="E258" s="1058" t="str">
        <f>VLOOKUP(B258,TH.Q2!B170:E501,4,FALSE)</f>
        <v>Giảng viên khoa Động lực</v>
      </c>
      <c r="F258" s="1160">
        <v>3.66</v>
      </c>
      <c r="G258" s="1137"/>
      <c r="H258" s="1393">
        <f t="shared" si="26"/>
        <v>0</v>
      </c>
      <c r="I258" s="1138"/>
      <c r="J258" s="1138" t="str">
        <f>VLOOKUP(B258,'[15]Gui chi Quynh'!$B$11:$E$396,4,FALSE)</f>
        <v>A4</v>
      </c>
      <c r="K258" s="1138">
        <f t="shared" si="27"/>
        <v>0.5</v>
      </c>
      <c r="L258" s="1139">
        <v>23</v>
      </c>
      <c r="M258" s="1139">
        <f>VLOOKUP(B258,'[16]CN BC'!$H$10:$J$275,3,FALSE)</f>
        <v>23</v>
      </c>
      <c r="N258" s="1139">
        <f t="shared" si="23"/>
        <v>23</v>
      </c>
      <c r="O258" s="1140"/>
      <c r="P258" s="1141">
        <f t="shared" si="22"/>
        <v>4282200</v>
      </c>
      <c r="Q258" s="1519">
        <f t="shared" si="24"/>
        <v>1.83</v>
      </c>
      <c r="R258" s="1606">
        <v>2340000</v>
      </c>
      <c r="S258" s="1618">
        <f t="shared" si="25"/>
        <v>4282200</v>
      </c>
      <c r="T258" s="1142">
        <f t="shared" si="28"/>
        <v>246</v>
      </c>
      <c r="U258" s="1143">
        <f>IFERROR(INDEX('[16]CN BC'!$M$10:$M$276,MATCH(B258,'[16]CN BC'!$H$10:$H$276,0)),"")</f>
        <v>0</v>
      </c>
      <c r="V258" s="1144" t="str">
        <f>VLOOKUP(B258,TH.T4!B265:AC595,28,FALSE)</f>
        <v>ĐL</v>
      </c>
      <c r="W258" s="1171"/>
      <c r="Y258" s="1158"/>
    </row>
    <row r="259" spans="1:35" s="1148" customFormat="1" ht="25.5" customHeight="1">
      <c r="A259" s="1132">
        <f>_xlfn.AGGREGATE(4,7,A$12:A258)+1</f>
        <v>247</v>
      </c>
      <c r="B259" s="1133" t="s">
        <v>1549</v>
      </c>
      <c r="C259" s="1153" t="s">
        <v>1816</v>
      </c>
      <c r="D259" s="1150" t="s">
        <v>1429</v>
      </c>
      <c r="E259" s="383" t="str">
        <f>VLOOKUP(B259,TH.Q2!B171:E502,4,FALSE)</f>
        <v>Giảng viên khoa Động lực</v>
      </c>
      <c r="F259" s="1231">
        <v>3.66</v>
      </c>
      <c r="G259" s="1137"/>
      <c r="H259" s="1400">
        <f t="shared" si="26"/>
        <v>0</v>
      </c>
      <c r="I259" s="1138">
        <v>0.25</v>
      </c>
      <c r="J259" s="1138" t="str">
        <f>VLOOKUP(B259,'[15]Gui chi Quynh'!$B$11:$E$396,4,FALSE)</f>
        <v>A4</v>
      </c>
      <c r="K259" s="1138">
        <f t="shared" si="27"/>
        <v>0.5</v>
      </c>
      <c r="L259" s="1139">
        <v>23</v>
      </c>
      <c r="M259" s="1139">
        <f>VLOOKUP(B259,'[16]CN BC'!$H$10:$J$275,3,FALSE)</f>
        <v>23</v>
      </c>
      <c r="N259" s="1139">
        <f t="shared" si="23"/>
        <v>23</v>
      </c>
      <c r="O259" s="1155"/>
      <c r="P259" s="1141">
        <f t="shared" si="22"/>
        <v>4574700</v>
      </c>
      <c r="Q259" s="1519">
        <f t="shared" si="24"/>
        <v>1.9550000000000001</v>
      </c>
      <c r="R259" s="1606">
        <v>2340000</v>
      </c>
      <c r="S259" s="1618">
        <f t="shared" si="25"/>
        <v>4574700</v>
      </c>
      <c r="T259" s="1142">
        <f t="shared" si="28"/>
        <v>247</v>
      </c>
      <c r="U259" s="1143">
        <f>IFERROR(INDEX('[16]CN BC'!$M$10:$M$276,MATCH(B259,'[16]CN BC'!$H$10:$H$276,0)),"")</f>
        <v>0</v>
      </c>
      <c r="V259" s="1189" t="str">
        <f>VLOOKUP(B259,TH.T4!B266:AC596,28,FALSE)</f>
        <v>ĐL</v>
      </c>
      <c r="W259" s="1171"/>
      <c r="Y259" s="1158"/>
    </row>
    <row r="260" spans="1:35" s="1148" customFormat="1" ht="25.5" customHeight="1">
      <c r="A260" s="1132">
        <f>_xlfn.AGGREGATE(4,7,A$12:A259)+1</f>
        <v>248</v>
      </c>
      <c r="B260" s="1133" t="s">
        <v>1550</v>
      </c>
      <c r="C260" s="1153" t="s">
        <v>1817</v>
      </c>
      <c r="D260" s="1150" t="s">
        <v>1430</v>
      </c>
      <c r="E260" s="383" t="str">
        <f>VLOOKUP(B260,TH.Q2!B172:E503,4,FALSE)</f>
        <v>Giảng viên khoa Động lực</v>
      </c>
      <c r="F260" s="1231">
        <v>3.66</v>
      </c>
      <c r="G260" s="1137"/>
      <c r="H260" s="1400">
        <f t="shared" si="26"/>
        <v>0</v>
      </c>
      <c r="I260" s="1138"/>
      <c r="J260" s="1138" t="str">
        <f>VLOOKUP(B260,'[15]Gui chi Quynh'!$B$11:$E$396,4,FALSE)</f>
        <v>A1</v>
      </c>
      <c r="K260" s="1138">
        <f t="shared" si="27"/>
        <v>0.8</v>
      </c>
      <c r="L260" s="1139">
        <v>23</v>
      </c>
      <c r="M260" s="1139">
        <f>VLOOKUP(B260,'[16]CN BC'!$H$10:$J$275,3,FALSE)</f>
        <v>23</v>
      </c>
      <c r="N260" s="1139">
        <f t="shared" si="23"/>
        <v>23</v>
      </c>
      <c r="O260" s="1155"/>
      <c r="P260" s="1141">
        <f t="shared" si="22"/>
        <v>6851520</v>
      </c>
      <c r="Q260" s="1519">
        <f t="shared" si="24"/>
        <v>2.9279999999999999</v>
      </c>
      <c r="R260" s="1606">
        <v>2340000</v>
      </c>
      <c r="S260" s="1618">
        <f t="shared" si="25"/>
        <v>6851520</v>
      </c>
      <c r="T260" s="1142">
        <f t="shared" si="28"/>
        <v>248</v>
      </c>
      <c r="U260" s="1143">
        <f>IFERROR(INDEX('[16]CN BC'!$M$10:$M$276,MATCH(B260,'[16]CN BC'!$H$10:$H$276,0)),"")</f>
        <v>0</v>
      </c>
      <c r="V260" s="1189" t="str">
        <f>VLOOKUP(B260,TH.T4!B267:AC597,28,FALSE)</f>
        <v>ĐL</v>
      </c>
      <c r="W260" s="1227"/>
      <c r="Y260" s="1158"/>
    </row>
    <row r="261" spans="1:35" s="1148" customFormat="1" ht="25.5" customHeight="1">
      <c r="A261" s="1132">
        <f>_xlfn.AGGREGATE(4,7,A$12:A260)+1</f>
        <v>249</v>
      </c>
      <c r="B261" s="1133" t="s">
        <v>1836</v>
      </c>
      <c r="C261" s="1153" t="s">
        <v>1976</v>
      </c>
      <c r="D261" s="1198" t="s">
        <v>1977</v>
      </c>
      <c r="E261" s="1058" t="str">
        <f>VLOOKUP(B261,TH.Q2!B173:E504,4,FALSE)</f>
        <v>Giảng viên khoa Động lực</v>
      </c>
      <c r="F261" s="1231">
        <v>3</v>
      </c>
      <c r="G261" s="1137"/>
      <c r="H261" s="1393">
        <f t="shared" si="26"/>
        <v>0</v>
      </c>
      <c r="I261" s="1138"/>
      <c r="J261" s="1138" t="str">
        <f>VLOOKUP(B261,'[15]Gui chi Quynh'!$B$11:$E$396,4,FALSE)</f>
        <v>A4</v>
      </c>
      <c r="K261" s="1138">
        <f t="shared" si="27"/>
        <v>0.5</v>
      </c>
      <c r="L261" s="1139">
        <v>23</v>
      </c>
      <c r="M261" s="1139">
        <f>VLOOKUP(B261,'[16]CN BC'!$H$10:$J$275,3,FALSE)</f>
        <v>23</v>
      </c>
      <c r="N261" s="1139">
        <f t="shared" si="23"/>
        <v>23</v>
      </c>
      <c r="O261" s="1140"/>
      <c r="P261" s="1141">
        <f t="shared" si="22"/>
        <v>3510000</v>
      </c>
      <c r="Q261" s="1519">
        <f t="shared" si="24"/>
        <v>1.5</v>
      </c>
      <c r="R261" s="1606">
        <v>2340000</v>
      </c>
      <c r="S261" s="1618">
        <f t="shared" si="25"/>
        <v>3510000</v>
      </c>
      <c r="T261" s="1142">
        <f t="shared" si="28"/>
        <v>249</v>
      </c>
      <c r="U261" s="1143">
        <f>IFERROR(INDEX('[16]CN BC'!$M$10:$M$276,MATCH(B261,'[16]CN BC'!$H$10:$H$276,0)),"")</f>
        <v>0</v>
      </c>
      <c r="V261" s="1144" t="str">
        <f>VLOOKUP(B261,TH.T4!B268:AC598,28,FALSE)</f>
        <v>ĐL</v>
      </c>
      <c r="W261" s="1167"/>
      <c r="X261" s="1146"/>
      <c r="Y261" s="1147"/>
      <c r="Z261" s="1146"/>
      <c r="AA261" s="1146"/>
      <c r="AB261" s="1146"/>
      <c r="AC261" s="1146"/>
      <c r="AD261" s="1146"/>
      <c r="AE261" s="1146"/>
    </row>
    <row r="262" spans="1:35" s="1148" customFormat="1" ht="25.5" customHeight="1">
      <c r="A262" s="1132">
        <f>_xlfn.AGGREGATE(4,7,A$12:A261)+1</f>
        <v>250</v>
      </c>
      <c r="B262" s="1133" t="s">
        <v>1837</v>
      </c>
      <c r="C262" s="1153" t="s">
        <v>1978</v>
      </c>
      <c r="D262" s="1198" t="s">
        <v>1979</v>
      </c>
      <c r="E262" s="1058" t="str">
        <f>VLOOKUP(B262,TH.Q2!B174:E505,4,FALSE)</f>
        <v>Giảng viên khoa Động lực</v>
      </c>
      <c r="F262" s="1226">
        <v>2.67</v>
      </c>
      <c r="G262" s="1137"/>
      <c r="H262" s="1393">
        <f t="shared" si="26"/>
        <v>0</v>
      </c>
      <c r="I262" s="1138"/>
      <c r="J262" s="1138" t="str">
        <f>VLOOKUP(B262,'[15]Gui chi Quynh'!$B$11:$E$396,4,FALSE)</f>
        <v>A4</v>
      </c>
      <c r="K262" s="1138">
        <f t="shared" si="27"/>
        <v>0.5</v>
      </c>
      <c r="L262" s="1139">
        <v>23</v>
      </c>
      <c r="M262" s="1139">
        <f>VLOOKUP(B262,'[16]CN BC'!$H$10:$J$275,3,FALSE)</f>
        <v>23</v>
      </c>
      <c r="N262" s="1139">
        <f t="shared" si="23"/>
        <v>23</v>
      </c>
      <c r="O262" s="1140"/>
      <c r="P262" s="1141">
        <f t="shared" si="22"/>
        <v>3123900</v>
      </c>
      <c r="Q262" s="1519">
        <f t="shared" si="24"/>
        <v>1.335</v>
      </c>
      <c r="R262" s="1606">
        <v>2340000</v>
      </c>
      <c r="S262" s="1618">
        <f t="shared" si="25"/>
        <v>3123900</v>
      </c>
      <c r="T262" s="1142">
        <f t="shared" si="28"/>
        <v>250</v>
      </c>
      <c r="U262" s="1143">
        <f>IFERROR(INDEX('[16]CN BC'!$M$10:$M$276,MATCH(B262,'[16]CN BC'!$H$10:$H$276,0)),"")</f>
        <v>0</v>
      </c>
      <c r="V262" s="1144" t="str">
        <f>VLOOKUP(B262,TH.T4!B269:AC599,28,FALSE)</f>
        <v>ĐL</v>
      </c>
      <c r="W262" s="1167"/>
      <c r="X262" s="1146"/>
      <c r="Y262" s="1147"/>
      <c r="Z262" s="1146"/>
      <c r="AA262" s="1146"/>
      <c r="AB262" s="1146"/>
      <c r="AC262" s="1146"/>
      <c r="AD262" s="1146"/>
      <c r="AE262" s="1146"/>
    </row>
    <row r="263" spans="1:35" s="1148" customFormat="1" ht="25.5" customHeight="1">
      <c r="A263" s="1132">
        <f>_xlfn.AGGREGATE(4,7,A$12:A262)+1</f>
        <v>251</v>
      </c>
      <c r="B263" s="1223" t="s">
        <v>1839</v>
      </c>
      <c r="C263" s="1153" t="s">
        <v>1980</v>
      </c>
      <c r="D263" s="1198" t="s">
        <v>1981</v>
      </c>
      <c r="E263" s="1058" t="str">
        <f>VLOOKUP(B263,TH.Q2!B175:E506,4,FALSE)</f>
        <v>Giảng viên khoa Động lực</v>
      </c>
      <c r="F263" s="1231">
        <v>3</v>
      </c>
      <c r="G263" s="1137"/>
      <c r="H263" s="1393">
        <f t="shared" si="26"/>
        <v>0</v>
      </c>
      <c r="I263" s="1138"/>
      <c r="J263" s="1138" t="str">
        <f>VLOOKUP(B263,'[15]Gui chi Quynh'!$B$11:$E$396,4,FALSE)</f>
        <v>A4</v>
      </c>
      <c r="K263" s="1138">
        <f t="shared" si="27"/>
        <v>0.5</v>
      </c>
      <c r="L263" s="1139">
        <v>23</v>
      </c>
      <c r="M263" s="1139">
        <f>VLOOKUP(B263,'[16]CN BC'!$H$10:$J$275,3,FALSE)</f>
        <v>23</v>
      </c>
      <c r="N263" s="1139">
        <f t="shared" si="23"/>
        <v>23</v>
      </c>
      <c r="O263" s="1140"/>
      <c r="P263" s="1141">
        <f t="shared" si="22"/>
        <v>3510000</v>
      </c>
      <c r="Q263" s="1519">
        <f t="shared" si="24"/>
        <v>1.5</v>
      </c>
      <c r="R263" s="1606">
        <v>2340000</v>
      </c>
      <c r="S263" s="1618">
        <f t="shared" si="25"/>
        <v>3510000</v>
      </c>
      <c r="T263" s="1142">
        <f t="shared" si="28"/>
        <v>251</v>
      </c>
      <c r="U263" s="1143">
        <f>IFERROR(INDEX('[16]CN BC'!$M$10:$M$276,MATCH(B263,'[16]CN BC'!$H$10:$H$276,0)),"")</f>
        <v>0</v>
      </c>
      <c r="V263" s="1144" t="str">
        <f>VLOOKUP(B263,TH.T4!B270:AC600,28,FALSE)</f>
        <v>ĐL</v>
      </c>
      <c r="W263" s="1167"/>
      <c r="X263" s="1146"/>
      <c r="Y263" s="1147"/>
      <c r="Z263" s="1146"/>
      <c r="AA263" s="1146"/>
      <c r="AB263" s="1146"/>
      <c r="AC263" s="1146"/>
      <c r="AD263" s="1146"/>
      <c r="AE263" s="1146"/>
    </row>
    <row r="264" spans="1:35" s="1148" customFormat="1" ht="25.5" customHeight="1">
      <c r="A264" s="1132">
        <f>_xlfn.AGGREGATE(4,7,A$12:A263)+1</f>
        <v>252</v>
      </c>
      <c r="B264" s="1223" t="s">
        <v>1844</v>
      </c>
      <c r="C264" s="1153" t="s">
        <v>1982</v>
      </c>
      <c r="D264" s="1198" t="s">
        <v>1983</v>
      </c>
      <c r="E264" s="1058" t="str">
        <f>VLOOKUP(B264,TH.Q2!B176:E507,4,FALSE)</f>
        <v>Giảng viên khoa Động lực</v>
      </c>
      <c r="F264" s="1231">
        <v>3.66</v>
      </c>
      <c r="G264" s="1137"/>
      <c r="H264" s="1393">
        <f t="shared" si="26"/>
        <v>0</v>
      </c>
      <c r="I264" s="1138"/>
      <c r="J264" s="1138" t="str">
        <f>VLOOKUP(B264,'[15]Gui chi Quynh'!$B$11:$E$396,4,FALSE)</f>
        <v>A4</v>
      </c>
      <c r="K264" s="1138">
        <f t="shared" si="27"/>
        <v>0.5</v>
      </c>
      <c r="L264" s="1139">
        <v>23</v>
      </c>
      <c r="M264" s="1139">
        <f>VLOOKUP(B264,'[16]CN BC'!$H$10:$J$275,3,FALSE)</f>
        <v>23</v>
      </c>
      <c r="N264" s="1139">
        <f t="shared" si="23"/>
        <v>23</v>
      </c>
      <c r="O264" s="1140"/>
      <c r="P264" s="1141">
        <f t="shared" si="22"/>
        <v>4282200</v>
      </c>
      <c r="Q264" s="1519">
        <f t="shared" si="24"/>
        <v>1.83</v>
      </c>
      <c r="R264" s="1606">
        <v>2340000</v>
      </c>
      <c r="S264" s="1618">
        <f t="shared" si="25"/>
        <v>4282200</v>
      </c>
      <c r="T264" s="1142">
        <f t="shared" si="28"/>
        <v>252</v>
      </c>
      <c r="U264" s="1143">
        <f>IFERROR(INDEX('[16]CN BC'!$M$10:$M$276,MATCH(B264,'[16]CN BC'!$H$10:$H$276,0)),"")</f>
        <v>0</v>
      </c>
      <c r="V264" s="1144" t="str">
        <f>VLOOKUP(B264,TH.T4!B271:AC601,28,FALSE)</f>
        <v>ĐL</v>
      </c>
      <c r="W264" s="1167"/>
      <c r="X264" s="1146"/>
      <c r="Y264" s="1147"/>
      <c r="Z264" s="1146"/>
      <c r="AA264" s="1146"/>
      <c r="AB264" s="1146"/>
      <c r="AC264" s="1146"/>
      <c r="AD264" s="1146"/>
      <c r="AE264" s="1146"/>
    </row>
    <row r="265" spans="1:35" s="1148" customFormat="1" ht="24" customHeight="1">
      <c r="A265" s="1132">
        <f>_xlfn.AGGREGATE(4,7,A$12:A264)+1</f>
        <v>253</v>
      </c>
      <c r="B265" s="1223" t="s">
        <v>1926</v>
      </c>
      <c r="C265" s="1153" t="s">
        <v>1984</v>
      </c>
      <c r="D265" s="1230" t="s">
        <v>1985</v>
      </c>
      <c r="E265" s="1058" t="str">
        <f>VLOOKUP(B265,TH.Q2!B177:E508,4,FALSE)</f>
        <v>Giảng viên khoa Động lực</v>
      </c>
      <c r="F265" s="1232">
        <v>2.67</v>
      </c>
      <c r="G265" s="1137"/>
      <c r="H265" s="1393">
        <f t="shared" si="26"/>
        <v>0</v>
      </c>
      <c r="I265" s="1138"/>
      <c r="J265" s="1138" t="str">
        <f>VLOOKUP(B265,'[15]Gui chi Quynh'!$B$11:$E$396,4,FALSE)</f>
        <v>A3</v>
      </c>
      <c r="K265" s="1138">
        <f t="shared" si="27"/>
        <v>0.6</v>
      </c>
      <c r="L265" s="1139">
        <v>23</v>
      </c>
      <c r="M265" s="1139">
        <f>VLOOKUP(B265,'[16]CN BC'!$H$10:$J$275,3,FALSE)</f>
        <v>23</v>
      </c>
      <c r="N265" s="1139">
        <f t="shared" si="23"/>
        <v>23</v>
      </c>
      <c r="O265" s="1140"/>
      <c r="P265" s="1141">
        <f t="shared" si="22"/>
        <v>3748680</v>
      </c>
      <c r="Q265" s="1519">
        <f t="shared" si="24"/>
        <v>1.6020000000000001</v>
      </c>
      <c r="R265" s="1606">
        <v>2340000</v>
      </c>
      <c r="S265" s="1618">
        <f t="shared" si="25"/>
        <v>3748680</v>
      </c>
      <c r="T265" s="1142">
        <f t="shared" si="28"/>
        <v>253</v>
      </c>
      <c r="U265" s="1143">
        <f>IFERROR(INDEX('[16]CN BC'!$M$10:$M$276,MATCH(B265,'[16]CN BC'!$H$10:$H$276,0)),"")</f>
        <v>0</v>
      </c>
      <c r="V265" s="1144" t="str">
        <f>VLOOKUP(B265,TH.T4!B272:AC602,28,FALSE)</f>
        <v>ĐL</v>
      </c>
      <c r="W265" s="1167"/>
      <c r="X265" s="1146"/>
      <c r="Y265" s="1147"/>
      <c r="Z265" s="1146"/>
      <c r="AA265" s="1146"/>
      <c r="AB265" s="1146"/>
      <c r="AC265" s="1146"/>
      <c r="AD265" s="1146"/>
      <c r="AE265" s="1146"/>
    </row>
    <row r="266" spans="1:35" s="1148" customFormat="1" ht="24" customHeight="1">
      <c r="A266" s="1132">
        <f>_xlfn.AGGREGATE(4,7,A$12:A265)+1</f>
        <v>254</v>
      </c>
      <c r="B266" s="1223" t="s">
        <v>1941</v>
      </c>
      <c r="C266" s="1153" t="s">
        <v>1989</v>
      </c>
      <c r="D266" s="1230" t="s">
        <v>1988</v>
      </c>
      <c r="E266" s="1058" t="str">
        <f>VLOOKUP(B266,TH.Q2!B178:E509,4,FALSE)</f>
        <v>Giảng viên khoa Động lực</v>
      </c>
      <c r="F266" s="1232">
        <v>2.34</v>
      </c>
      <c r="G266" s="1137"/>
      <c r="H266" s="1393">
        <f t="shared" si="26"/>
        <v>0</v>
      </c>
      <c r="I266" s="1138"/>
      <c r="J266" s="1138" t="str">
        <f>VLOOKUP(B266,'[15]Gui chi Quynh'!$B$11:$E$396,4,FALSE)</f>
        <v>A4</v>
      </c>
      <c r="K266" s="1138">
        <f t="shared" si="27"/>
        <v>0.5</v>
      </c>
      <c r="L266" s="1139">
        <v>23</v>
      </c>
      <c r="M266" s="1139">
        <f>VLOOKUP(B266,'[16]CN BC'!$H$10:$J$275,3,FALSE)</f>
        <v>23</v>
      </c>
      <c r="N266" s="1139">
        <f t="shared" si="23"/>
        <v>23</v>
      </c>
      <c r="O266" s="1140"/>
      <c r="P266" s="1141">
        <f t="shared" si="22"/>
        <v>2737800</v>
      </c>
      <c r="Q266" s="1519">
        <f t="shared" si="24"/>
        <v>1.17</v>
      </c>
      <c r="R266" s="1606">
        <v>2340000</v>
      </c>
      <c r="S266" s="1618">
        <f t="shared" si="25"/>
        <v>2737800</v>
      </c>
      <c r="T266" s="1142">
        <f t="shared" si="28"/>
        <v>254</v>
      </c>
      <c r="U266" s="1143">
        <f>IFERROR(INDEX('[16]CN BC'!$M$10:$M$276,MATCH(B266,'[16]CN BC'!$H$10:$H$276,0)),"")</f>
        <v>0</v>
      </c>
      <c r="V266" s="1144" t="str">
        <f>VLOOKUP(B266,TH.T4!B274:AC604,28,FALSE)</f>
        <v>ĐL</v>
      </c>
      <c r="W266" s="1167"/>
      <c r="X266" s="1146"/>
      <c r="Y266" s="1147"/>
      <c r="Z266" s="1146"/>
      <c r="AA266" s="1146"/>
      <c r="AB266" s="1146"/>
      <c r="AC266" s="1146"/>
      <c r="AD266" s="1146"/>
      <c r="AE266" s="1146"/>
    </row>
    <row r="267" spans="1:35" s="1148" customFormat="1" ht="24" customHeight="1">
      <c r="A267" s="1132">
        <f>_xlfn.AGGREGATE(4,7,A$12:A266)+1</f>
        <v>255</v>
      </c>
      <c r="B267" s="1223" t="s">
        <v>1945</v>
      </c>
      <c r="C267" s="1132" t="s">
        <v>1948</v>
      </c>
      <c r="D267" s="1150" t="s">
        <v>1949</v>
      </c>
      <c r="E267" s="1058" t="str">
        <f>VLOOKUP(B267,TH.Q2!B180:E511,4,FALSE)</f>
        <v>Giảng viên khoa Động lực</v>
      </c>
      <c r="F267" s="1232">
        <v>3.66</v>
      </c>
      <c r="G267" s="1137"/>
      <c r="H267" s="1393">
        <f t="shared" si="26"/>
        <v>0</v>
      </c>
      <c r="I267" s="1138"/>
      <c r="J267" s="1138" t="str">
        <f>VLOOKUP(B267,'[15]Gui chi Quynh'!$B$11:$E$396,4,FALSE)</f>
        <v>A4</v>
      </c>
      <c r="K267" s="1138">
        <f t="shared" si="27"/>
        <v>0.5</v>
      </c>
      <c r="L267" s="1139">
        <v>23</v>
      </c>
      <c r="M267" s="1139">
        <f>VLOOKUP(B267,'[16]CN BC'!$H$10:$J$275,3,FALSE)</f>
        <v>23</v>
      </c>
      <c r="N267" s="1139">
        <f t="shared" si="23"/>
        <v>23</v>
      </c>
      <c r="O267" s="1140"/>
      <c r="P267" s="1141">
        <f t="shared" si="22"/>
        <v>4282200</v>
      </c>
      <c r="Q267" s="1519">
        <f t="shared" si="24"/>
        <v>1.83</v>
      </c>
      <c r="R267" s="1606">
        <v>2340000</v>
      </c>
      <c r="S267" s="1618">
        <f t="shared" si="25"/>
        <v>4282200</v>
      </c>
      <c r="T267" s="1142">
        <f t="shared" si="28"/>
        <v>255</v>
      </c>
      <c r="U267" s="1143">
        <f>IFERROR(INDEX('[16]CN BC'!$M$10:$M$276,MATCH(B267,'[16]CN BC'!$H$10:$H$276,0)),"")</f>
        <v>0</v>
      </c>
      <c r="V267" s="1144" t="str">
        <f>VLOOKUP(B267,TH.T4!B276:AC606,28,FALSE)</f>
        <v>ĐL</v>
      </c>
      <c r="W267" s="1167"/>
      <c r="X267" s="1146"/>
      <c r="Y267" s="1158"/>
    </row>
    <row r="268" spans="1:35" s="1148" customFormat="1" ht="24" customHeight="1">
      <c r="A268" s="1132">
        <f>_xlfn.AGGREGATE(4,7,A$12:A267)+1</f>
        <v>256</v>
      </c>
      <c r="B268" s="1223" t="s">
        <v>2003</v>
      </c>
      <c r="C268" s="1132"/>
      <c r="D268" s="1150"/>
      <c r="E268" s="1058" t="str">
        <f>VLOOKUP(B268,TH.Q2!B181:E512,4,FALSE)</f>
        <v>Giảng viên khoa Động lực</v>
      </c>
      <c r="F268" s="1231">
        <v>3.33</v>
      </c>
      <c r="G268" s="1137"/>
      <c r="H268" s="1393">
        <f t="shared" si="26"/>
        <v>0</v>
      </c>
      <c r="I268" s="1138"/>
      <c r="J268" s="1138" t="str">
        <f>VLOOKUP(B268,'[15]Gui chi Quynh'!$B$11:$E$396,4,FALSE)</f>
        <v>A4</v>
      </c>
      <c r="K268" s="1138">
        <f t="shared" si="27"/>
        <v>0.5</v>
      </c>
      <c r="L268" s="1139">
        <v>23</v>
      </c>
      <c r="M268" s="1139">
        <f>VLOOKUP(B268,'[16]CN BC'!$H$10:$J$275,3,FALSE)</f>
        <v>23</v>
      </c>
      <c r="N268" s="1139">
        <f t="shared" si="23"/>
        <v>23</v>
      </c>
      <c r="O268" s="1140"/>
      <c r="P268" s="1141">
        <f t="shared" si="22"/>
        <v>3896100.0000000005</v>
      </c>
      <c r="Q268" s="1519">
        <f t="shared" si="24"/>
        <v>1.6650000000000003</v>
      </c>
      <c r="R268" s="1606">
        <v>2340000</v>
      </c>
      <c r="S268" s="1618">
        <f t="shared" si="25"/>
        <v>3896100.0000000005</v>
      </c>
      <c r="T268" s="1142">
        <f t="shared" si="28"/>
        <v>256</v>
      </c>
      <c r="U268" s="1143">
        <f>IFERROR(INDEX('[16]CN BC'!$M$10:$M$276,MATCH(B268,'[16]CN BC'!$H$10:$H$276,0)),"")</f>
        <v>0</v>
      </c>
      <c r="V268" s="1144" t="str">
        <f>VLOOKUP(B268,TH.T4!B277:AC607,28,FALSE)</f>
        <v>ĐL</v>
      </c>
      <c r="W268" s="1167"/>
      <c r="X268" s="1146"/>
      <c r="Y268" s="1158"/>
    </row>
    <row r="269" spans="1:35" s="1148" customFormat="1" ht="24" customHeight="1">
      <c r="A269" s="1132">
        <f>_xlfn.AGGREGATE(4,7,A$12:A268)+1</f>
        <v>257</v>
      </c>
      <c r="B269" s="1223" t="s">
        <v>2010</v>
      </c>
      <c r="C269" s="1132"/>
      <c r="D269" s="1150"/>
      <c r="E269" s="1058" t="str">
        <f>VLOOKUP(B269,TH.Q2!B182:E513,4,FALSE)</f>
        <v>Giảng viên khoa Động lực</v>
      </c>
      <c r="F269" s="1231">
        <v>2.34</v>
      </c>
      <c r="G269" s="1137"/>
      <c r="H269" s="1393">
        <f t="shared" si="26"/>
        <v>0</v>
      </c>
      <c r="I269" s="1138"/>
      <c r="J269" s="1138" t="str">
        <f>VLOOKUP(B269,'[15]Gui chi Quynh'!$B$11:$E$396,4,FALSE)</f>
        <v>A4</v>
      </c>
      <c r="K269" s="1138">
        <f t="shared" si="27"/>
        <v>0.5</v>
      </c>
      <c r="L269" s="1139">
        <v>23</v>
      </c>
      <c r="M269" s="1139">
        <f>VLOOKUP(B269,'[16]CN BC'!$H$10:$J$275,3,FALSE)</f>
        <v>23</v>
      </c>
      <c r="N269" s="1139">
        <f t="shared" si="23"/>
        <v>23</v>
      </c>
      <c r="O269" s="1140"/>
      <c r="P269" s="1141">
        <f t="shared" ref="P269:P278" si="29">(((F269+H269+I269)*$P$9/L269*N269)*K269)+O269</f>
        <v>2737800</v>
      </c>
      <c r="Q269" s="1519">
        <f t="shared" si="24"/>
        <v>1.17</v>
      </c>
      <c r="R269" s="1606">
        <v>2340000</v>
      </c>
      <c r="S269" s="1618">
        <f t="shared" si="25"/>
        <v>2737800</v>
      </c>
      <c r="T269" s="1142">
        <f t="shared" si="28"/>
        <v>257</v>
      </c>
      <c r="U269" s="1143">
        <f>IFERROR(INDEX('[16]CN BC'!$M$10:$M$276,MATCH(B269,'[16]CN BC'!$H$10:$H$276,0)),"")</f>
        <v>0</v>
      </c>
      <c r="V269" s="1144" t="str">
        <f>VLOOKUP(B269,TH.T4!B278:AC608,28,FALSE)</f>
        <v>ĐL</v>
      </c>
      <c r="W269" s="1227"/>
      <c r="Y269" s="1158"/>
    </row>
    <row r="270" spans="1:35" s="1148" customFormat="1" ht="33" customHeight="1">
      <c r="A270" s="1132">
        <f>_xlfn.AGGREGATE(4,7,A$12:A269)+1</f>
        <v>258</v>
      </c>
      <c r="B270" s="1133" t="s">
        <v>1554</v>
      </c>
      <c r="C270" s="1153" t="s">
        <v>1818</v>
      </c>
      <c r="D270" s="1196" t="s">
        <v>1570</v>
      </c>
      <c r="E270" s="1058" t="str">
        <f>VLOOKUP(B270,TH.Q2!B183:E514,4,FALSE)</f>
        <v>Giảng viên khoa Xây dựng - Nhiệt lạnh</v>
      </c>
      <c r="F270" s="1160">
        <v>3.66</v>
      </c>
      <c r="G270" s="1137"/>
      <c r="H270" s="1400">
        <f t="shared" si="26"/>
        <v>0</v>
      </c>
      <c r="I270" s="1138">
        <v>0.45</v>
      </c>
      <c r="J270" s="1138" t="str">
        <f>VLOOKUP(B270,'[15]Gui chi Quynh'!$B$11:$E$396,4,FALSE)</f>
        <v>A4</v>
      </c>
      <c r="K270" s="1138">
        <f t="shared" si="27"/>
        <v>0.5</v>
      </c>
      <c r="L270" s="1139">
        <v>23</v>
      </c>
      <c r="M270" s="1139">
        <f>VLOOKUP(B270,'[16]CN BC'!$H$10:$J$275,3,FALSE)</f>
        <v>23</v>
      </c>
      <c r="N270" s="1139">
        <f t="shared" ref="N270:N278" si="30">IF(M270&gt;=L270,L270,IF(M270&lt;L270,M270))</f>
        <v>23</v>
      </c>
      <c r="O270" s="1140"/>
      <c r="P270" s="1141">
        <f t="shared" si="29"/>
        <v>4808700</v>
      </c>
      <c r="Q270" s="1519">
        <f t="shared" ref="Q270:Q333" si="31">P270/R270</f>
        <v>2.0550000000000002</v>
      </c>
      <c r="R270" s="1606">
        <v>2340000</v>
      </c>
      <c r="S270" s="1618">
        <f t="shared" ref="S270:S333" si="32">Q270*R270</f>
        <v>4808700</v>
      </c>
      <c r="T270" s="1142">
        <f t="shared" si="28"/>
        <v>258</v>
      </c>
      <c r="U270" s="1143">
        <f>IFERROR(INDEX('[16]CN BC'!$M$10:$M$276,MATCH(B270,'[16]CN BC'!$H$10:$H$276,0)),"")</f>
        <v>0</v>
      </c>
      <c r="V270" s="1144" t="str">
        <f>VLOOKUP(B270,TH.T4!B279:AC609,28,FALSE)</f>
        <v>XD-NL</v>
      </c>
      <c r="W270" s="1130"/>
      <c r="X270" s="1146"/>
      <c r="Y270" s="1147"/>
      <c r="Z270" s="1146"/>
      <c r="AA270" s="1146"/>
      <c r="AB270" s="1146"/>
      <c r="AC270" s="1146"/>
      <c r="AD270" s="1146"/>
      <c r="AE270" s="1146"/>
    </row>
    <row r="271" spans="1:35" s="1148" customFormat="1" ht="33" customHeight="1">
      <c r="A271" s="1132">
        <f>_xlfn.AGGREGATE(4,7,A$12:A270)+1</f>
        <v>259</v>
      </c>
      <c r="B271" s="1133" t="s">
        <v>1920</v>
      </c>
      <c r="C271" s="1153" t="s">
        <v>1819</v>
      </c>
      <c r="D271" s="1154" t="s">
        <v>1414</v>
      </c>
      <c r="E271" s="1058" t="str">
        <f>VLOOKUP(B271,TH.Q2!B184:E515,4,FALSE)</f>
        <v>Giảng viên khoa Xây dựng - Nhiệt lạnh</v>
      </c>
      <c r="F271" s="1136">
        <v>4.6500000000000004</v>
      </c>
      <c r="G271" s="1137"/>
      <c r="H271" s="1400">
        <f t="shared" ref="H271:H278" si="33">ROUND(F271*G271,3)</f>
        <v>0</v>
      </c>
      <c r="I271" s="1138">
        <v>0.25</v>
      </c>
      <c r="J271" s="1138" t="str">
        <f>VLOOKUP(B271,'[15]Gui chi Quynh'!$B$11:$E$396,4,FALSE)</f>
        <v>A4</v>
      </c>
      <c r="K271" s="1138">
        <f t="shared" ref="K271:K278" si="34">IF(J271="A1",0.8,IF(J271="A2",0.7,IF(J271="A3",0.6,IF(J271="A4",0.5,IF(J271="B1",0.35,IF(J271="B2",0.25,IF(J271="C1",0.15,IF(J271="C2",0.1,0))))))))</f>
        <v>0.5</v>
      </c>
      <c r="L271" s="1139">
        <v>23</v>
      </c>
      <c r="M271" s="1139">
        <f>VLOOKUP(B271,'[16]CN BC'!$H$10:$J$275,3,FALSE)</f>
        <v>23</v>
      </c>
      <c r="N271" s="1139">
        <f t="shared" si="30"/>
        <v>23</v>
      </c>
      <c r="O271" s="1140"/>
      <c r="P271" s="1141">
        <f t="shared" si="29"/>
        <v>5733000</v>
      </c>
      <c r="Q271" s="1519">
        <f t="shared" si="31"/>
        <v>2.4500000000000002</v>
      </c>
      <c r="R271" s="1606">
        <v>2340000</v>
      </c>
      <c r="S271" s="1618">
        <f t="shared" si="32"/>
        <v>5733000</v>
      </c>
      <c r="T271" s="1142">
        <f t="shared" si="28"/>
        <v>259</v>
      </c>
      <c r="U271" s="1143">
        <f>IFERROR(INDEX('[16]CN BC'!$M$10:$M$276,MATCH(B271,'[16]CN BC'!$H$10:$H$276,0)),"")</f>
        <v>0</v>
      </c>
      <c r="V271" s="1144" t="str">
        <f>VLOOKUP(B271,TH.T4!B280:AC610,28,FALSE)</f>
        <v>XD-NL</v>
      </c>
      <c r="W271" s="1130"/>
      <c r="X271" s="1146"/>
      <c r="Y271" s="1147"/>
      <c r="Z271" s="1146"/>
      <c r="AA271" s="1146"/>
      <c r="AB271" s="1146"/>
      <c r="AC271" s="1146"/>
      <c r="AD271" s="1146"/>
      <c r="AE271" s="1146"/>
    </row>
    <row r="272" spans="1:35" s="1148" customFormat="1" ht="33" customHeight="1">
      <c r="A272" s="1132">
        <f>_xlfn.AGGREGATE(4,7,A$12:A271)+1</f>
        <v>260</v>
      </c>
      <c r="B272" s="1133" t="s">
        <v>1921</v>
      </c>
      <c r="C272" s="1149" t="s">
        <v>1820</v>
      </c>
      <c r="D272" s="1154" t="s">
        <v>1415</v>
      </c>
      <c r="E272" s="1058" t="str">
        <f>VLOOKUP(B272,TH.Q2!B185:E516,4,FALSE)</f>
        <v>Giảng viên khoa Xây dựng - Nhiệt lạnh</v>
      </c>
      <c r="F272" s="1136">
        <v>4.6500000000000004</v>
      </c>
      <c r="G272" s="1137"/>
      <c r="H272" s="1400">
        <f t="shared" si="33"/>
        <v>0</v>
      </c>
      <c r="I272" s="1138">
        <v>0.25</v>
      </c>
      <c r="J272" s="1138" t="str">
        <f>VLOOKUP(B272,'[15]Gui chi Quynh'!$B$11:$E$396,4,FALSE)</f>
        <v>A4</v>
      </c>
      <c r="K272" s="1138">
        <f t="shared" si="34"/>
        <v>0.5</v>
      </c>
      <c r="L272" s="1139">
        <v>23</v>
      </c>
      <c r="M272" s="1139">
        <f>VLOOKUP(B272,'[16]CN BC'!$H$10:$J$275,3,FALSE)</f>
        <v>23</v>
      </c>
      <c r="N272" s="1139">
        <f t="shared" si="30"/>
        <v>23</v>
      </c>
      <c r="O272" s="1140"/>
      <c r="P272" s="1141">
        <f t="shared" si="29"/>
        <v>5733000</v>
      </c>
      <c r="Q272" s="1519">
        <f t="shared" si="31"/>
        <v>2.4500000000000002</v>
      </c>
      <c r="R272" s="1606">
        <v>2340000</v>
      </c>
      <c r="S272" s="1618">
        <f t="shared" si="32"/>
        <v>5733000</v>
      </c>
      <c r="T272" s="1142">
        <f t="shared" si="28"/>
        <v>260</v>
      </c>
      <c r="U272" s="1143">
        <f>IFERROR(INDEX('[16]CN BC'!$M$10:$M$276,MATCH(B272,'[16]CN BC'!$H$10:$H$276,0)),"")</f>
        <v>0</v>
      </c>
      <c r="V272" s="1144" t="str">
        <f>VLOOKUP(B272,TH.T4!B281:AC611,28,FALSE)</f>
        <v>XD-NL</v>
      </c>
      <c r="W272" s="1130"/>
      <c r="X272" s="1146"/>
      <c r="Y272" s="1147"/>
      <c r="Z272" s="1146"/>
      <c r="AA272" s="1146"/>
      <c r="AB272" s="1146"/>
      <c r="AC272" s="1146"/>
      <c r="AD272" s="1146"/>
      <c r="AE272" s="1146"/>
      <c r="AF272" s="1146"/>
      <c r="AG272" s="1146"/>
      <c r="AH272" s="1146"/>
      <c r="AI272" s="1146"/>
    </row>
    <row r="273" spans="1:35" s="1148" customFormat="1" ht="33" customHeight="1">
      <c r="A273" s="1132">
        <f>_xlfn.AGGREGATE(4,7,A$12:A272)+1</f>
        <v>261</v>
      </c>
      <c r="B273" s="1133" t="s">
        <v>1922</v>
      </c>
      <c r="C273" s="1153" t="s">
        <v>1821</v>
      </c>
      <c r="D273" s="1154" t="s">
        <v>392</v>
      </c>
      <c r="E273" s="1058" t="str">
        <f>VLOOKUP(B273,TH.Q2!B186:E517,4,FALSE)</f>
        <v>Giảng viên khoa Xây dựng - Nhiệt lạnh</v>
      </c>
      <c r="F273" s="1160">
        <v>3.66</v>
      </c>
      <c r="G273" s="1137"/>
      <c r="H273" s="1393">
        <f t="shared" si="33"/>
        <v>0</v>
      </c>
      <c r="I273" s="1138"/>
      <c r="J273" s="1138" t="str">
        <f>VLOOKUP(B273,'[15]Gui chi Quynh'!$B$11:$E$396,4,FALSE)</f>
        <v>A4</v>
      </c>
      <c r="K273" s="1138">
        <f t="shared" si="34"/>
        <v>0.5</v>
      </c>
      <c r="L273" s="1139">
        <v>23</v>
      </c>
      <c r="M273" s="1139">
        <f>VLOOKUP(B273,'[16]CN BC'!$H$10:$J$275,3,FALSE)</f>
        <v>23</v>
      </c>
      <c r="N273" s="1139">
        <f t="shared" si="30"/>
        <v>23</v>
      </c>
      <c r="O273" s="1140"/>
      <c r="P273" s="1141">
        <f t="shared" si="29"/>
        <v>4282200</v>
      </c>
      <c r="Q273" s="1519">
        <f t="shared" si="31"/>
        <v>1.83</v>
      </c>
      <c r="R273" s="1606">
        <v>2340000</v>
      </c>
      <c r="S273" s="1618">
        <f t="shared" si="32"/>
        <v>4282200</v>
      </c>
      <c r="T273" s="1142">
        <f t="shared" si="28"/>
        <v>261</v>
      </c>
      <c r="U273" s="1143">
        <f>IFERROR(INDEX('[16]CN BC'!$M$10:$M$276,MATCH(B273,'[16]CN BC'!$H$10:$H$276,0)),"")</f>
        <v>0</v>
      </c>
      <c r="V273" s="1144" t="str">
        <f>VLOOKUP(B273,TH.T4!B282:AC612,28,FALSE)</f>
        <v>XD-NL</v>
      </c>
      <c r="W273" s="1171"/>
      <c r="Y273" s="1158"/>
    </row>
    <row r="274" spans="1:35" s="1148" customFormat="1" ht="33" customHeight="1">
      <c r="A274" s="1132">
        <f>_xlfn.AGGREGATE(4,7,A$12:A273)+1</f>
        <v>262</v>
      </c>
      <c r="B274" s="1133" t="s">
        <v>1923</v>
      </c>
      <c r="C274" s="1153" t="s">
        <v>1822</v>
      </c>
      <c r="D274" s="1168" t="s">
        <v>511</v>
      </c>
      <c r="E274" s="1058" t="str">
        <f>VLOOKUP(B274,TH.Q2!B187:E518,4,FALSE)</f>
        <v>Giảng viên khoa Xây dựng - Nhiệt lạnh</v>
      </c>
      <c r="F274" s="1160">
        <v>3.66</v>
      </c>
      <c r="G274" s="1137"/>
      <c r="H274" s="1393">
        <f t="shared" si="33"/>
        <v>0</v>
      </c>
      <c r="I274" s="1138"/>
      <c r="J274" s="1138" t="str">
        <f>VLOOKUP(B274,'[15]Gui chi Quynh'!$B$11:$E$396,4,FALSE)</f>
        <v>A4</v>
      </c>
      <c r="K274" s="1138">
        <f t="shared" si="34"/>
        <v>0.5</v>
      </c>
      <c r="L274" s="1139">
        <v>23</v>
      </c>
      <c r="M274" s="1139">
        <f>VLOOKUP(B274,'[16]CN BC'!$H$10:$J$275,3,FALSE)</f>
        <v>23</v>
      </c>
      <c r="N274" s="1139">
        <f t="shared" si="30"/>
        <v>23</v>
      </c>
      <c r="O274" s="1140"/>
      <c r="P274" s="1141">
        <f t="shared" si="29"/>
        <v>4282200</v>
      </c>
      <c r="Q274" s="1519">
        <f t="shared" si="31"/>
        <v>1.83</v>
      </c>
      <c r="R274" s="1606">
        <v>2340000</v>
      </c>
      <c r="S274" s="1618">
        <f t="shared" si="32"/>
        <v>4282200</v>
      </c>
      <c r="T274" s="1142">
        <f t="shared" si="28"/>
        <v>262</v>
      </c>
      <c r="U274" s="1143">
        <f>IFERROR(INDEX('[16]CN BC'!$M$10:$M$276,MATCH(B274,'[16]CN BC'!$H$10:$H$276,0)),"")</f>
        <v>0</v>
      </c>
      <c r="V274" s="1144" t="str">
        <f>VLOOKUP(B274,TH.T4!B283:AC613,28,FALSE)</f>
        <v>XD-NL</v>
      </c>
      <c r="W274" s="1130"/>
      <c r="X274" s="1146"/>
      <c r="Y274" s="1158"/>
    </row>
    <row r="275" spans="1:35" s="1148" customFormat="1" ht="33" customHeight="1">
      <c r="A275" s="1132">
        <f>_xlfn.AGGREGATE(4,7,A$12:A274)+1</f>
        <v>263</v>
      </c>
      <c r="B275" s="1133" t="s">
        <v>1552</v>
      </c>
      <c r="C275" s="1153" t="s">
        <v>1823</v>
      </c>
      <c r="D275" s="1154" t="s">
        <v>1418</v>
      </c>
      <c r="E275" s="1058" t="str">
        <f>VLOOKUP(B275,TH.Q2!B188:E519,4,FALSE)</f>
        <v>Giảng viên khoa Xây dựng - Nhiệt lạnh</v>
      </c>
      <c r="F275" s="1136">
        <v>4.32</v>
      </c>
      <c r="G275" s="1137"/>
      <c r="H275" s="1393">
        <f t="shared" si="33"/>
        <v>0</v>
      </c>
      <c r="I275" s="1138"/>
      <c r="J275" s="1138" t="str">
        <f>VLOOKUP(B275,'[15]Gui chi Quynh'!$B$11:$E$396,4,FALSE)</f>
        <v>A4</v>
      </c>
      <c r="K275" s="1138">
        <f t="shared" si="34"/>
        <v>0.5</v>
      </c>
      <c r="L275" s="1139">
        <v>23</v>
      </c>
      <c r="M275" s="1139">
        <f>VLOOKUP(B275,'[16]CN BC'!$H$10:$J$275,3,FALSE)</f>
        <v>23</v>
      </c>
      <c r="N275" s="1139">
        <f t="shared" si="30"/>
        <v>23</v>
      </c>
      <c r="O275" s="1140"/>
      <c r="P275" s="1141">
        <f t="shared" si="29"/>
        <v>5054400</v>
      </c>
      <c r="Q275" s="1519">
        <f t="shared" si="31"/>
        <v>2.16</v>
      </c>
      <c r="R275" s="1606">
        <v>2340000</v>
      </c>
      <c r="S275" s="1618">
        <f t="shared" si="32"/>
        <v>5054400</v>
      </c>
      <c r="T275" s="1142">
        <f t="shared" si="28"/>
        <v>263</v>
      </c>
      <c r="U275" s="1143">
        <f>IFERROR(INDEX('[16]CN BC'!$M$10:$M$276,MATCH(B275,'[16]CN BC'!$H$10:$H$276,0)),"")</f>
        <v>0</v>
      </c>
      <c r="V275" s="1144" t="str">
        <f>VLOOKUP(B275,TH.T4!B284:AC614,28,FALSE)</f>
        <v>XD-NL</v>
      </c>
      <c r="W275" s="1130"/>
      <c r="X275" s="1146"/>
      <c r="Y275" s="1158"/>
    </row>
    <row r="276" spans="1:35" s="1148" customFormat="1" ht="33" customHeight="1">
      <c r="A276" s="1132">
        <f>_xlfn.AGGREGATE(4,7,A$12:A275)+1</f>
        <v>264</v>
      </c>
      <c r="B276" s="1133" t="s">
        <v>1940</v>
      </c>
      <c r="C276" s="1153" t="s">
        <v>1991</v>
      </c>
      <c r="D276" s="1154" t="s">
        <v>1992</v>
      </c>
      <c r="E276" s="1058" t="str">
        <f>VLOOKUP(B276,TH.Q2!B189:E520,4,FALSE)</f>
        <v>Giảng viên khoa Xây dựng - Nhiệt lạnh</v>
      </c>
      <c r="F276" s="1160">
        <v>3.33</v>
      </c>
      <c r="G276" s="1137"/>
      <c r="H276" s="1393">
        <f t="shared" si="33"/>
        <v>0</v>
      </c>
      <c r="I276" s="1138"/>
      <c r="J276" s="1138" t="str">
        <f>VLOOKUP(B276,'[15]Gui chi Quynh'!$B$11:$E$396,4,FALSE)</f>
        <v>A3</v>
      </c>
      <c r="K276" s="1138">
        <f t="shared" si="34"/>
        <v>0.6</v>
      </c>
      <c r="L276" s="1139">
        <v>23</v>
      </c>
      <c r="M276" s="1139">
        <f>VLOOKUP(B276,'[16]CN BC'!$H$10:$J$275,3,FALSE)</f>
        <v>23</v>
      </c>
      <c r="N276" s="1139">
        <f t="shared" si="30"/>
        <v>23</v>
      </c>
      <c r="O276" s="1140"/>
      <c r="P276" s="1141">
        <f t="shared" si="29"/>
        <v>4675320</v>
      </c>
      <c r="Q276" s="1519">
        <f t="shared" si="31"/>
        <v>1.998</v>
      </c>
      <c r="R276" s="1606">
        <v>2340000</v>
      </c>
      <c r="S276" s="1618">
        <f t="shared" si="32"/>
        <v>4675320</v>
      </c>
      <c r="T276" s="1142">
        <f t="shared" si="28"/>
        <v>264</v>
      </c>
      <c r="U276" s="1143">
        <f>IFERROR(INDEX('[16]CN BC'!$M$10:$M$276,MATCH(B276,'[16]CN BC'!$H$10:$H$276,0)),"")</f>
        <v>0</v>
      </c>
      <c r="V276" s="1144" t="str">
        <f>VLOOKUP(B276,TH.T4!B285:AC615,28,FALSE)</f>
        <v>XD-NL</v>
      </c>
      <c r="W276" s="1130"/>
      <c r="X276" s="1146"/>
      <c r="Y276" s="1147"/>
      <c r="Z276" s="1146"/>
      <c r="AA276" s="1146"/>
      <c r="AB276" s="1146"/>
      <c r="AC276" s="1146"/>
      <c r="AD276" s="1146"/>
      <c r="AE276" s="1146"/>
    </row>
    <row r="277" spans="1:35" s="1146" customFormat="1" ht="33" customHeight="1">
      <c r="A277" s="1132">
        <f>_xlfn.AGGREGATE(4,7,A$12:A276)+1</f>
        <v>265</v>
      </c>
      <c r="B277" s="1172" t="s">
        <v>1553</v>
      </c>
      <c r="C277" s="1149" t="s">
        <v>1824</v>
      </c>
      <c r="D277" s="1233">
        <v>1603205246186</v>
      </c>
      <c r="E277" s="1058" t="str">
        <f>VLOOKUP(B277,TH.Q2!B190:E521,4,FALSE)</f>
        <v>Giảng viên khoa Xây dựng - Nhiệt lạnh</v>
      </c>
      <c r="F277" s="1136">
        <v>4.9800000000000004</v>
      </c>
      <c r="G277" s="1137">
        <v>0.05</v>
      </c>
      <c r="H277" s="1393">
        <f t="shared" si="33"/>
        <v>0.249</v>
      </c>
      <c r="I277" s="1138"/>
      <c r="J277" s="1138" t="str">
        <f>VLOOKUP(B277,'[15]Gui chi Quynh'!$B$11:$E$396,4,FALSE)</f>
        <v>A4</v>
      </c>
      <c r="K277" s="1138">
        <f t="shared" si="34"/>
        <v>0.5</v>
      </c>
      <c r="L277" s="1139">
        <v>23</v>
      </c>
      <c r="M277" s="1139">
        <f>VLOOKUP(B277,'[16]CN BC'!$H$10:$J$275,3,FALSE)</f>
        <v>23</v>
      </c>
      <c r="N277" s="1139">
        <f t="shared" si="30"/>
        <v>23</v>
      </c>
      <c r="O277" s="1140"/>
      <c r="P277" s="1141">
        <f t="shared" si="29"/>
        <v>6117930</v>
      </c>
      <c r="Q277" s="1519">
        <f t="shared" si="31"/>
        <v>2.6145</v>
      </c>
      <c r="R277" s="1606">
        <v>2340000</v>
      </c>
      <c r="S277" s="1618">
        <f t="shared" si="32"/>
        <v>6117930</v>
      </c>
      <c r="T277" s="1142">
        <f t="shared" si="28"/>
        <v>265</v>
      </c>
      <c r="U277" s="1143">
        <f>IFERROR(INDEX('[16]CN BC'!$M$10:$M$276,MATCH(B277,'[16]CN BC'!$H$10:$H$276,0)),"")</f>
        <v>0</v>
      </c>
      <c r="V277" s="1144" t="str">
        <f>VLOOKUP(B277,TH.T4!B286:AC616,28,FALSE)</f>
        <v>XD-NL</v>
      </c>
      <c r="W277" s="1130"/>
      <c r="Y277" s="1147"/>
    </row>
    <row r="278" spans="1:35" s="1148" customFormat="1" ht="33" customHeight="1">
      <c r="A278" s="1132">
        <f>_xlfn.AGGREGATE(4,7,A$12:A277)+1</f>
        <v>266</v>
      </c>
      <c r="B278" s="1133" t="s">
        <v>1560</v>
      </c>
      <c r="C278" s="1234" t="s">
        <v>1825</v>
      </c>
      <c r="D278" s="1235">
        <v>1603215002692</v>
      </c>
      <c r="E278" s="1058" t="str">
        <f>VLOOKUP(B278,TH.Q2!B191:E522,4,FALSE)</f>
        <v>Phó Trưởng khoa Xây dựng - Nhiệt lạnh</v>
      </c>
      <c r="F278" s="1346">
        <v>3.33</v>
      </c>
      <c r="G278" s="1344"/>
      <c r="H278" s="1402">
        <f t="shared" si="33"/>
        <v>0</v>
      </c>
      <c r="I278" s="1138">
        <v>0.35</v>
      </c>
      <c r="J278" s="1138" t="str">
        <f>VLOOKUP(B278,'[15]Gui chi Quynh'!$B$11:$E$396,4,FALSE)</f>
        <v>A2</v>
      </c>
      <c r="K278" s="1138">
        <f t="shared" si="34"/>
        <v>0.7</v>
      </c>
      <c r="L278" s="1139">
        <v>23</v>
      </c>
      <c r="M278" s="1139">
        <f>VLOOKUP(B278,'[16]CN BC'!$H$10:$J$275,3,FALSE)</f>
        <v>23</v>
      </c>
      <c r="N278" s="1139">
        <f t="shared" si="30"/>
        <v>23</v>
      </c>
      <c r="O278" s="1140"/>
      <c r="P278" s="1141">
        <f t="shared" si="29"/>
        <v>6027840</v>
      </c>
      <c r="Q278" s="1519">
        <f t="shared" si="31"/>
        <v>2.5760000000000001</v>
      </c>
      <c r="R278" s="1606">
        <v>2340000</v>
      </c>
      <c r="S278" s="1618">
        <f t="shared" si="32"/>
        <v>6027840</v>
      </c>
      <c r="T278" s="1142">
        <f t="shared" si="28"/>
        <v>266</v>
      </c>
      <c r="U278" s="1143">
        <f>IFERROR(INDEX('[16]CN BC'!$M$10:$M$276,MATCH(B278,'[16]CN BC'!$H$10:$H$276,0)),"")</f>
        <v>0</v>
      </c>
      <c r="V278" s="1144" t="str">
        <f>VLOOKUP(B278,TH.T4!B287:AC617,28,FALSE)</f>
        <v>XD-NL</v>
      </c>
      <c r="W278" s="1130"/>
      <c r="X278" s="1146"/>
      <c r="Y278" s="1147"/>
      <c r="Z278" s="1146"/>
      <c r="AA278" s="1146"/>
      <c r="AB278" s="1146"/>
      <c r="AC278" s="1146"/>
      <c r="AD278" s="1146"/>
      <c r="AE278" s="1146"/>
      <c r="AF278" s="1146"/>
      <c r="AG278" s="1146"/>
      <c r="AH278" s="1146"/>
      <c r="AI278" s="1146"/>
    </row>
    <row r="279" spans="1:35" s="1148" customFormat="1" ht="33" customHeight="1">
      <c r="A279" s="1132">
        <f>_xlfn.AGGREGATE(4,7,A$12:A278)+1</f>
        <v>267</v>
      </c>
      <c r="B279" s="1476" t="s">
        <v>2029</v>
      </c>
      <c r="C279" s="1497"/>
      <c r="D279" s="1498"/>
      <c r="E279" s="1058" t="str">
        <f>VLOOKUP(B279,TH.Q2!B192:E523,4,FALSE)</f>
        <v xml:space="preserve">NV Bảo vệ </v>
      </c>
      <c r="F279" s="1503"/>
      <c r="G279" s="1500"/>
      <c r="H279" s="1504"/>
      <c r="I279" s="1505"/>
      <c r="J279" s="1505"/>
      <c r="K279" s="1505"/>
      <c r="L279" s="1506"/>
      <c r="M279" s="1506"/>
      <c r="N279" s="1506"/>
      <c r="O279" s="1507"/>
      <c r="P279" s="1141">
        <f>VLOOKUP(B279,'111'!B13:V75,21,FALSE)</f>
        <v>2564863</v>
      </c>
      <c r="Q279" s="1519">
        <f t="shared" si="31"/>
        <v>1.0960952991452992</v>
      </c>
      <c r="R279" s="1606">
        <v>2340000</v>
      </c>
      <c r="S279" s="1618">
        <f t="shared" si="32"/>
        <v>2564863</v>
      </c>
      <c r="T279" s="1142">
        <f t="shared" si="28"/>
        <v>267</v>
      </c>
      <c r="U279" s="1143">
        <f>VLOOKUP(B279,'[16]CN HĐ'!$H$10:$M$73,6,FALSE)</f>
        <v>0</v>
      </c>
      <c r="V279" s="1144"/>
      <c r="W279" s="1130"/>
      <c r="X279" s="1146"/>
      <c r="Y279" s="1147"/>
      <c r="Z279" s="1146"/>
      <c r="AA279" s="1146"/>
      <c r="AB279" s="1146"/>
      <c r="AC279" s="1146"/>
      <c r="AD279" s="1146"/>
      <c r="AE279" s="1146"/>
      <c r="AF279" s="1146"/>
      <c r="AG279" s="1146"/>
      <c r="AH279" s="1146"/>
      <c r="AI279" s="1146"/>
    </row>
    <row r="280" spans="1:35" s="1148" customFormat="1" ht="33" customHeight="1">
      <c r="A280" s="1132">
        <f>_xlfn.AGGREGATE(4,7,A$12:A279)+1</f>
        <v>268</v>
      </c>
      <c r="B280" s="1476" t="s">
        <v>2035</v>
      </c>
      <c r="C280" s="1497"/>
      <c r="D280" s="1498"/>
      <c r="E280" s="1058" t="str">
        <f>VLOOKUP(B280,TH.Q2!B193:E524,4,FALSE)</f>
        <v>NV Bảo vệ</v>
      </c>
      <c r="F280" s="1503"/>
      <c r="G280" s="1500"/>
      <c r="H280" s="1504"/>
      <c r="I280" s="1505"/>
      <c r="J280" s="1505"/>
      <c r="K280" s="1505"/>
      <c r="L280" s="1506"/>
      <c r="M280" s="1506"/>
      <c r="N280" s="1506"/>
      <c r="O280" s="1507"/>
      <c r="P280" s="1141">
        <f>VLOOKUP(B280,'111'!B14:V76,21,FALSE)</f>
        <v>1913940</v>
      </c>
      <c r="Q280" s="1519">
        <f t="shared" si="31"/>
        <v>0.81792307692307697</v>
      </c>
      <c r="R280" s="1606">
        <v>2340000</v>
      </c>
      <c r="S280" s="1618">
        <f t="shared" si="32"/>
        <v>1913940.0000000002</v>
      </c>
      <c r="T280" s="1142">
        <f t="shared" si="28"/>
        <v>268</v>
      </c>
      <c r="U280" s="1143" t="str">
        <f>VLOOKUP(B280,'[16]CN HĐ'!$H$10:$M$73,6,FALSE)</f>
        <v>Trừ 1 ngày nghỉ phép 16/10</v>
      </c>
      <c r="V280" s="1144"/>
      <c r="W280" s="1130"/>
      <c r="X280" s="1146"/>
      <c r="Y280" s="1147"/>
      <c r="Z280" s="1146"/>
      <c r="AA280" s="1146"/>
      <c r="AB280" s="1146"/>
      <c r="AC280" s="1146"/>
      <c r="AD280" s="1146"/>
      <c r="AE280" s="1146"/>
      <c r="AF280" s="1146"/>
      <c r="AG280" s="1146"/>
      <c r="AH280" s="1146"/>
      <c r="AI280" s="1146"/>
    </row>
    <row r="281" spans="1:35" s="1148" customFormat="1" ht="33" customHeight="1">
      <c r="A281" s="1132">
        <f>_xlfn.AGGREGATE(4,7,A$12:A280)+1</f>
        <v>269</v>
      </c>
      <c r="B281" s="1476" t="s">
        <v>2037</v>
      </c>
      <c r="C281" s="1497"/>
      <c r="D281" s="1498"/>
      <c r="E281" s="1058" t="str">
        <f>VLOOKUP(B281,TH.Q2!B194:E525,4,FALSE)</f>
        <v>NV Bảo vệ</v>
      </c>
      <c r="F281" s="1503"/>
      <c r="G281" s="1500"/>
      <c r="H281" s="1504"/>
      <c r="I281" s="1505"/>
      <c r="J281" s="1505"/>
      <c r="K281" s="1505"/>
      <c r="L281" s="1506"/>
      <c r="M281" s="1506"/>
      <c r="N281" s="1506"/>
      <c r="O281" s="1507"/>
      <c r="P281" s="1141">
        <f>VLOOKUP(B281,'111'!B15:V77,21,FALSE)</f>
        <v>5519488</v>
      </c>
      <c r="Q281" s="1519">
        <f t="shared" si="31"/>
        <v>2.3587555555555557</v>
      </c>
      <c r="R281" s="1606">
        <v>2340000</v>
      </c>
      <c r="S281" s="1618">
        <f t="shared" si="32"/>
        <v>5519488</v>
      </c>
      <c r="T281" s="1142">
        <f t="shared" si="28"/>
        <v>269</v>
      </c>
      <c r="U281" s="1143">
        <f>VLOOKUP(B281,'[16]CN HĐ'!$H$10:$M$73,6,FALSE)</f>
        <v>0</v>
      </c>
      <c r="V281" s="1144"/>
      <c r="W281" s="1130"/>
      <c r="X281" s="1146"/>
      <c r="Y281" s="1147"/>
      <c r="Z281" s="1146"/>
      <c r="AA281" s="1146"/>
      <c r="AB281" s="1146"/>
      <c r="AC281" s="1146"/>
      <c r="AD281" s="1146"/>
      <c r="AE281" s="1146"/>
      <c r="AF281" s="1146"/>
      <c r="AG281" s="1146"/>
      <c r="AH281" s="1146"/>
      <c r="AI281" s="1146"/>
    </row>
    <row r="282" spans="1:35" s="1148" customFormat="1" ht="33" customHeight="1">
      <c r="A282" s="1132">
        <f>_xlfn.AGGREGATE(4,7,A$12:A281)+1</f>
        <v>270</v>
      </c>
      <c r="B282" s="1476" t="s">
        <v>2039</v>
      </c>
      <c r="C282" s="1497"/>
      <c r="D282" s="1498"/>
      <c r="E282" s="1058" t="str">
        <f>VLOOKUP(B282,TH.Q2!B195:E526,4,FALSE)</f>
        <v xml:space="preserve">NV Bảo vệ </v>
      </c>
      <c r="F282" s="1503"/>
      <c r="G282" s="1500"/>
      <c r="H282" s="1504"/>
      <c r="I282" s="1505"/>
      <c r="J282" s="1505"/>
      <c r="K282" s="1505"/>
      <c r="L282" s="1506"/>
      <c r="M282" s="1506"/>
      <c r="N282" s="1506"/>
      <c r="O282" s="1507"/>
      <c r="P282" s="1141">
        <f>VLOOKUP(B282,'111'!B16:V78,21,FALSE)</f>
        <v>3231727</v>
      </c>
      <c r="Q282" s="1519">
        <f t="shared" si="31"/>
        <v>1.3810799145299146</v>
      </c>
      <c r="R282" s="1606">
        <v>2340000</v>
      </c>
      <c r="S282" s="1618">
        <f t="shared" si="32"/>
        <v>3231727.0000000005</v>
      </c>
      <c r="T282" s="1142">
        <f t="shared" ref="T282:T342" si="35">A282</f>
        <v>270</v>
      </c>
      <c r="U282" s="1143">
        <f>VLOOKUP(B282,'[16]CN HĐ'!$H$10:$M$73,6,FALSE)</f>
        <v>0</v>
      </c>
      <c r="V282" s="1144"/>
      <c r="W282" s="1130"/>
      <c r="X282" s="1146"/>
      <c r="Y282" s="1147"/>
      <c r="Z282" s="1146"/>
      <c r="AA282" s="1146"/>
      <c r="AB282" s="1146"/>
      <c r="AC282" s="1146"/>
      <c r="AD282" s="1146"/>
      <c r="AE282" s="1146"/>
      <c r="AF282" s="1146"/>
      <c r="AG282" s="1146"/>
      <c r="AH282" s="1146"/>
      <c r="AI282" s="1146"/>
    </row>
    <row r="283" spans="1:35" s="1148" customFormat="1" ht="33" customHeight="1">
      <c r="A283" s="1132">
        <f>_xlfn.AGGREGATE(4,7,A$12:A282)+1</f>
        <v>271</v>
      </c>
      <c r="B283" s="1476" t="s">
        <v>2041</v>
      </c>
      <c r="C283" s="1497"/>
      <c r="D283" s="1498"/>
      <c r="E283" s="1058" t="str">
        <f>VLOOKUP(B283,TH.Q2!B196:E527,4,FALSE)</f>
        <v>Nhân viên bảo vệ</v>
      </c>
      <c r="F283" s="1503"/>
      <c r="G283" s="1500"/>
      <c r="H283" s="1504"/>
      <c r="I283" s="1505"/>
      <c r="J283" s="1505"/>
      <c r="K283" s="1505"/>
      <c r="L283" s="1506"/>
      <c r="M283" s="1506"/>
      <c r="N283" s="1506"/>
      <c r="O283" s="1507"/>
      <c r="P283" s="1141" t="e">
        <f>VLOOKUP(B283,'111'!B17:V79,21,FALSE)</f>
        <v>#N/A</v>
      </c>
      <c r="Q283" s="1519" t="e">
        <f t="shared" si="31"/>
        <v>#N/A</v>
      </c>
      <c r="R283" s="1606">
        <v>2340000</v>
      </c>
      <c r="S283" s="1618" t="e">
        <f t="shared" si="32"/>
        <v>#N/A</v>
      </c>
      <c r="T283" s="1142">
        <f t="shared" si="35"/>
        <v>271</v>
      </c>
      <c r="U283" s="1143">
        <f>VLOOKUP(B283,'[16]CN HĐ'!$H$10:$M$73,6,FALSE)</f>
        <v>0</v>
      </c>
      <c r="V283" s="1144"/>
      <c r="W283" s="1130"/>
      <c r="X283" s="1146"/>
      <c r="Y283" s="1147"/>
      <c r="Z283" s="1146"/>
      <c r="AA283" s="1146"/>
      <c r="AB283" s="1146"/>
      <c r="AC283" s="1146"/>
      <c r="AD283" s="1146"/>
      <c r="AE283" s="1146"/>
      <c r="AF283" s="1146"/>
      <c r="AG283" s="1146"/>
      <c r="AH283" s="1146"/>
      <c r="AI283" s="1146"/>
    </row>
    <row r="284" spans="1:35" s="1148" customFormat="1" ht="33" customHeight="1">
      <c r="A284" s="1132">
        <f>_xlfn.AGGREGATE(4,7,A$12:A283)+1</f>
        <v>272</v>
      </c>
      <c r="B284" s="1476" t="s">
        <v>2043</v>
      </c>
      <c r="C284" s="1497"/>
      <c r="D284" s="1498"/>
      <c r="E284" s="1058" t="str">
        <f>VLOOKUP(B284,TH.Q2!B197:E528,4,FALSE)</f>
        <v xml:space="preserve">NV Bảo vệ </v>
      </c>
      <c r="F284" s="1503"/>
      <c r="G284" s="1500"/>
      <c r="H284" s="1504"/>
      <c r="I284" s="1505"/>
      <c r="J284" s="1505"/>
      <c r="K284" s="1505"/>
      <c r="L284" s="1506"/>
      <c r="M284" s="1506"/>
      <c r="N284" s="1506"/>
      <c r="O284" s="1507"/>
      <c r="P284" s="1141">
        <f>VLOOKUP(B284,'111'!B17:V80,21,FALSE)</f>
        <v>3562979</v>
      </c>
      <c r="Q284" s="1519">
        <f t="shared" si="31"/>
        <v>1.5226405982905984</v>
      </c>
      <c r="R284" s="1606">
        <v>2340000</v>
      </c>
      <c r="S284" s="1618">
        <f t="shared" si="32"/>
        <v>3562979.0000000005</v>
      </c>
      <c r="T284" s="1142">
        <f t="shared" si="35"/>
        <v>272</v>
      </c>
      <c r="U284" s="1143" t="str">
        <f>VLOOKUP(B284,'[16]CN HĐ'!$H$10:$M$73,6,FALSE)</f>
        <v>Trừ 1 ngày nghỉ phép 5/10</v>
      </c>
      <c r="V284" s="1144"/>
      <c r="W284" s="1130"/>
      <c r="X284" s="1146"/>
      <c r="Y284" s="1147"/>
      <c r="Z284" s="1146"/>
      <c r="AA284" s="1146"/>
      <c r="AB284" s="1146"/>
      <c r="AC284" s="1146"/>
      <c r="AD284" s="1146"/>
      <c r="AE284" s="1146"/>
      <c r="AF284" s="1146"/>
      <c r="AG284" s="1146"/>
      <c r="AH284" s="1146"/>
      <c r="AI284" s="1146"/>
    </row>
    <row r="285" spans="1:35" s="1148" customFormat="1" ht="33" customHeight="1">
      <c r="A285" s="1132">
        <f>_xlfn.AGGREGATE(4,7,A$12:A284)+1</f>
        <v>273</v>
      </c>
      <c r="B285" s="1476" t="s">
        <v>2046</v>
      </c>
      <c r="C285" s="1497"/>
      <c r="D285" s="1498"/>
      <c r="E285" s="1058" t="str">
        <f>VLOOKUP(B285,TH.Q2!B198:E529,4,FALSE)</f>
        <v>NV Bảo vệ</v>
      </c>
      <c r="F285" s="1503"/>
      <c r="G285" s="1500"/>
      <c r="H285" s="1504"/>
      <c r="I285" s="1505"/>
      <c r="J285" s="1505"/>
      <c r="K285" s="1505"/>
      <c r="L285" s="1506"/>
      <c r="M285" s="1506"/>
      <c r="N285" s="1506"/>
      <c r="O285" s="1507"/>
      <c r="P285" s="1141">
        <f>VLOOKUP(B285,'111'!B18:V81,21,FALSE)</f>
        <v>2442726.125</v>
      </c>
      <c r="Q285" s="1519">
        <f t="shared" si="31"/>
        <v>1.0439000534188034</v>
      </c>
      <c r="R285" s="1606">
        <v>2340000</v>
      </c>
      <c r="S285" s="1618">
        <f t="shared" si="32"/>
        <v>2442726.125</v>
      </c>
      <c r="T285" s="1142">
        <f t="shared" si="35"/>
        <v>273</v>
      </c>
      <c r="U285" s="1143">
        <f>VLOOKUP(B285,'[16]CN HĐ'!$H$10:$M$73,6,FALSE)</f>
        <v>0</v>
      </c>
      <c r="V285" s="1144"/>
      <c r="W285" s="1130"/>
      <c r="X285" s="1146"/>
      <c r="Y285" s="1147"/>
      <c r="Z285" s="1146"/>
      <c r="AA285" s="1146"/>
      <c r="AB285" s="1146"/>
      <c r="AC285" s="1146"/>
      <c r="AD285" s="1146"/>
      <c r="AE285" s="1146"/>
      <c r="AF285" s="1146"/>
      <c r="AG285" s="1146"/>
      <c r="AH285" s="1146"/>
      <c r="AI285" s="1146"/>
    </row>
    <row r="286" spans="1:35" s="1148" customFormat="1" ht="33" customHeight="1">
      <c r="A286" s="1132">
        <f>_xlfn.AGGREGATE(4,7,A$12:A285)+1</f>
        <v>274</v>
      </c>
      <c r="B286" s="1476" t="s">
        <v>2049</v>
      </c>
      <c r="C286" s="1497"/>
      <c r="D286" s="1498"/>
      <c r="E286" s="1058" t="str">
        <f>VLOOKUP(B286,TH.Q2!B199:E530,4,FALSE)</f>
        <v>NV Bảo vệ</v>
      </c>
      <c r="F286" s="1503"/>
      <c r="G286" s="1500"/>
      <c r="H286" s="1504"/>
      <c r="I286" s="1505"/>
      <c r="J286" s="1505"/>
      <c r="K286" s="1505"/>
      <c r="L286" s="1506"/>
      <c r="M286" s="1506"/>
      <c r="N286" s="1506"/>
      <c r="O286" s="1507"/>
      <c r="P286" s="1141">
        <f>VLOOKUP(B286,'111'!B19:V82,21,FALSE)</f>
        <v>2215625</v>
      </c>
      <c r="Q286" s="1519">
        <f t="shared" si="31"/>
        <v>0.94684829059829057</v>
      </c>
      <c r="R286" s="1606">
        <v>2340000</v>
      </c>
      <c r="S286" s="1618">
        <f t="shared" si="32"/>
        <v>2215625</v>
      </c>
      <c r="T286" s="1142">
        <f t="shared" si="35"/>
        <v>274</v>
      </c>
      <c r="U286" s="1143">
        <f>VLOOKUP(B286,'[16]CN HĐ'!$H$10:$M$73,6,FALSE)</f>
        <v>0</v>
      </c>
      <c r="V286" s="1144"/>
      <c r="W286" s="1130"/>
      <c r="X286" s="1146"/>
      <c r="Y286" s="1147"/>
      <c r="Z286" s="1146"/>
      <c r="AA286" s="1146"/>
      <c r="AB286" s="1146"/>
      <c r="AC286" s="1146"/>
      <c r="AD286" s="1146"/>
      <c r="AE286" s="1146"/>
      <c r="AF286" s="1146"/>
      <c r="AG286" s="1146"/>
      <c r="AH286" s="1146"/>
      <c r="AI286" s="1146"/>
    </row>
    <row r="287" spans="1:35" s="1148" customFormat="1" ht="33" customHeight="1">
      <c r="A287" s="1132">
        <f>_xlfn.AGGREGATE(4,7,A$12:A286)+1</f>
        <v>275</v>
      </c>
      <c r="B287" s="1476" t="s">
        <v>2052</v>
      </c>
      <c r="C287" s="1497"/>
      <c r="D287" s="1498"/>
      <c r="E287" s="1058" t="str">
        <f>VLOOKUP(B287,TH.Q2!B200:E531,4,FALSE)</f>
        <v>NV Bảo vệ</v>
      </c>
      <c r="F287" s="1503"/>
      <c r="G287" s="1500"/>
      <c r="H287" s="1504"/>
      <c r="I287" s="1505"/>
      <c r="J287" s="1505"/>
      <c r="K287" s="1505"/>
      <c r="L287" s="1506"/>
      <c r="M287" s="1506"/>
      <c r="N287" s="1506"/>
      <c r="O287" s="1507"/>
      <c r="P287" s="1141">
        <f>VLOOKUP(B287,'111'!B20:V83,21,FALSE)</f>
        <v>3949538</v>
      </c>
      <c r="Q287" s="1519">
        <f t="shared" si="31"/>
        <v>1.6878367521367521</v>
      </c>
      <c r="R287" s="1606">
        <v>2340000</v>
      </c>
      <c r="S287" s="1618">
        <f t="shared" si="32"/>
        <v>3949538</v>
      </c>
      <c r="T287" s="1142">
        <f t="shared" si="35"/>
        <v>275</v>
      </c>
      <c r="U287" s="1143">
        <f>VLOOKUP(B287,'[16]CN HĐ'!$H$10:$M$73,6,FALSE)</f>
        <v>0</v>
      </c>
      <c r="V287" s="1144"/>
      <c r="W287" s="1130"/>
      <c r="X287" s="1146"/>
      <c r="Y287" s="1147"/>
      <c r="Z287" s="1146"/>
      <c r="AA287" s="1146"/>
      <c r="AB287" s="1146"/>
      <c r="AC287" s="1146"/>
      <c r="AD287" s="1146"/>
      <c r="AE287" s="1146"/>
      <c r="AF287" s="1146"/>
      <c r="AG287" s="1146"/>
      <c r="AH287" s="1146"/>
      <c r="AI287" s="1146"/>
    </row>
    <row r="288" spans="1:35" s="1148" customFormat="1" ht="33" customHeight="1">
      <c r="A288" s="1132">
        <f>_xlfn.AGGREGATE(4,7,A$12:A287)+1</f>
        <v>276</v>
      </c>
      <c r="B288" s="1476" t="s">
        <v>2053</v>
      </c>
      <c r="C288" s="1497"/>
      <c r="D288" s="1498"/>
      <c r="E288" s="1058" t="str">
        <f>VLOOKUP(B288,TH.Q2!B201:E532,4,FALSE)</f>
        <v>NV Bảo vệ</v>
      </c>
      <c r="F288" s="1503"/>
      <c r="G288" s="1500"/>
      <c r="H288" s="1504"/>
      <c r="I288" s="1505"/>
      <c r="J288" s="1505"/>
      <c r="K288" s="1505"/>
      <c r="L288" s="1506"/>
      <c r="M288" s="1506"/>
      <c r="N288" s="1506"/>
      <c r="O288" s="1507"/>
      <c r="P288" s="1141">
        <f>VLOOKUP(B288,'111'!B21:V84,21,FALSE)</f>
        <v>2083200</v>
      </c>
      <c r="Q288" s="1519">
        <f t="shared" si="31"/>
        <v>0.89025641025641022</v>
      </c>
      <c r="R288" s="1606">
        <v>2340000</v>
      </c>
      <c r="S288" s="1618">
        <f t="shared" si="32"/>
        <v>2083200</v>
      </c>
      <c r="T288" s="1142">
        <f t="shared" si="35"/>
        <v>276</v>
      </c>
      <c r="U288" s="1143">
        <f>VLOOKUP(B288,'[16]CN HĐ'!$H$10:$M$73,6,FALSE)</f>
        <v>0</v>
      </c>
      <c r="V288" s="1144"/>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_xlfn.AGGREGATE(4,7,A$12:A288)+1</f>
        <v>277</v>
      </c>
      <c r="B289" s="1476" t="s">
        <v>2054</v>
      </c>
      <c r="C289" s="1497"/>
      <c r="D289" s="1498"/>
      <c r="E289" s="1058" t="str">
        <f>VLOOKUP(B289,TH.Q2!B202:E533,4,FALSE)</f>
        <v>NV Lái xe</v>
      </c>
      <c r="F289" s="1503"/>
      <c r="G289" s="1500"/>
      <c r="H289" s="1504"/>
      <c r="I289" s="1505"/>
      <c r="J289" s="1505"/>
      <c r="K289" s="1505"/>
      <c r="L289" s="1506"/>
      <c r="M289" s="1506"/>
      <c r="N289" s="1506"/>
      <c r="O289" s="1507"/>
      <c r="P289" s="1141">
        <f>VLOOKUP(B289,'111'!B23:V85,21,FALSE)</f>
        <v>4563927</v>
      </c>
      <c r="Q289" s="1519">
        <f t="shared" si="31"/>
        <v>1.9503961538461538</v>
      </c>
      <c r="R289" s="1606">
        <v>2340000</v>
      </c>
      <c r="S289" s="1618">
        <f t="shared" si="32"/>
        <v>4563927</v>
      </c>
      <c r="T289" s="1142">
        <f t="shared" si="35"/>
        <v>277</v>
      </c>
      <c r="U289" s="1143">
        <f>VLOOKUP(B289,'[16]CN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_xlfn.AGGREGATE(4,7,A$12:A289)+1</f>
        <v>278</v>
      </c>
      <c r="B290" s="1476" t="s">
        <v>2055</v>
      </c>
      <c r="C290" s="1497"/>
      <c r="D290" s="1498"/>
      <c r="E290" s="1058" t="str">
        <f>VLOOKUP(B290,TH.Q2!B203:E534,4,FALSE)</f>
        <v>NV Phuc vụ Phòng TC - HC - TH</v>
      </c>
      <c r="F290" s="1503"/>
      <c r="G290" s="1500"/>
      <c r="H290" s="1504"/>
      <c r="I290" s="1505"/>
      <c r="J290" s="1505"/>
      <c r="K290" s="1505"/>
      <c r="L290" s="1506"/>
      <c r="M290" s="1506"/>
      <c r="N290" s="1506"/>
      <c r="O290" s="1507"/>
      <c r="P290" s="1141">
        <f>VLOOKUP(B290,'111'!B24:V86,21,FALSE)</f>
        <v>2411564</v>
      </c>
      <c r="Q290" s="1519">
        <f t="shared" si="31"/>
        <v>1.0305829059829059</v>
      </c>
      <c r="R290" s="1606">
        <v>2340000</v>
      </c>
      <c r="S290" s="1618">
        <f t="shared" si="32"/>
        <v>2411564</v>
      </c>
      <c r="T290" s="1142">
        <f t="shared" si="35"/>
        <v>278</v>
      </c>
      <c r="U290" s="1143">
        <f>VLOOKUP(B290,'[16]CN HĐ'!$H$10:$M$73,6,FALSE)</f>
        <v>0</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200">
        <f>_xlfn.AGGREGATE(4,7,A$12:A290)+1</f>
        <v>279</v>
      </c>
      <c r="B291" s="1478" t="s">
        <v>2056</v>
      </c>
      <c r="C291" s="1609"/>
      <c r="D291" s="1610"/>
      <c r="E291" s="490" t="str">
        <f>VLOOKUP(B291,TH.Q2!B204:E535,4,FALSE)</f>
        <v>Nhân viên phòng Thanh tra GD - Công tác SV</v>
      </c>
      <c r="F291" s="1611"/>
      <c r="G291" s="1612"/>
      <c r="H291" s="1613"/>
      <c r="I291" s="1614"/>
      <c r="J291" s="1614"/>
      <c r="K291" s="1614"/>
      <c r="L291" s="1615"/>
      <c r="M291" s="1615"/>
      <c r="N291" s="1615"/>
      <c r="O291" s="1616"/>
      <c r="P291" s="1339">
        <f>VLOOKUP(B291,'111'!B25:V87,21,FALSE)</f>
        <v>4739446</v>
      </c>
      <c r="Q291" s="1568">
        <f t="shared" si="31"/>
        <v>2.0254042735042734</v>
      </c>
      <c r="R291" s="1617">
        <v>2340000</v>
      </c>
      <c r="S291" s="1619">
        <f t="shared" si="32"/>
        <v>4739446</v>
      </c>
      <c r="T291" s="1207">
        <f t="shared" si="35"/>
        <v>279</v>
      </c>
      <c r="U291" s="1340" t="s">
        <v>2397</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_xlfn.AGGREGATE(4,7,A$12:A291)+1</f>
        <v>280</v>
      </c>
      <c r="B292" s="1476" t="s">
        <v>2057</v>
      </c>
      <c r="C292" s="1497"/>
      <c r="D292" s="1498"/>
      <c r="E292" s="1058" t="str">
        <f>VLOOKUP(B292,TH.Q2!B205:E536,4,FALSE)</f>
        <v>NV Phòng Tổ chức - Hành chính - Tổng hợp</v>
      </c>
      <c r="F292" s="1503"/>
      <c r="G292" s="1500"/>
      <c r="H292" s="1504"/>
      <c r="I292" s="1505"/>
      <c r="J292" s="1505"/>
      <c r="K292" s="1505"/>
      <c r="L292" s="1506"/>
      <c r="M292" s="1506"/>
      <c r="N292" s="1506"/>
      <c r="O292" s="1507"/>
      <c r="P292" s="1141">
        <f>VLOOKUP(B292,'111'!B26:V88,21,FALSE)</f>
        <v>7504957</v>
      </c>
      <c r="Q292" s="1519">
        <f t="shared" si="31"/>
        <v>3.2072465811965811</v>
      </c>
      <c r="R292" s="1606">
        <v>2340000</v>
      </c>
      <c r="S292" s="1618">
        <f t="shared" si="32"/>
        <v>7504957</v>
      </c>
      <c r="T292" s="1142">
        <f t="shared" si="35"/>
        <v>280</v>
      </c>
      <c r="U292" s="1143">
        <f>VLOOKUP(B292,'[16]CN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_xlfn.AGGREGATE(4,7,A$12:A292)+1</f>
        <v>281</v>
      </c>
      <c r="B293" s="1476" t="s">
        <v>2059</v>
      </c>
      <c r="C293" s="1497"/>
      <c r="D293" s="1498"/>
      <c r="E293" s="1058" t="str">
        <f>VLOOKUP(B293,TH.Q2!B206:E537,4,FALSE)</f>
        <v>Nhân viên bảo vệ</v>
      </c>
      <c r="F293" s="1503"/>
      <c r="G293" s="1500"/>
      <c r="H293" s="1504"/>
      <c r="I293" s="1505"/>
      <c r="J293" s="1505"/>
      <c r="K293" s="1505"/>
      <c r="L293" s="1506"/>
      <c r="M293" s="1506"/>
      <c r="N293" s="1506"/>
      <c r="O293" s="1507"/>
      <c r="P293" s="1141">
        <f>VLOOKUP(B293,'111'!B27:V89,21,FALSE)</f>
        <v>2083200</v>
      </c>
      <c r="Q293" s="1519">
        <f t="shared" si="31"/>
        <v>0.89025641025641022</v>
      </c>
      <c r="R293" s="1606">
        <v>2340000</v>
      </c>
      <c r="S293" s="1618">
        <f t="shared" si="32"/>
        <v>2083200</v>
      </c>
      <c r="T293" s="1142">
        <f t="shared" si="35"/>
        <v>281</v>
      </c>
      <c r="U293" s="1143" t="str">
        <f>VLOOKUP(B293,'[16]CN HĐ'!$H$10:$M$73,6,FALSE)</f>
        <v>Trừ 1 ngày nghỉ phép 4/10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_xlfn.AGGREGATE(4,7,A$12:A293)+1</f>
        <v>282</v>
      </c>
      <c r="B294" s="1476" t="s">
        <v>2060</v>
      </c>
      <c r="C294" s="1497"/>
      <c r="D294" s="1498"/>
      <c r="E294" s="1058" t="str">
        <f>VLOOKUP(B294,TH.Q2!B207:E538,4,FALSE)</f>
        <v>NV Phòng Tổ chức - Hành chính - Tổng hợp</v>
      </c>
      <c r="F294" s="1503"/>
      <c r="G294" s="1500"/>
      <c r="H294" s="1504"/>
      <c r="I294" s="1505"/>
      <c r="J294" s="1505"/>
      <c r="K294" s="1505"/>
      <c r="L294" s="1506"/>
      <c r="M294" s="1506"/>
      <c r="N294" s="1506"/>
      <c r="O294" s="1507"/>
      <c r="P294" s="1141">
        <f>VLOOKUP(B294,'111'!B28:V90,21,FALSE)</f>
        <v>6370346.416666666</v>
      </c>
      <c r="Q294" s="1519">
        <f t="shared" si="31"/>
        <v>2.7223702635327633</v>
      </c>
      <c r="R294" s="1606">
        <v>2340000</v>
      </c>
      <c r="S294" s="1618">
        <f t="shared" si="32"/>
        <v>6370346.416666666</v>
      </c>
      <c r="T294" s="1142">
        <f t="shared" si="35"/>
        <v>282</v>
      </c>
      <c r="U294" s="1143">
        <f>VLOOKUP(B294,'[16]CN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214">
        <f>_xlfn.AGGREGATE(4,7,A$12:A294)+1</f>
        <v>283</v>
      </c>
      <c r="B295" s="1488" t="s">
        <v>2062</v>
      </c>
      <c r="C295" s="1536"/>
      <c r="D295" s="1537"/>
      <c r="E295" s="579" t="str">
        <f>VLOOKUP(B295,TH.Q2!B208:E539,4,FALSE)</f>
        <v>NV P. QT 
Dịch vụ</v>
      </c>
      <c r="F295" s="1542"/>
      <c r="G295" s="1539"/>
      <c r="H295" s="1543"/>
      <c r="I295" s="1544"/>
      <c r="J295" s="1544"/>
      <c r="K295" s="1544"/>
      <c r="L295" s="1545"/>
      <c r="M295" s="1545"/>
      <c r="N295" s="1545"/>
      <c r="O295" s="1546"/>
      <c r="P295" s="1349">
        <f>VLOOKUP(B295,'111'!B29:V91,21,FALSE)</f>
        <v>7247855</v>
      </c>
      <c r="Q295" s="1548">
        <f t="shared" si="31"/>
        <v>3.0973739316239315</v>
      </c>
      <c r="R295" s="1608">
        <v>2340000</v>
      </c>
      <c r="S295" s="1620">
        <f t="shared" si="32"/>
        <v>7247855</v>
      </c>
      <c r="T295" s="1221">
        <f t="shared" si="35"/>
        <v>283</v>
      </c>
      <c r="U295" s="1350" t="str">
        <f>VLOOKUP(B295,'[16]CN HĐ'!$H$10:$M$73,6,FALSE)</f>
        <v>Nghỉ hộ sản hưởng chế độ BHXH từ 01/8/24</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_xlfn.AGGREGATE(4,7,A$12:A295)+1</f>
        <v>284</v>
      </c>
      <c r="B296" s="1476" t="s">
        <v>2065</v>
      </c>
      <c r="C296" s="1497"/>
      <c r="D296" s="1498"/>
      <c r="E296" s="1058" t="str">
        <f>VLOOKUP(B296,TH.Q2!B209:E540,4,FALSE)</f>
        <v>NV Phòng Quản trị - Dịch vụ</v>
      </c>
      <c r="F296" s="1503"/>
      <c r="G296" s="1500"/>
      <c r="H296" s="1504"/>
      <c r="I296" s="1505"/>
      <c r="J296" s="1505"/>
      <c r="K296" s="1505"/>
      <c r="L296" s="1506"/>
      <c r="M296" s="1506"/>
      <c r="N296" s="1506"/>
      <c r="O296" s="1507"/>
      <c r="P296" s="1141">
        <f>VLOOKUP(B296,'111'!B30:V92,21,FALSE)</f>
        <v>6472062</v>
      </c>
      <c r="Q296" s="1519">
        <f t="shared" si="31"/>
        <v>2.7658384615384617</v>
      </c>
      <c r="R296" s="1606">
        <v>2340000</v>
      </c>
      <c r="S296" s="1618">
        <f t="shared" si="32"/>
        <v>6472062</v>
      </c>
      <c r="T296" s="1142">
        <f t="shared" si="35"/>
        <v>284</v>
      </c>
      <c r="U296" s="1143">
        <f>VLOOKUP(B296,'[16]CN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_xlfn.AGGREGATE(4,7,A$12:A296)+1</f>
        <v>285</v>
      </c>
      <c r="B297" s="1476" t="s">
        <v>2067</v>
      </c>
      <c r="C297" s="1497"/>
      <c r="D297" s="1498"/>
      <c r="E297" s="1058" t="str">
        <f>VLOOKUP(B297,TH.Q2!B210:E541,4,FALSE)</f>
        <v>NV bảo trì</v>
      </c>
      <c r="F297" s="1503"/>
      <c r="G297" s="1500"/>
      <c r="H297" s="1504"/>
      <c r="I297" s="1505"/>
      <c r="J297" s="1505"/>
      <c r="K297" s="1505"/>
      <c r="L297" s="1506"/>
      <c r="M297" s="1506"/>
      <c r="N297" s="1506"/>
      <c r="O297" s="1507"/>
      <c r="P297" s="1141">
        <f>VLOOKUP(B297,'111'!B31:V93,21,FALSE)</f>
        <v>7755205</v>
      </c>
      <c r="Q297" s="1519">
        <f t="shared" si="31"/>
        <v>3.3141901709401709</v>
      </c>
      <c r="R297" s="1606">
        <v>2340000</v>
      </c>
      <c r="S297" s="1618">
        <f t="shared" si="32"/>
        <v>7755205</v>
      </c>
      <c r="T297" s="1142">
        <f t="shared" si="35"/>
        <v>285</v>
      </c>
      <c r="U297" s="1143">
        <f>VLOOKUP(B297,'[16]CN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_xlfn.AGGREGATE(4,7,A$12:A297)+1</f>
        <v>286</v>
      </c>
      <c r="B298" s="1476" t="s">
        <v>2069</v>
      </c>
      <c r="C298" s="1497"/>
      <c r="D298" s="1498"/>
      <c r="E298" s="1058" t="str">
        <f>VLOOKUP(B298,TH.Q2!B211:E542,4,FALSE)</f>
        <v>NV P. QT 
Dịch vụ</v>
      </c>
      <c r="F298" s="1503"/>
      <c r="G298" s="1500"/>
      <c r="H298" s="1504"/>
      <c r="I298" s="1505"/>
      <c r="J298" s="1505"/>
      <c r="K298" s="1505"/>
      <c r="L298" s="1506"/>
      <c r="M298" s="1506"/>
      <c r="N298" s="1506"/>
      <c r="O298" s="1507"/>
      <c r="P298" s="1141">
        <f>VLOOKUP(B298,'111'!B32:V94,21,FALSE)</f>
        <v>6123267.958333334</v>
      </c>
      <c r="Q298" s="1519">
        <f t="shared" si="31"/>
        <v>2.6167811787749291</v>
      </c>
      <c r="R298" s="1606">
        <v>2340000</v>
      </c>
      <c r="S298" s="1618">
        <f t="shared" si="32"/>
        <v>6123267.958333334</v>
      </c>
      <c r="T298" s="1142">
        <f t="shared" si="35"/>
        <v>286</v>
      </c>
      <c r="U298" s="1143">
        <f>VLOOKUP(B298,'[16]CN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_xlfn.AGGREGATE(4,7,A$12:A298)+1</f>
        <v>287</v>
      </c>
      <c r="B299" s="1476" t="s">
        <v>2073</v>
      </c>
      <c r="C299" s="1497"/>
      <c r="D299" s="1498"/>
      <c r="E299" s="1058" t="str">
        <f>VLOOKUP(B299,TH.Q2!B212:E543,4,FALSE)</f>
        <v>NV P. QT 
Dịch vụ</v>
      </c>
      <c r="F299" s="1503"/>
      <c r="G299" s="1500"/>
      <c r="H299" s="1504"/>
      <c r="I299" s="1505"/>
      <c r="J299" s="1505"/>
      <c r="K299" s="1505"/>
      <c r="L299" s="1506"/>
      <c r="M299" s="1506"/>
      <c r="N299" s="1506"/>
      <c r="O299" s="1507"/>
      <c r="P299" s="1141">
        <f>VLOOKUP(B299,'111'!B33:V95,21,FALSE)</f>
        <v>6163869</v>
      </c>
      <c r="Q299" s="1519">
        <f t="shared" si="31"/>
        <v>2.6341320512820512</v>
      </c>
      <c r="R299" s="1606">
        <v>2340000</v>
      </c>
      <c r="S299" s="1618">
        <f t="shared" si="32"/>
        <v>6163869</v>
      </c>
      <c r="T299" s="1142">
        <f t="shared" si="35"/>
        <v>287</v>
      </c>
      <c r="U299" s="1143">
        <f>VLOOKUP(B299,'[16]CN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_xlfn.AGGREGATE(4,7,A$12:A299)+1</f>
        <v>288</v>
      </c>
      <c r="B300" s="1476" t="s">
        <v>2075</v>
      </c>
      <c r="C300" s="1497"/>
      <c r="D300" s="1498"/>
      <c r="E300" s="1058" t="str">
        <f>VLOOKUP(B300,TH.Q2!B213:E544,4,FALSE)</f>
        <v>NV Phục vụ</v>
      </c>
      <c r="F300" s="1503"/>
      <c r="G300" s="1500"/>
      <c r="H300" s="1504"/>
      <c r="I300" s="1505"/>
      <c r="J300" s="1505"/>
      <c r="K300" s="1505"/>
      <c r="L300" s="1506"/>
      <c r="M300" s="1506"/>
      <c r="N300" s="1506"/>
      <c r="O300" s="1507"/>
      <c r="P300" s="1141">
        <f>VLOOKUP(B300,'111'!B34:V96,21,FALSE)</f>
        <v>4156809</v>
      </c>
      <c r="Q300" s="1519">
        <f t="shared" si="31"/>
        <v>1.7764141025641025</v>
      </c>
      <c r="R300" s="1606">
        <v>2340000</v>
      </c>
      <c r="S300" s="1618">
        <f t="shared" si="32"/>
        <v>4156809</v>
      </c>
      <c r="T300" s="1142">
        <f t="shared" si="35"/>
        <v>288</v>
      </c>
      <c r="U300" s="1143">
        <f>VLOOKUP(B300,'[16]CN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_xlfn.AGGREGATE(4,7,A$12:A300)+1</f>
        <v>289</v>
      </c>
      <c r="B301" s="1476" t="s">
        <v>2077</v>
      </c>
      <c r="C301" s="1497"/>
      <c r="D301" s="1498"/>
      <c r="E301" s="1058" t="str">
        <f>VLOOKUP(B301,TH.Q2!B214:E545,4,FALSE)</f>
        <v>NV Phục vụ</v>
      </c>
      <c r="F301" s="1503"/>
      <c r="G301" s="1500"/>
      <c r="H301" s="1504"/>
      <c r="I301" s="1505"/>
      <c r="J301" s="1505"/>
      <c r="K301" s="1505"/>
      <c r="L301" s="1506"/>
      <c r="M301" s="1506"/>
      <c r="N301" s="1506"/>
      <c r="O301" s="1507"/>
      <c r="P301" s="1141">
        <f>VLOOKUP(B301,'111'!B35:V97,21,FALSE)</f>
        <v>1913940</v>
      </c>
      <c r="Q301" s="1519">
        <f t="shared" si="31"/>
        <v>0.81792307692307697</v>
      </c>
      <c r="R301" s="1606">
        <v>2340000</v>
      </c>
      <c r="S301" s="1618">
        <f t="shared" si="32"/>
        <v>1913940.0000000002</v>
      </c>
      <c r="T301" s="1142">
        <f t="shared" si="35"/>
        <v>289</v>
      </c>
      <c r="U301" s="1143">
        <f>VLOOKUP(B301,'[16]CN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_xlfn.AGGREGATE(4,7,A$12:A301)+1</f>
        <v>290</v>
      </c>
      <c r="B302" s="1476" t="s">
        <v>2080</v>
      </c>
      <c r="C302" s="1497"/>
      <c r="D302" s="1498"/>
      <c r="E302" s="1058" t="str">
        <f>VLOOKUP(B302,TH.Q2!B215:E546,4,FALSE)</f>
        <v>NV Phục vụ</v>
      </c>
      <c r="F302" s="1503"/>
      <c r="G302" s="1500"/>
      <c r="H302" s="1504"/>
      <c r="I302" s="1505"/>
      <c r="J302" s="1505"/>
      <c r="K302" s="1505"/>
      <c r="L302" s="1506"/>
      <c r="M302" s="1506"/>
      <c r="N302" s="1506"/>
      <c r="O302" s="1507"/>
      <c r="P302" s="1141">
        <f>VLOOKUP(B302,'111'!B36:V98,21,FALSE)</f>
        <v>1913940</v>
      </c>
      <c r="Q302" s="1519">
        <f t="shared" si="31"/>
        <v>0.81792307692307697</v>
      </c>
      <c r="R302" s="1606">
        <v>2340000</v>
      </c>
      <c r="S302" s="1618">
        <f t="shared" si="32"/>
        <v>1913940.0000000002</v>
      </c>
      <c r="T302" s="1142">
        <f t="shared" si="35"/>
        <v>290</v>
      </c>
      <c r="U302" s="1143">
        <f>VLOOKUP(B302,'[16]CN HĐ'!$H$10:$M$73,6,FALSE)</f>
        <v>0</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_xlfn.AGGREGATE(4,7,A$12:A302)+1</f>
        <v>291</v>
      </c>
      <c r="B303" s="1476" t="s">
        <v>2082</v>
      </c>
      <c r="C303" s="1497"/>
      <c r="D303" s="1498"/>
      <c r="E303" s="1058" t="str">
        <f>VLOOKUP(B303,TH.Q2!B216:E547,4,FALSE)</f>
        <v>NV Phục vụ</v>
      </c>
      <c r="F303" s="1503"/>
      <c r="G303" s="1500"/>
      <c r="H303" s="1504"/>
      <c r="I303" s="1505"/>
      <c r="J303" s="1505"/>
      <c r="K303" s="1505"/>
      <c r="L303" s="1506"/>
      <c r="M303" s="1506"/>
      <c r="N303" s="1506"/>
      <c r="O303" s="1507"/>
      <c r="P303" s="1141">
        <f>VLOOKUP(B303,'111'!B37:V99,21,FALSE)</f>
        <v>1754445</v>
      </c>
      <c r="Q303" s="1519">
        <f t="shared" si="31"/>
        <v>0.7497628205128205</v>
      </c>
      <c r="R303" s="1606">
        <v>2340000</v>
      </c>
      <c r="S303" s="1618">
        <f t="shared" si="32"/>
        <v>1754445</v>
      </c>
      <c r="T303" s="1142">
        <f t="shared" si="35"/>
        <v>291</v>
      </c>
      <c r="U303" s="1143">
        <f>VLOOKUP(B303,'[16]CN HĐ'!$H$10:$M$73,6,FALSE)</f>
        <v>0</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_xlfn.AGGREGATE(4,7,A$12:A303)+1</f>
        <v>292</v>
      </c>
      <c r="B304" s="1476" t="s">
        <v>2084</v>
      </c>
      <c r="C304" s="1497"/>
      <c r="D304" s="1498"/>
      <c r="E304" s="1058" t="str">
        <f>VLOOKUP(B304,TH.Q2!B217:E548,4,FALSE)</f>
        <v>NV Phục vụ</v>
      </c>
      <c r="F304" s="1503"/>
      <c r="G304" s="1500"/>
      <c r="H304" s="1504"/>
      <c r="I304" s="1505"/>
      <c r="J304" s="1505"/>
      <c r="K304" s="1505"/>
      <c r="L304" s="1506"/>
      <c r="M304" s="1506"/>
      <c r="N304" s="1506"/>
      <c r="O304" s="1507"/>
      <c r="P304" s="1141">
        <f>VLOOKUP(B304,'111'!B38:V100,21,FALSE)</f>
        <v>1754445</v>
      </c>
      <c r="Q304" s="1519">
        <f t="shared" si="31"/>
        <v>0.7497628205128205</v>
      </c>
      <c r="R304" s="1606">
        <v>2340000</v>
      </c>
      <c r="S304" s="1618">
        <f t="shared" si="32"/>
        <v>1754445</v>
      </c>
      <c r="T304" s="1142">
        <f t="shared" si="35"/>
        <v>292</v>
      </c>
      <c r="U304" s="1143">
        <f>VLOOKUP(B304,'[16]CN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132">
        <f>_xlfn.AGGREGATE(4,7,A$12:A304)+1</f>
        <v>293</v>
      </c>
      <c r="B305" s="1476" t="s">
        <v>2086</v>
      </c>
      <c r="C305" s="1497"/>
      <c r="D305" s="1498"/>
      <c r="E305" s="1058" t="str">
        <f>VLOOKUP(B305,TH.Q2!B218:E549,4,FALSE)</f>
        <v>Nhân viên phòng Quản trị - Dịch vụ</v>
      </c>
      <c r="F305" s="1503"/>
      <c r="G305" s="1500"/>
      <c r="H305" s="1504"/>
      <c r="I305" s="1505"/>
      <c r="J305" s="1505"/>
      <c r="K305" s="1505"/>
      <c r="L305" s="1506"/>
      <c r="M305" s="1506"/>
      <c r="N305" s="1506"/>
      <c r="O305" s="1507"/>
      <c r="P305" s="1141">
        <f>VLOOKUP(B305,'111'!B39:V101,21,FALSE)</f>
        <v>2296728</v>
      </c>
      <c r="Q305" s="1519">
        <f t="shared" si="31"/>
        <v>0.9815076923076923</v>
      </c>
      <c r="R305" s="1606">
        <v>2340000</v>
      </c>
      <c r="S305" s="1618">
        <f t="shared" si="32"/>
        <v>2296728</v>
      </c>
      <c r="T305" s="1142">
        <f t="shared" si="35"/>
        <v>293</v>
      </c>
      <c r="U305" s="1143">
        <f>VLOOKUP(B305,'[16]CN HĐ'!$H$10:$M$73,6,FALSE)</f>
        <v>0</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_xlfn.AGGREGATE(4,7,A$12:A305)+1</f>
        <v>294</v>
      </c>
      <c r="B306" s="1476" t="s">
        <v>2087</v>
      </c>
      <c r="C306" s="1497"/>
      <c r="D306" s="1498"/>
      <c r="E306" s="1058" t="str">
        <f>VLOOKUP(B306,TH.Q2!B219:E550,4,FALSE)</f>
        <v>Nhân viên phòng Quản trị - Dịch vụ</v>
      </c>
      <c r="F306" s="1503"/>
      <c r="G306" s="1500"/>
      <c r="H306" s="1504"/>
      <c r="I306" s="1505"/>
      <c r="J306" s="1505"/>
      <c r="K306" s="1505"/>
      <c r="L306" s="1506"/>
      <c r="M306" s="1506"/>
      <c r="N306" s="1506"/>
      <c r="O306" s="1507"/>
      <c r="P306" s="1141">
        <f>VLOOKUP(B306,'111'!B40:V102,21,FALSE)</f>
        <v>1913940</v>
      </c>
      <c r="Q306" s="1519">
        <f t="shared" si="31"/>
        <v>0.81792307692307697</v>
      </c>
      <c r="R306" s="1606">
        <v>2340000</v>
      </c>
      <c r="S306" s="1618">
        <f t="shared" si="32"/>
        <v>1913940.0000000002</v>
      </c>
      <c r="T306" s="1142">
        <f t="shared" si="35"/>
        <v>294</v>
      </c>
      <c r="U306" s="1143">
        <f>VLOOKUP(B306,'[16]CN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_xlfn.AGGREGATE(4,7,A$12:A306)+1</f>
        <v>295</v>
      </c>
      <c r="B307" s="1476" t="s">
        <v>2245</v>
      </c>
      <c r="C307" s="1497"/>
      <c r="D307" s="1498"/>
      <c r="E307" s="1058" t="str">
        <f>VLOOKUP(B307,TH.Q2!B220:E551,4,FALSE)</f>
        <v>Nhân viên phòng Quản trị - Dịch vụ</v>
      </c>
      <c r="F307" s="1503"/>
      <c r="G307" s="1500"/>
      <c r="H307" s="1504"/>
      <c r="I307" s="1505"/>
      <c r="J307" s="1505"/>
      <c r="K307" s="1505"/>
      <c r="L307" s="1506"/>
      <c r="M307" s="1506"/>
      <c r="N307" s="1506"/>
      <c r="O307" s="1507"/>
      <c r="P307" s="1141">
        <f>VLOOKUP(B307,'111'!B41:V103,21,FALSE)</f>
        <v>4139616</v>
      </c>
      <c r="Q307" s="1519">
        <f t="shared" si="31"/>
        <v>1.7690666666666666</v>
      </c>
      <c r="R307" s="1606">
        <v>2340000</v>
      </c>
      <c r="S307" s="1618">
        <f t="shared" si="32"/>
        <v>4139615.9999999995</v>
      </c>
      <c r="T307" s="1142">
        <f t="shared" si="35"/>
        <v>295</v>
      </c>
      <c r="U307" s="1143">
        <f>VLOOKUP(B307,'[16]CN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_xlfn.AGGREGATE(4,7,A$12:A307)+1</f>
        <v>296</v>
      </c>
      <c r="B308" s="1476" t="s">
        <v>2253</v>
      </c>
      <c r="C308" s="1497"/>
      <c r="D308" s="1498"/>
      <c r="E308" s="1058" t="str">
        <f>VLOOKUP(B308,TH.Q2!B221:E552,4,FALSE)</f>
        <v>Nhân viên phòng Quản trị - Dịch vụ</v>
      </c>
      <c r="F308" s="1503"/>
      <c r="G308" s="1500"/>
      <c r="H308" s="1504"/>
      <c r="I308" s="1505"/>
      <c r="J308" s="1505"/>
      <c r="K308" s="1505"/>
      <c r="L308" s="1506"/>
      <c r="M308" s="1506"/>
      <c r="N308" s="1506"/>
      <c r="O308" s="1507"/>
      <c r="P308" s="1141">
        <f>VLOOKUP(B308,'111'!B42:V104,21,FALSE)</f>
        <v>4139616</v>
      </c>
      <c r="Q308" s="1519">
        <f t="shared" si="31"/>
        <v>1.7690666666666666</v>
      </c>
      <c r="R308" s="1606">
        <v>2340000</v>
      </c>
      <c r="S308" s="1618">
        <f t="shared" si="32"/>
        <v>4139615.9999999995</v>
      </c>
      <c r="T308" s="1142">
        <f t="shared" si="35"/>
        <v>296</v>
      </c>
      <c r="U308" s="1143">
        <f>VLOOKUP(B308,'[16]CN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_xlfn.AGGREGATE(4,7,A$12:A308)+1</f>
        <v>297</v>
      </c>
      <c r="B309" s="1476" t="s">
        <v>2088</v>
      </c>
      <c r="C309" s="1497"/>
      <c r="D309" s="1498"/>
      <c r="E309" s="1058" t="str">
        <f>VLOOKUP(B309,TH.Q2!B222:E553,4,FALSE)</f>
        <v>Nhân viên phòng Quản trị - Dịch vụ</v>
      </c>
      <c r="F309" s="1503"/>
      <c r="G309" s="1500"/>
      <c r="H309" s="1504"/>
      <c r="I309" s="1505"/>
      <c r="J309" s="1505"/>
      <c r="K309" s="1505"/>
      <c r="L309" s="1506"/>
      <c r="M309" s="1506"/>
      <c r="N309" s="1506"/>
      <c r="O309" s="1507"/>
      <c r="P309" s="1141">
        <f>VLOOKUP(B309,'111'!B43:V105,21,FALSE)</f>
        <v>2916480</v>
      </c>
      <c r="Q309" s="1519">
        <f t="shared" si="31"/>
        <v>1.2463589743589745</v>
      </c>
      <c r="R309" s="1606">
        <v>2340000</v>
      </c>
      <c r="S309" s="1618">
        <f t="shared" si="32"/>
        <v>2916480.0000000005</v>
      </c>
      <c r="T309" s="1142">
        <f t="shared" si="35"/>
        <v>297</v>
      </c>
      <c r="U309" s="1143">
        <f>VLOOKUP(B309,'[16]CN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_xlfn.AGGREGATE(4,7,A$12:A309)+1</f>
        <v>298</v>
      </c>
      <c r="B310" s="1476" t="s">
        <v>2089</v>
      </c>
      <c r="C310" s="1497"/>
      <c r="D310" s="1498"/>
      <c r="E310" s="1058" t="str">
        <f>VLOOKUP(B310,TH.Q2!B223:E554,4,FALSE)</f>
        <v>Nhân viên Y tế</v>
      </c>
      <c r="F310" s="1503"/>
      <c r="G310" s="1500"/>
      <c r="H310" s="1504"/>
      <c r="I310" s="1505"/>
      <c r="J310" s="1505"/>
      <c r="K310" s="1505"/>
      <c r="L310" s="1506"/>
      <c r="M310" s="1506"/>
      <c r="N310" s="1506"/>
      <c r="O310" s="1507"/>
      <c r="P310" s="1141">
        <f>VLOOKUP(B310,'111'!B44:V106,21,FALSE)</f>
        <v>6116099</v>
      </c>
      <c r="Q310" s="1519">
        <f t="shared" si="31"/>
        <v>2.6137175213675214</v>
      </c>
      <c r="R310" s="1606">
        <v>2340000</v>
      </c>
      <c r="S310" s="1618">
        <f t="shared" si="32"/>
        <v>6116099</v>
      </c>
      <c r="T310" s="1142">
        <f t="shared" si="35"/>
        <v>298</v>
      </c>
      <c r="U310" s="1143">
        <f>VLOOKUP(B310,'[16]CN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_xlfn.AGGREGATE(4,7,A$12:A310)+1</f>
        <v>299</v>
      </c>
      <c r="B311" s="1476" t="s">
        <v>2091</v>
      </c>
      <c r="C311" s="1497"/>
      <c r="D311" s="1498"/>
      <c r="E311" s="1058" t="str">
        <f>VLOOKUP(B311,TH.Q2!B224:E555,4,FALSE)</f>
        <v>Nhân viên Ký túc xá</v>
      </c>
      <c r="F311" s="1503"/>
      <c r="G311" s="1500"/>
      <c r="H311" s="1504"/>
      <c r="I311" s="1505"/>
      <c r="J311" s="1505"/>
      <c r="K311" s="1505"/>
      <c r="L311" s="1506"/>
      <c r="M311" s="1506"/>
      <c r="N311" s="1506"/>
      <c r="O311" s="1507"/>
      <c r="P311" s="1141">
        <f>VLOOKUP(B311,'111'!B45:V107,21,FALSE)</f>
        <v>1822800</v>
      </c>
      <c r="Q311" s="1519">
        <f t="shared" si="31"/>
        <v>0.77897435897435896</v>
      </c>
      <c r="R311" s="1606">
        <v>2340000</v>
      </c>
      <c r="S311" s="1618">
        <f t="shared" si="32"/>
        <v>1822800</v>
      </c>
      <c r="T311" s="1142">
        <f t="shared" si="35"/>
        <v>299</v>
      </c>
      <c r="U311" s="1143">
        <f>VLOOKUP(B311,'[16]CN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_xlfn.AGGREGATE(4,7,A$12:A311)+1</f>
        <v>300</v>
      </c>
      <c r="B312" s="1490" t="s">
        <v>2092</v>
      </c>
      <c r="C312" s="1497"/>
      <c r="D312" s="1498"/>
      <c r="E312" s="1058" t="str">
        <f>VLOOKUP(B312,TH.Q2!B225:E556,4,FALSE)</f>
        <v>Nhân viên</v>
      </c>
      <c r="F312" s="1503"/>
      <c r="G312" s="1500"/>
      <c r="H312" s="1504"/>
      <c r="I312" s="1505"/>
      <c r="J312" s="1505"/>
      <c r="K312" s="1505"/>
      <c r="L312" s="1506"/>
      <c r="M312" s="1506"/>
      <c r="N312" s="1506"/>
      <c r="O312" s="1507"/>
      <c r="P312" s="1141">
        <f>VLOOKUP(B312,'111'!B46:V108,21,FALSE)</f>
        <v>13922658</v>
      </c>
      <c r="Q312" s="1519">
        <f t="shared" si="31"/>
        <v>5.9498538461538457</v>
      </c>
      <c r="R312" s="1606">
        <v>2340000</v>
      </c>
      <c r="S312" s="1618">
        <f t="shared" si="32"/>
        <v>13922657.999999998</v>
      </c>
      <c r="T312" s="1142">
        <f t="shared" si="35"/>
        <v>300</v>
      </c>
      <c r="U312" s="1143">
        <f>VLOOKUP(B312,'[16]CN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_xlfn.AGGREGATE(4,7,A$12:A312)+1</f>
        <v>301</v>
      </c>
      <c r="B313" s="1476" t="s">
        <v>2094</v>
      </c>
      <c r="C313" s="1497"/>
      <c r="D313" s="1498"/>
      <c r="E313" s="1058" t="str">
        <f>VLOOKUP(B313,TH.Q2!B226:E557,4,FALSE)</f>
        <v>NV Kế toán</v>
      </c>
      <c r="F313" s="1503"/>
      <c r="G313" s="1500"/>
      <c r="H313" s="1504"/>
      <c r="I313" s="1505"/>
      <c r="J313" s="1505"/>
      <c r="K313" s="1505"/>
      <c r="L313" s="1506"/>
      <c r="M313" s="1506"/>
      <c r="N313" s="1506"/>
      <c r="O313" s="1507"/>
      <c r="P313" s="1141">
        <f>VLOOKUP(B313,'111'!B47:V109,21,FALSE)</f>
        <v>8283263</v>
      </c>
      <c r="Q313" s="1519">
        <f t="shared" si="31"/>
        <v>3.539855982905983</v>
      </c>
      <c r="R313" s="1606">
        <v>2340000</v>
      </c>
      <c r="S313" s="1618">
        <f t="shared" si="32"/>
        <v>8283263</v>
      </c>
      <c r="T313" s="1142">
        <f t="shared" si="35"/>
        <v>301</v>
      </c>
      <c r="U313" s="1143">
        <f>VLOOKUP(B313,'[16]CN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_xlfn.AGGREGATE(4,7,A$12:A313)+1</f>
        <v>302</v>
      </c>
      <c r="B314" s="1476" t="s">
        <v>2098</v>
      </c>
      <c r="C314" s="1497"/>
      <c r="D314" s="1498"/>
      <c r="E314" s="1058" t="str">
        <f>VLOOKUP(B314,TH.Q2!B227:E558,4,FALSE)</f>
        <v>NV Kế toán</v>
      </c>
      <c r="F314" s="1503"/>
      <c r="G314" s="1500"/>
      <c r="H314" s="1504"/>
      <c r="I314" s="1505"/>
      <c r="J314" s="1505"/>
      <c r="K314" s="1505"/>
      <c r="L314" s="1506"/>
      <c r="M314" s="1506"/>
      <c r="N314" s="1506"/>
      <c r="O314" s="1507"/>
      <c r="P314" s="1141">
        <f>VLOOKUP(B314,'111'!B48:V110,21,FALSE)</f>
        <v>5529354</v>
      </c>
      <c r="Q314" s="1519">
        <f t="shared" si="31"/>
        <v>2.362971794871795</v>
      </c>
      <c r="R314" s="1606">
        <v>2340000</v>
      </c>
      <c r="S314" s="1618">
        <f t="shared" si="32"/>
        <v>5529354</v>
      </c>
      <c r="T314" s="1142">
        <f t="shared" si="35"/>
        <v>302</v>
      </c>
      <c r="U314" s="1143">
        <f>VLOOKUP(B314,'[16]CN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_xlfn.AGGREGATE(4,7,A$12:A314)+1</f>
        <v>303</v>
      </c>
      <c r="B315" s="1476" t="s">
        <v>2099</v>
      </c>
      <c r="C315" s="1497"/>
      <c r="D315" s="1498"/>
      <c r="E315" s="1058" t="str">
        <f>VLOOKUP(B315,TH.Q2!B228:E559,4,FALSE)</f>
        <v>NV Kế toán</v>
      </c>
      <c r="F315" s="1503"/>
      <c r="G315" s="1500"/>
      <c r="H315" s="1504"/>
      <c r="I315" s="1505"/>
      <c r="J315" s="1505"/>
      <c r="K315" s="1505"/>
      <c r="L315" s="1506"/>
      <c r="M315" s="1506"/>
      <c r="N315" s="1506"/>
      <c r="O315" s="1507"/>
      <c r="P315" s="1141">
        <f>VLOOKUP(B315,'111'!B49:V111,21,FALSE)</f>
        <v>5529354</v>
      </c>
      <c r="Q315" s="1519">
        <f t="shared" si="31"/>
        <v>2.362971794871795</v>
      </c>
      <c r="R315" s="1606">
        <v>2340000</v>
      </c>
      <c r="S315" s="1618">
        <f t="shared" si="32"/>
        <v>5529354</v>
      </c>
      <c r="T315" s="1142">
        <f t="shared" si="35"/>
        <v>303</v>
      </c>
      <c r="U315" s="1143">
        <f>VLOOKUP(B315,'[16]CN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_xlfn.AGGREGATE(4,7,A$12:A315)+1</f>
        <v>304</v>
      </c>
      <c r="B316" s="1476" t="s">
        <v>2100</v>
      </c>
      <c r="C316" s="1497"/>
      <c r="D316" s="1498"/>
      <c r="E316" s="1058" t="str">
        <f>VLOOKUP(B316,TH.Q2!B229:E560,4,FALSE)</f>
        <v>Nhân viên</v>
      </c>
      <c r="F316" s="1503"/>
      <c r="G316" s="1500"/>
      <c r="H316" s="1504"/>
      <c r="I316" s="1505"/>
      <c r="J316" s="1505"/>
      <c r="K316" s="1505"/>
      <c r="L316" s="1506"/>
      <c r="M316" s="1506"/>
      <c r="N316" s="1506"/>
      <c r="O316" s="1507"/>
      <c r="P316" s="1141">
        <f>VLOOKUP(B316,'111'!B50:V112,21,FALSE)</f>
        <v>5927193</v>
      </c>
      <c r="Q316" s="1519">
        <f t="shared" si="31"/>
        <v>2.5329884615384617</v>
      </c>
      <c r="R316" s="1606">
        <v>2340000</v>
      </c>
      <c r="S316" s="1618">
        <f t="shared" si="32"/>
        <v>5927193</v>
      </c>
      <c r="T316" s="1142">
        <f t="shared" si="35"/>
        <v>304</v>
      </c>
      <c r="U316" s="1143">
        <f>VLOOKUP(B316,'[16]CN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_xlfn.AGGREGATE(4,7,A$12:A316)+1</f>
        <v>305</v>
      </c>
      <c r="B317" s="1476" t="s">
        <v>2102</v>
      </c>
      <c r="C317" s="1497"/>
      <c r="D317" s="1498"/>
      <c r="E317" s="1058" t="str">
        <f>VLOOKUP(B317,TH.Q2!B230:E561,4,FALSE)</f>
        <v>NV Phòng Quản trị - Dịch vụ</v>
      </c>
      <c r="F317" s="1503"/>
      <c r="G317" s="1500"/>
      <c r="H317" s="1504"/>
      <c r="I317" s="1505"/>
      <c r="J317" s="1505"/>
      <c r="K317" s="1505"/>
      <c r="L317" s="1506"/>
      <c r="M317" s="1506"/>
      <c r="N317" s="1506"/>
      <c r="O317" s="1507"/>
      <c r="P317" s="1141">
        <f>VLOOKUP(B317,'111'!B51:V113,21,FALSE)</f>
        <v>4402763</v>
      </c>
      <c r="Q317" s="1519">
        <f t="shared" si="31"/>
        <v>1.8815226495726496</v>
      </c>
      <c r="R317" s="1606">
        <v>2340000</v>
      </c>
      <c r="S317" s="1618">
        <f t="shared" si="32"/>
        <v>4402763</v>
      </c>
      <c r="T317" s="1142">
        <f t="shared" si="35"/>
        <v>305</v>
      </c>
      <c r="U317" s="1143">
        <f>VLOOKUP(B317,'[16]CN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_xlfn.AGGREGATE(4,7,A$12:A317)+1</f>
        <v>306</v>
      </c>
      <c r="B318" s="1476" t="s">
        <v>2106</v>
      </c>
      <c r="C318" s="1497"/>
      <c r="D318" s="1498"/>
      <c r="E318" s="1058" t="str">
        <f>VLOOKUP(B318,TH.Q2!B231:E562,4,FALSE)</f>
        <v>Nhân viên phòng Thanh tra GD - Quan hệ DN</v>
      </c>
      <c r="F318" s="1503"/>
      <c r="G318" s="1500"/>
      <c r="H318" s="1504"/>
      <c r="I318" s="1505"/>
      <c r="J318" s="1505"/>
      <c r="K318" s="1505"/>
      <c r="L318" s="1506"/>
      <c r="M318" s="1506"/>
      <c r="N318" s="1506"/>
      <c r="O318" s="1507"/>
      <c r="P318" s="1141">
        <f>VLOOKUP(B318,'111'!B52:V114,21,FALSE)</f>
        <v>4843039.666666666</v>
      </c>
      <c r="Q318" s="1519">
        <f t="shared" si="31"/>
        <v>2.0696750712250709</v>
      </c>
      <c r="R318" s="1606">
        <v>2340000</v>
      </c>
      <c r="S318" s="1618">
        <f t="shared" si="32"/>
        <v>4843039.666666666</v>
      </c>
      <c r="T318" s="1142">
        <f t="shared" si="35"/>
        <v>306</v>
      </c>
      <c r="U318" s="1143" t="str">
        <f>VLOOKUP(B318,'[16]CN HĐ'!$H$10:$M$73,6,FALSE)</f>
        <v>Trừ 1 ngày nghỉ phép 19/10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_xlfn.AGGREGATE(4,7,A$12:A318)+1</f>
        <v>307</v>
      </c>
      <c r="B319" s="1476" t="s">
        <v>2108</v>
      </c>
      <c r="C319" s="1497"/>
      <c r="D319" s="1498"/>
      <c r="E319" s="1058" t="str">
        <f>VLOOKUP(B319,TH.Q2!B232:E563,4,FALSE)</f>
        <v>Nhân viên phòng Thanh tra GD - Quan hệ DN</v>
      </c>
      <c r="F319" s="1503"/>
      <c r="G319" s="1500"/>
      <c r="H319" s="1504"/>
      <c r="I319" s="1505"/>
      <c r="J319" s="1505"/>
      <c r="K319" s="1505"/>
      <c r="L319" s="1506"/>
      <c r="M319" s="1506"/>
      <c r="N319" s="1506"/>
      <c r="O319" s="1507"/>
      <c r="P319" s="1141">
        <f>VLOOKUP(B319,'111'!B53:V115,21,FALSE)</f>
        <v>3784973.916666667</v>
      </c>
      <c r="Q319" s="1519">
        <f t="shared" si="31"/>
        <v>1.617510220797721</v>
      </c>
      <c r="R319" s="1606">
        <v>2340000</v>
      </c>
      <c r="S319" s="1618">
        <f t="shared" si="32"/>
        <v>3784973.916666667</v>
      </c>
      <c r="T319" s="1142">
        <f t="shared" si="35"/>
        <v>307</v>
      </c>
      <c r="U319" s="1143">
        <f>VLOOKUP(B319,'[16]CN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_xlfn.AGGREGATE(4,7,A$12:A319)+1</f>
        <v>308</v>
      </c>
      <c r="B320" s="1476" t="s">
        <v>2109</v>
      </c>
      <c r="C320" s="1497"/>
      <c r="D320" s="1498"/>
      <c r="E320" s="1058" t="str">
        <f>VLOOKUP(B320,TH.Q2!B233:E564,4,FALSE)</f>
        <v>Nhân viên phòng Thanh tra GD - Quan hệ DN</v>
      </c>
      <c r="F320" s="1503"/>
      <c r="G320" s="1500"/>
      <c r="H320" s="1504"/>
      <c r="I320" s="1505"/>
      <c r="J320" s="1505"/>
      <c r="K320" s="1505"/>
      <c r="L320" s="1506"/>
      <c r="M320" s="1506"/>
      <c r="N320" s="1506"/>
      <c r="O320" s="1507"/>
      <c r="P320" s="1141">
        <f>VLOOKUP(B320,'111'!B54:V116,21,FALSE)</f>
        <v>0</v>
      </c>
      <c r="Q320" s="1519">
        <f t="shared" si="31"/>
        <v>0</v>
      </c>
      <c r="R320" s="1606">
        <v>2340000</v>
      </c>
      <c r="S320" s="1618">
        <f t="shared" si="32"/>
        <v>0</v>
      </c>
      <c r="T320" s="1142">
        <f t="shared" si="35"/>
        <v>308</v>
      </c>
      <c r="U320" s="1143" t="str">
        <f>VLOOKUP(B320,'[16]CN HĐ'!$H$10:$M$73,6,FALSE)</f>
        <v>Trừ 2 ngày nghỉ phép 7+19/10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_xlfn.AGGREGATE(4,7,A$12:A320)+1</f>
        <v>309</v>
      </c>
      <c r="B321" s="1476" t="s">
        <v>2110</v>
      </c>
      <c r="C321" s="1497"/>
      <c r="D321" s="1498"/>
      <c r="E321" s="1058" t="str">
        <f>VLOOKUP(B321,TH.Q2!B234:E565,4,FALSE)</f>
        <v>Nhân viên phòng Quản trị - Dịch vụ</v>
      </c>
      <c r="F321" s="1503"/>
      <c r="G321" s="1500"/>
      <c r="H321" s="1504"/>
      <c r="I321" s="1505"/>
      <c r="J321" s="1505"/>
      <c r="K321" s="1505"/>
      <c r="L321" s="1506"/>
      <c r="M321" s="1506"/>
      <c r="N321" s="1506"/>
      <c r="O321" s="1507"/>
      <c r="P321" s="1141">
        <f>VLOOKUP(B321,'111'!B55:V117,21,FALSE)</f>
        <v>3993436</v>
      </c>
      <c r="Q321" s="1519">
        <f t="shared" si="31"/>
        <v>1.7065965811965811</v>
      </c>
      <c r="R321" s="1606">
        <v>2340000</v>
      </c>
      <c r="S321" s="1618">
        <f t="shared" si="32"/>
        <v>3993435.9999999995</v>
      </c>
      <c r="T321" s="1142">
        <f t="shared" si="35"/>
        <v>309</v>
      </c>
      <c r="U321" s="1143" t="str">
        <f>VLOOKUP(B321,'[16]CN HĐ'!$H$10:$M$73,6,FALSE)</f>
        <v>Trừ 2 ngày nghỉ phép 26+28/10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_xlfn.AGGREGATE(4,7,A$12:A321)+1</f>
        <v>310</v>
      </c>
      <c r="B322" s="1476" t="s">
        <v>2113</v>
      </c>
      <c r="C322" s="1497"/>
      <c r="D322" s="1498"/>
      <c r="E322" s="1058" t="str">
        <f>VLOOKUP(B322,TH.Q2!B235:E566,4,FALSE)</f>
        <v>Nhân viên phòng Thanh tra GD - Quan hệ DN</v>
      </c>
      <c r="F322" s="1503"/>
      <c r="G322" s="1500"/>
      <c r="H322" s="1504"/>
      <c r="I322" s="1505"/>
      <c r="J322" s="1505"/>
      <c r="K322" s="1505"/>
      <c r="L322" s="1506"/>
      <c r="M322" s="1506"/>
      <c r="N322" s="1506"/>
      <c r="O322" s="1507"/>
      <c r="P322" s="1141">
        <f>VLOOKUP(B322,'111'!B56:V118,21,FALSE)</f>
        <v>4739446</v>
      </c>
      <c r="Q322" s="1519">
        <f t="shared" si="31"/>
        <v>2.0254042735042734</v>
      </c>
      <c r="R322" s="1606">
        <v>2340000</v>
      </c>
      <c r="S322" s="1618">
        <f t="shared" si="32"/>
        <v>4739446</v>
      </c>
      <c r="T322" s="1142">
        <f t="shared" si="35"/>
        <v>310</v>
      </c>
      <c r="U322" s="1143">
        <f>VLOOKUP(B322,'[16]CN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_xlfn.AGGREGATE(4,7,A$12:A322)+1</f>
        <v>311</v>
      </c>
      <c r="B323" s="1476" t="s">
        <v>2114</v>
      </c>
      <c r="C323" s="1497"/>
      <c r="D323" s="1498"/>
      <c r="E323" s="1058" t="str">
        <f>VLOOKUP(B323,TH.Q2!B236:E567,4,FALSE)</f>
        <v>Nhân viên phòng KHCN &amp; HTQT</v>
      </c>
      <c r="F323" s="1503"/>
      <c r="G323" s="1500"/>
      <c r="H323" s="1504"/>
      <c r="I323" s="1505"/>
      <c r="J323" s="1505"/>
      <c r="K323" s="1505"/>
      <c r="L323" s="1506"/>
      <c r="M323" s="1506"/>
      <c r="N323" s="1506"/>
      <c r="O323" s="1507"/>
      <c r="P323" s="1141">
        <f>VLOOKUP(B323,'111'!B57:V119,21,FALSE)</f>
        <v>7592991.083333333</v>
      </c>
      <c r="Q323" s="1519">
        <f t="shared" si="31"/>
        <v>3.2448679843304844</v>
      </c>
      <c r="R323" s="1606">
        <v>2340000</v>
      </c>
      <c r="S323" s="1618">
        <f t="shared" si="32"/>
        <v>7592991.083333334</v>
      </c>
      <c r="T323" s="1142">
        <f t="shared" si="35"/>
        <v>311</v>
      </c>
      <c r="U323" s="1143">
        <f>VLOOKUP(B323,'[16]CN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_xlfn.AGGREGATE(4,7,A$12:A323)+1</f>
        <v>312</v>
      </c>
      <c r="B324" s="1476" t="s">
        <v>2117</v>
      </c>
      <c r="C324" s="1497"/>
      <c r="D324" s="1498"/>
      <c r="E324" s="1058" t="str">
        <f>VLOOKUP(B324,TH.Q2!B237:E568,4,FALSE)</f>
        <v>Nhân viên phòng KHCN &amp; HTQT</v>
      </c>
      <c r="F324" s="1503"/>
      <c r="G324" s="1500"/>
      <c r="H324" s="1504"/>
      <c r="I324" s="1505"/>
      <c r="J324" s="1505"/>
      <c r="K324" s="1505"/>
      <c r="L324" s="1506"/>
      <c r="M324" s="1506"/>
      <c r="N324" s="1506"/>
      <c r="O324" s="1507"/>
      <c r="P324" s="1141">
        <f>VLOOKUP(B324,'111'!B58:V120,21,FALSE)</f>
        <v>4739446</v>
      </c>
      <c r="Q324" s="1519">
        <f t="shared" si="31"/>
        <v>2.0254042735042734</v>
      </c>
      <c r="R324" s="1606">
        <v>2340000</v>
      </c>
      <c r="S324" s="1618">
        <f t="shared" si="32"/>
        <v>4739446</v>
      </c>
      <c r="T324" s="1142">
        <f t="shared" si="35"/>
        <v>312</v>
      </c>
      <c r="U324" s="1143">
        <f>VLOOKUP(B324,'[16]CN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_xlfn.AGGREGATE(4,7,A$12:A324)+1</f>
        <v>313</v>
      </c>
      <c r="B325" s="1476" t="s">
        <v>2119</v>
      </c>
      <c r="C325" s="1497"/>
      <c r="D325" s="1498"/>
      <c r="E325" s="1058" t="str">
        <f>VLOOKUP(B325,TH.Q2!B238:E569,4,FALSE)</f>
        <v>Nhân viên phòng Thanh tra GD - Quan hệ DN</v>
      </c>
      <c r="F325" s="1503"/>
      <c r="G325" s="1500"/>
      <c r="H325" s="1504"/>
      <c r="I325" s="1505"/>
      <c r="J325" s="1505"/>
      <c r="K325" s="1505"/>
      <c r="L325" s="1506"/>
      <c r="M325" s="1506"/>
      <c r="N325" s="1506"/>
      <c r="O325" s="1507"/>
      <c r="P325" s="1141">
        <f>VLOOKUP(B325,'111'!B59:V121,21,FALSE)</f>
        <v>5529354</v>
      </c>
      <c r="Q325" s="1519">
        <f t="shared" si="31"/>
        <v>2.362971794871795</v>
      </c>
      <c r="R325" s="1606">
        <v>2340000</v>
      </c>
      <c r="S325" s="1618">
        <f t="shared" si="32"/>
        <v>5529354</v>
      </c>
      <c r="T325" s="1142">
        <f t="shared" si="35"/>
        <v>313</v>
      </c>
      <c r="U325" s="1143">
        <f>VLOOKUP(B325,'[16]CN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_xlfn.AGGREGATE(4,7,A$12:A325)+1</f>
        <v>314</v>
      </c>
      <c r="B326" s="1476" t="s">
        <v>2123</v>
      </c>
      <c r="C326" s="1497"/>
      <c r="D326" s="1498"/>
      <c r="E326" s="1058" t="str">
        <f>VLOOKUP(B326,TH.Q2!B239:E570,4,FALSE)</f>
        <v>Nhân viên phòng Thanh tra GD - Quan hệ DN</v>
      </c>
      <c r="F326" s="1503"/>
      <c r="G326" s="1500"/>
      <c r="H326" s="1504"/>
      <c r="I326" s="1505"/>
      <c r="J326" s="1505"/>
      <c r="K326" s="1505"/>
      <c r="L326" s="1506"/>
      <c r="M326" s="1506"/>
      <c r="N326" s="1506"/>
      <c r="O326" s="1507"/>
      <c r="P326" s="1141">
        <f>VLOOKUP(B326,'111'!B60:V122,21,FALSE)</f>
        <v>4402763</v>
      </c>
      <c r="Q326" s="1519">
        <f t="shared" si="31"/>
        <v>1.8815226495726496</v>
      </c>
      <c r="R326" s="1606">
        <v>2340000</v>
      </c>
      <c r="S326" s="1618">
        <f t="shared" si="32"/>
        <v>4402763</v>
      </c>
      <c r="T326" s="1142">
        <f t="shared" si="35"/>
        <v>314</v>
      </c>
      <c r="U326" s="1143" t="str">
        <f>VLOOKUP(B326,'[16]CN HĐ'!$H$10:$M$73,6,FALSE)</f>
        <v>Trừ 2 ngày nghỉ phép 14+15/10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_xlfn.AGGREGATE(4,7,A$12:A326)+1</f>
        <v>315</v>
      </c>
      <c r="B327" s="1476" t="s">
        <v>2125</v>
      </c>
      <c r="C327" s="1497"/>
      <c r="D327" s="1498"/>
      <c r="E327" s="1058" t="str">
        <f>VLOOKUP(B327,TH.Q2!B240:E571,4,FALSE)</f>
        <v>NV Phòng Tuyển sinh - Đào tạo</v>
      </c>
      <c r="F327" s="1503"/>
      <c r="G327" s="1500"/>
      <c r="H327" s="1504"/>
      <c r="I327" s="1505"/>
      <c r="J327" s="1505"/>
      <c r="K327" s="1505"/>
      <c r="L327" s="1506"/>
      <c r="M327" s="1506"/>
      <c r="N327" s="1506"/>
      <c r="O327" s="1507"/>
      <c r="P327" s="1141">
        <f>VLOOKUP(B327,'111'!B61:V123,21,FALSE)</f>
        <v>7741368</v>
      </c>
      <c r="Q327" s="1519">
        <f t="shared" si="31"/>
        <v>3.3082769230769231</v>
      </c>
      <c r="R327" s="1606">
        <v>2340000</v>
      </c>
      <c r="S327" s="1618">
        <f t="shared" si="32"/>
        <v>7741368</v>
      </c>
      <c r="T327" s="1142">
        <f t="shared" si="35"/>
        <v>315</v>
      </c>
      <c r="U327" s="1143">
        <f>VLOOKUP(B327,'[16]CN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_xlfn.AGGREGATE(4,7,A$12:A327)+1</f>
        <v>316</v>
      </c>
      <c r="B328" s="1476" t="s">
        <v>2128</v>
      </c>
      <c r="C328" s="1497"/>
      <c r="D328" s="1498"/>
      <c r="E328" s="1058" t="str">
        <f>VLOOKUP(B328,TH.Q2!B241:E572,4,FALSE)</f>
        <v>NV phòng TS - Đào tạo</v>
      </c>
      <c r="F328" s="1503"/>
      <c r="G328" s="1500"/>
      <c r="H328" s="1504"/>
      <c r="I328" s="1505"/>
      <c r="J328" s="1505"/>
      <c r="K328" s="1505"/>
      <c r="L328" s="1506"/>
      <c r="M328" s="1506"/>
      <c r="N328" s="1506"/>
      <c r="O328" s="1507"/>
      <c r="P328" s="1141">
        <f>VLOOKUP(B328,'111'!B62:V124,21,FALSE)</f>
        <v>6319262</v>
      </c>
      <c r="Q328" s="1519">
        <f t="shared" si="31"/>
        <v>2.7005393162393161</v>
      </c>
      <c r="R328" s="1606">
        <v>2340000</v>
      </c>
      <c r="S328" s="1618">
        <f t="shared" si="32"/>
        <v>6319262</v>
      </c>
      <c r="T328" s="1142">
        <f t="shared" si="35"/>
        <v>316</v>
      </c>
      <c r="U328" s="1143">
        <f>VLOOKUP(B328,'[16]CN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_xlfn.AGGREGATE(4,7,A$12:A328)+1</f>
        <v>317</v>
      </c>
      <c r="B329" s="1476" t="s">
        <v>2131</v>
      </c>
      <c r="C329" s="1497"/>
      <c r="D329" s="1498"/>
      <c r="E329" s="1058" t="str">
        <f>VLOOKUP(B329,TH.Q2!B242:E573,4,FALSE)</f>
        <v>NV phòng TS - Đào tạo</v>
      </c>
      <c r="F329" s="1503"/>
      <c r="G329" s="1500"/>
      <c r="H329" s="1504"/>
      <c r="I329" s="1505"/>
      <c r="J329" s="1505"/>
      <c r="K329" s="1505"/>
      <c r="L329" s="1506"/>
      <c r="M329" s="1506"/>
      <c r="N329" s="1506"/>
      <c r="O329" s="1507"/>
      <c r="P329" s="1141">
        <f>VLOOKUP(B329,'111'!B63:V125,21,FALSE)</f>
        <v>8283263</v>
      </c>
      <c r="Q329" s="1519">
        <f t="shared" si="31"/>
        <v>3.539855982905983</v>
      </c>
      <c r="R329" s="1606">
        <v>2340000</v>
      </c>
      <c r="S329" s="1618">
        <f t="shared" si="32"/>
        <v>8283263</v>
      </c>
      <c r="T329" s="1142">
        <f t="shared" si="35"/>
        <v>317</v>
      </c>
      <c r="U329" s="1143">
        <f>VLOOKUP(B329,'[16]CN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_xlfn.AGGREGATE(4,7,A$12:A329)+1</f>
        <v>318</v>
      </c>
      <c r="B330" s="1476" t="s">
        <v>2134</v>
      </c>
      <c r="C330" s="1497"/>
      <c r="D330" s="1498"/>
      <c r="E330" s="1058" t="str">
        <f>VLOOKUP(B330,TH.Q2!B243:E574,4,FALSE)</f>
        <v>NV phòng TS - Đào tạo</v>
      </c>
      <c r="F330" s="1503"/>
      <c r="G330" s="1500"/>
      <c r="H330" s="1504"/>
      <c r="I330" s="1505"/>
      <c r="J330" s="1505"/>
      <c r="K330" s="1505"/>
      <c r="L330" s="1506"/>
      <c r="M330" s="1506"/>
      <c r="N330" s="1506"/>
      <c r="O330" s="1507"/>
      <c r="P330" s="1141">
        <f>VLOOKUP(B330,'111'!B64:V126,21,FALSE)</f>
        <v>9483506</v>
      </c>
      <c r="Q330" s="1519">
        <f t="shared" si="31"/>
        <v>4.0527803418803421</v>
      </c>
      <c r="R330" s="1606">
        <v>2340000</v>
      </c>
      <c r="S330" s="1618">
        <f t="shared" si="32"/>
        <v>9483506</v>
      </c>
      <c r="T330" s="1142">
        <f t="shared" si="35"/>
        <v>318</v>
      </c>
      <c r="U330" s="1143">
        <f>VLOOKUP(B330,'[16]CN HĐ'!$H$10:$M$73,6,FALSE)</f>
        <v>0</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_xlfn.AGGREGATE(4,7,A$12:A330)+1</f>
        <v>319</v>
      </c>
      <c r="B331" s="1476" t="s">
        <v>2137</v>
      </c>
      <c r="C331" s="1497"/>
      <c r="D331" s="1498"/>
      <c r="E331" s="1058" t="str">
        <f>VLOOKUP(B331,TH.Q2!B244:E575,4,FALSE)</f>
        <v>NV phòng TS - Đào tạo</v>
      </c>
      <c r="F331" s="1503"/>
      <c r="G331" s="1500"/>
      <c r="H331" s="1504"/>
      <c r="I331" s="1505"/>
      <c r="J331" s="1505"/>
      <c r="K331" s="1505"/>
      <c r="L331" s="1506"/>
      <c r="M331" s="1506"/>
      <c r="N331" s="1506"/>
      <c r="O331" s="1507"/>
      <c r="P331" s="1141">
        <f>VLOOKUP(B331,'111'!B65:V127,21,FALSE)</f>
        <v>5413697.666666666</v>
      </c>
      <c r="Q331" s="1519">
        <f t="shared" si="31"/>
        <v>2.3135460113960113</v>
      </c>
      <c r="R331" s="1606">
        <v>2340000</v>
      </c>
      <c r="S331" s="1618">
        <f t="shared" si="32"/>
        <v>5413697.666666667</v>
      </c>
      <c r="T331" s="1142">
        <f t="shared" si="35"/>
        <v>319</v>
      </c>
      <c r="U331" s="1143">
        <f>VLOOKUP(B331,'[16]CN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_xlfn.AGGREGATE(4,7,A$12:A331)+1</f>
        <v>320</v>
      </c>
      <c r="B332" s="1476" t="s">
        <v>2353</v>
      </c>
      <c r="C332" s="1497"/>
      <c r="D332" s="1498"/>
      <c r="E332" s="1058" t="str">
        <f>VLOOKUP(B332,TH.Q2!B245:E576,4,FALSE)</f>
        <v>NV Phòng Tuyển sinh - Đào tạo</v>
      </c>
      <c r="F332" s="1503"/>
      <c r="G332" s="1500"/>
      <c r="H332" s="1504"/>
      <c r="I332" s="1505"/>
      <c r="J332" s="1505"/>
      <c r="K332" s="1505"/>
      <c r="L332" s="1506"/>
      <c r="M332" s="1506"/>
      <c r="N332" s="1506"/>
      <c r="O332" s="1507"/>
      <c r="P332" s="1141">
        <f>VLOOKUP(B332,'111'!B66:V128,21,FALSE)</f>
        <v>5519488</v>
      </c>
      <c r="Q332" s="1519">
        <f t="shared" si="31"/>
        <v>2.3587555555555557</v>
      </c>
      <c r="R332" s="1606">
        <v>2340000</v>
      </c>
      <c r="S332" s="1618">
        <f t="shared" si="32"/>
        <v>5519488</v>
      </c>
      <c r="T332" s="1142">
        <f t="shared" si="35"/>
        <v>320</v>
      </c>
      <c r="U332" s="1143">
        <f>VLOOKUP(B332,'[16]CN HĐ'!$H$10:$M$73,6,FALSE)</f>
        <v>0</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_xlfn.AGGREGATE(4,7,A$12:A332)+1</f>
        <v>321</v>
      </c>
      <c r="B333" s="1478" t="s">
        <v>2138</v>
      </c>
      <c r="C333" s="1609"/>
      <c r="D333" s="1610"/>
      <c r="E333" s="490" t="str">
        <f>VLOOKUP(B333,TH.Q2!B246:E577,4,FALSE)</f>
        <v>NV TT Điều hành và QLDL</v>
      </c>
      <c r="F333" s="1611"/>
      <c r="G333" s="1612"/>
      <c r="H333" s="1613"/>
      <c r="I333" s="1614"/>
      <c r="J333" s="1614"/>
      <c r="K333" s="1614"/>
      <c r="L333" s="1615"/>
      <c r="M333" s="1615"/>
      <c r="N333" s="1615"/>
      <c r="O333" s="1616"/>
      <c r="P333" s="1339">
        <f>VLOOKUP(B333,'111'!B67:V129,21,FALSE)</f>
        <v>984722</v>
      </c>
      <c r="Q333" s="1568">
        <f t="shared" si="31"/>
        <v>0.42082136752136751</v>
      </c>
      <c r="R333" s="1617">
        <v>2340000</v>
      </c>
      <c r="S333" s="1619">
        <f t="shared" si="32"/>
        <v>984722</v>
      </c>
      <c r="T333" s="1207">
        <f t="shared" si="35"/>
        <v>321</v>
      </c>
      <c r="U333" s="1340" t="s">
        <v>2398</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_xlfn.AGGREGATE(4,7,A$12:A333)+1</f>
        <v>322</v>
      </c>
      <c r="B334" s="1476" t="s">
        <v>2142</v>
      </c>
      <c r="C334" s="1497"/>
      <c r="D334" s="1498"/>
      <c r="E334" s="1058" t="str">
        <f>VLOOKUP(B334,TH.Q2!B247:E578,4,FALSE)</f>
        <v>NV TT Điều hành và QLDL</v>
      </c>
      <c r="F334" s="1503"/>
      <c r="G334" s="1500"/>
      <c r="H334" s="1504"/>
      <c r="I334" s="1505"/>
      <c r="J334" s="1505"/>
      <c r="K334" s="1505"/>
      <c r="L334" s="1506"/>
      <c r="M334" s="1506"/>
      <c r="N334" s="1506"/>
      <c r="O334" s="1507"/>
      <c r="P334" s="1141">
        <f>VLOOKUP(B334,'111'!B68:V130,21,FALSE)</f>
        <v>4346597</v>
      </c>
      <c r="Q334" s="1519">
        <f t="shared" ref="Q334:Q342" si="36">P334/R334</f>
        <v>1.8575200854700855</v>
      </c>
      <c r="R334" s="1606">
        <v>2340000</v>
      </c>
      <c r="S334" s="1618">
        <f t="shared" ref="S334:S342" si="37">Q334*R334</f>
        <v>4346597</v>
      </c>
      <c r="T334" s="1142">
        <f t="shared" si="35"/>
        <v>322</v>
      </c>
      <c r="U334" s="1143">
        <f>VLOOKUP(B334,'[16]CN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_xlfn.AGGREGATE(4,7,A$12:A334)+1</f>
        <v>323</v>
      </c>
      <c r="B335" s="1476" t="s">
        <v>2143</v>
      </c>
      <c r="C335" s="1497"/>
      <c r="D335" s="1498"/>
      <c r="E335" s="1058" t="str">
        <f>VLOOKUP(B335,TH.Q2!B248:E579,4,FALSE)</f>
        <v>NV TT Điều hành và QLDL</v>
      </c>
      <c r="F335" s="1503"/>
      <c r="G335" s="1500"/>
      <c r="H335" s="1504"/>
      <c r="I335" s="1505"/>
      <c r="J335" s="1505"/>
      <c r="K335" s="1505"/>
      <c r="L335" s="1506"/>
      <c r="M335" s="1506"/>
      <c r="N335" s="1506"/>
      <c r="O335" s="1507"/>
      <c r="P335" s="1141" t="e">
        <f>VLOOKUP(B335,'111'!B69:V131,21,FALSE)</f>
        <v>#N/A</v>
      </c>
      <c r="Q335" s="1519" t="e">
        <f t="shared" si="36"/>
        <v>#N/A</v>
      </c>
      <c r="R335" s="1606">
        <v>2340000</v>
      </c>
      <c r="S335" s="1618" t="e">
        <f t="shared" si="37"/>
        <v>#N/A</v>
      </c>
      <c r="T335" s="1142">
        <f t="shared" si="35"/>
        <v>323</v>
      </c>
      <c r="U335" s="1143" t="str">
        <f>VLOOKUP(B335,'[16]CN HĐ'!$H$10:$M$73,6,FALSE)</f>
        <v>Trừ 1 ngày nghỉ phép 14/10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214">
        <f>_xlfn.AGGREGATE(4,7,A$12:A335)+1</f>
        <v>324</v>
      </c>
      <c r="B336" s="1488" t="s">
        <v>2144</v>
      </c>
      <c r="C336" s="1536"/>
      <c r="D336" s="1537"/>
      <c r="E336" s="579" t="str">
        <f>VLOOKUP(B336,TH.Q2!B249:E580,4,FALSE)</f>
        <v>NV phòng Khảo thí và ĐBCL</v>
      </c>
      <c r="F336" s="1542"/>
      <c r="G336" s="1539"/>
      <c r="H336" s="1543"/>
      <c r="I336" s="1544"/>
      <c r="J336" s="1544"/>
      <c r="K336" s="1544"/>
      <c r="L336" s="1545"/>
      <c r="M336" s="1545"/>
      <c r="N336" s="1545"/>
      <c r="O336" s="1546"/>
      <c r="P336" s="1349">
        <f>VLOOKUP(B336,'111'!B69:V132,21,FALSE)</f>
        <v>6212447</v>
      </c>
      <c r="Q336" s="1548">
        <f t="shared" si="36"/>
        <v>2.6548918803418804</v>
      </c>
      <c r="R336" s="1608">
        <v>2340000</v>
      </c>
      <c r="S336" s="1620">
        <f t="shared" si="37"/>
        <v>6212447</v>
      </c>
      <c r="T336" s="1221">
        <f t="shared" si="35"/>
        <v>324</v>
      </c>
      <c r="U336" s="1350" t="str">
        <f>VLOOKUP(B336,'[16]CN HĐ'!$H$10:$M$73,6,FALSE)</f>
        <v>Nghỉ hộ sản hưởng chế độ BHXH từ 09/9/2024</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_xlfn.AGGREGATE(4,7,A$12:A336)+1</f>
        <v>325</v>
      </c>
      <c r="B337" s="1476" t="s">
        <v>2147</v>
      </c>
      <c r="C337" s="1497"/>
      <c r="D337" s="1498"/>
      <c r="E337" s="1058" t="str">
        <f>VLOOKUP(B337,TH.Q2!B250:E581,4,FALSE)</f>
        <v>Khoa Động lực</v>
      </c>
      <c r="F337" s="1503"/>
      <c r="G337" s="1500"/>
      <c r="H337" s="1504"/>
      <c r="I337" s="1505"/>
      <c r="J337" s="1505"/>
      <c r="K337" s="1505"/>
      <c r="L337" s="1506"/>
      <c r="M337" s="1506"/>
      <c r="N337" s="1506"/>
      <c r="O337" s="1507"/>
      <c r="P337" s="1141">
        <f>VLOOKUP(B337,'111'!B70:V133,21,FALSE)</f>
        <v>8713279</v>
      </c>
      <c r="Q337" s="1519">
        <f t="shared" si="36"/>
        <v>3.7236235042735042</v>
      </c>
      <c r="R337" s="1606">
        <v>2340000</v>
      </c>
      <c r="S337" s="1618">
        <f t="shared" si="37"/>
        <v>8713279</v>
      </c>
      <c r="T337" s="1142">
        <f t="shared" si="35"/>
        <v>325</v>
      </c>
      <c r="U337" s="1143">
        <f>VLOOKUP(B337,'[16]CN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_xlfn.AGGREGATE(4,7,A$12:A337)+1</f>
        <v>326</v>
      </c>
      <c r="B338" s="1476" t="s">
        <v>2149</v>
      </c>
      <c r="C338" s="1497"/>
      <c r="D338" s="1498"/>
      <c r="E338" s="1058" t="str">
        <f>VLOOKUP(B338,TH.Q2!B251:E582,4,FALSE)</f>
        <v>NV - TT Đào tạo và Quản lý vật tư thiết bị</v>
      </c>
      <c r="F338" s="1503"/>
      <c r="G338" s="1500"/>
      <c r="H338" s="1504"/>
      <c r="I338" s="1505"/>
      <c r="J338" s="1505"/>
      <c r="K338" s="1505"/>
      <c r="L338" s="1506"/>
      <c r="M338" s="1506"/>
      <c r="N338" s="1506"/>
      <c r="O338" s="1507"/>
      <c r="P338" s="1141">
        <f>VLOOKUP(B338,'111'!B71:V134,21,FALSE)</f>
        <v>5031729</v>
      </c>
      <c r="Q338" s="1519">
        <f t="shared" si="36"/>
        <v>2.1503115384615383</v>
      </c>
      <c r="R338" s="1606">
        <v>2340000</v>
      </c>
      <c r="S338" s="1618">
        <f t="shared" si="37"/>
        <v>5031729</v>
      </c>
      <c r="T338" s="1142">
        <f t="shared" si="35"/>
        <v>326</v>
      </c>
      <c r="U338" s="1143">
        <f>VLOOKUP(B338,'[16]CN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_xlfn.AGGREGATE(4,7,A$12:A338)+1</f>
        <v>327</v>
      </c>
      <c r="B339" s="1476" t="s">
        <v>2151</v>
      </c>
      <c r="C339" s="1497"/>
      <c r="D339" s="1498"/>
      <c r="E339" s="1058" t="str">
        <f>VLOOKUP(B339,TH.Q2!B252:E583,4,FALSE)</f>
        <v>NV - TT Đào tạo và Quản lý vật tư thiết bị</v>
      </c>
      <c r="F339" s="1503"/>
      <c r="G339" s="1500"/>
      <c r="H339" s="1504"/>
      <c r="I339" s="1505"/>
      <c r="J339" s="1505"/>
      <c r="K339" s="1505"/>
      <c r="L339" s="1506"/>
      <c r="M339" s="1506"/>
      <c r="N339" s="1506"/>
      <c r="O339" s="1507"/>
      <c r="P339" s="1141">
        <f>VLOOKUP(B339,'111'!B72:V135,21,FALSE)</f>
        <v>1996400</v>
      </c>
      <c r="Q339" s="1519">
        <f t="shared" si="36"/>
        <v>0.85316239316239317</v>
      </c>
      <c r="R339" s="1606">
        <v>2340000</v>
      </c>
      <c r="S339" s="1618">
        <f t="shared" si="37"/>
        <v>1996400</v>
      </c>
      <c r="T339" s="1142">
        <f t="shared" si="35"/>
        <v>327</v>
      </c>
      <c r="U339" s="1143">
        <f>VLOOKUP(B339,'[16]CN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_xlfn.AGGREGATE(4,7,A$12:A339)+1</f>
        <v>328</v>
      </c>
      <c r="B340" s="1476" t="s">
        <v>2152</v>
      </c>
      <c r="C340" s="1497"/>
      <c r="D340" s="1498"/>
      <c r="E340" s="1058" t="str">
        <f>VLOOKUP(B340,TH.Q2!B253:E584,4,FALSE)</f>
        <v xml:space="preserve">NV Thư viện  </v>
      </c>
      <c r="F340" s="1503"/>
      <c r="G340" s="1500"/>
      <c r="H340" s="1504"/>
      <c r="I340" s="1505"/>
      <c r="J340" s="1505"/>
      <c r="K340" s="1505"/>
      <c r="L340" s="1506"/>
      <c r="M340" s="1506"/>
      <c r="N340" s="1506"/>
      <c r="O340" s="1507"/>
      <c r="P340" s="1141">
        <f>VLOOKUP(B340,'111'!B73:V136,21,FALSE)</f>
        <v>5313146.333333334</v>
      </c>
      <c r="Q340" s="1519">
        <f t="shared" si="36"/>
        <v>2.2705753561253563</v>
      </c>
      <c r="R340" s="1606">
        <v>2340000</v>
      </c>
      <c r="S340" s="1618">
        <f t="shared" si="37"/>
        <v>5313146.333333334</v>
      </c>
      <c r="T340" s="1142">
        <f t="shared" si="35"/>
        <v>328</v>
      </c>
      <c r="U340" s="1143">
        <f>VLOOKUP(B340,'[16]CN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_xlfn.AGGREGATE(4,7,A$12:A340)+1</f>
        <v>329</v>
      </c>
      <c r="B341" s="1476" t="s">
        <v>2155</v>
      </c>
      <c r="C341" s="1497"/>
      <c r="D341" s="1498"/>
      <c r="E341" s="1058" t="str">
        <f>VLOOKUP(B341,TH.Q2!B254:E585,4,FALSE)</f>
        <v xml:space="preserve">NV Thư viện  </v>
      </c>
      <c r="F341" s="1503"/>
      <c r="G341" s="1500"/>
      <c r="H341" s="1504"/>
      <c r="I341" s="1505"/>
      <c r="J341" s="1505"/>
      <c r="K341" s="1505"/>
      <c r="L341" s="1506"/>
      <c r="M341" s="1506"/>
      <c r="N341" s="1506"/>
      <c r="O341" s="1507"/>
      <c r="P341" s="1141">
        <f>VLOOKUP(B341,'111'!B74:V137,21,FALSE)</f>
        <v>4373763.375</v>
      </c>
      <c r="Q341" s="1519">
        <f t="shared" si="36"/>
        <v>1.8691296474358974</v>
      </c>
      <c r="R341" s="1606">
        <v>2340000</v>
      </c>
      <c r="S341" s="1618">
        <f t="shared" si="37"/>
        <v>4373763.375</v>
      </c>
      <c r="T341" s="1142">
        <f t="shared" si="35"/>
        <v>329</v>
      </c>
      <c r="U341" s="1143">
        <f>VLOOKUP(B341,'[16]CN HĐ'!$H$10:$M$73,6,FALSE)</f>
        <v>0</v>
      </c>
      <c r="V341" s="1144"/>
      <c r="W341" s="1130"/>
      <c r="X341" s="1146"/>
      <c r="Y341" s="1147"/>
      <c r="Z341" s="1146"/>
      <c r="AA341" s="1146"/>
      <c r="AB341" s="1146"/>
      <c r="AC341" s="1146"/>
      <c r="AD341" s="1146"/>
      <c r="AE341" s="1146"/>
      <c r="AF341" s="1146"/>
      <c r="AG341" s="1146"/>
      <c r="AH341" s="1146"/>
      <c r="AI341" s="1146"/>
    </row>
    <row r="342" spans="1:35" s="1248" customFormat="1" ht="21.75" customHeight="1">
      <c r="A342" s="1132">
        <f>_xlfn.AGGREGATE(4,7,A$12:A341)+1</f>
        <v>330</v>
      </c>
      <c r="B342" s="1595" t="s">
        <v>2156</v>
      </c>
      <c r="C342" s="1596"/>
      <c r="D342" s="1597"/>
      <c r="E342" s="1598" t="str">
        <f>VLOOKUP(B342,TH.Q2!B255:E586,4,FALSE)</f>
        <v xml:space="preserve">NV Thư viện  </v>
      </c>
      <c r="F342" s="1599"/>
      <c r="G342" s="1599"/>
      <c r="H342" s="1599"/>
      <c r="I342" s="1599"/>
      <c r="J342" s="1599"/>
      <c r="K342" s="1599"/>
      <c r="L342" s="1600">
        <f t="shared" ref="L342" si="38">SUM(L13:L278)</f>
        <v>6118</v>
      </c>
      <c r="M342" s="1600"/>
      <c r="N342" s="1600"/>
      <c r="O342" s="1601"/>
      <c r="P342" s="1605">
        <f>VLOOKUP(B342,'111'!B75:V138,21,FALSE)</f>
        <v>5426192</v>
      </c>
      <c r="Q342" s="1607">
        <f t="shared" si="36"/>
        <v>2.31888547008547</v>
      </c>
      <c r="R342" s="1606">
        <v>2340000</v>
      </c>
      <c r="S342" s="1618">
        <f t="shared" si="37"/>
        <v>5426192</v>
      </c>
      <c r="T342" s="1142">
        <f t="shared" si="35"/>
        <v>330</v>
      </c>
      <c r="U342" s="1535">
        <f>VLOOKUP(B342,'[16]CN HĐ'!$H$10:$M$73,6,FALSE)</f>
        <v>0</v>
      </c>
      <c r="V342" s="1246"/>
      <c r="W342" s="1247"/>
      <c r="Y342" s="1249"/>
    </row>
    <row r="343" spans="1:35" s="1248" customFormat="1" ht="21.75" customHeight="1">
      <c r="A343" s="1237"/>
      <c r="B343" s="1625" t="s">
        <v>2191</v>
      </c>
      <c r="C343" s="1602"/>
      <c r="D343" s="1603"/>
      <c r="E343" s="1604"/>
      <c r="F343" s="1241"/>
      <c r="G343" s="1241"/>
      <c r="H343" s="1241"/>
      <c r="I343" s="1241"/>
      <c r="J343" s="1241"/>
      <c r="K343" s="1241"/>
      <c r="L343" s="1242"/>
      <c r="M343" s="1242"/>
      <c r="N343" s="1242"/>
      <c r="O343" s="1243"/>
      <c r="P343" s="1242"/>
      <c r="Q343" s="1621" t="e">
        <f>SUM(Q13:Q342)</f>
        <v>#N/A</v>
      </c>
      <c r="R343" s="1242"/>
      <c r="S343" s="1242" t="e">
        <f>SUM(S13:S342)</f>
        <v>#N/A</v>
      </c>
      <c r="T343" s="1716"/>
      <c r="U343" s="1717"/>
      <c r="V343" s="1246"/>
      <c r="W343" s="1247"/>
      <c r="Y343" s="1249"/>
    </row>
    <row r="344" spans="1:35" ht="2.25" customHeight="1">
      <c r="L344" s="1124"/>
      <c r="M344" s="1124"/>
      <c r="N344" s="1124"/>
      <c r="O344" s="1124"/>
      <c r="P344" s="1404"/>
      <c r="Q344" s="1404"/>
      <c r="R344" s="1404"/>
      <c r="S344" s="1404"/>
    </row>
    <row r="345" spans="1:35" s="1120" customFormat="1" ht="21.75" customHeight="1">
      <c r="B345" s="1622" t="s">
        <v>2401</v>
      </c>
      <c r="C345" s="1622"/>
      <c r="D345" s="1622"/>
      <c r="E345" s="1622"/>
      <c r="F345" s="1622"/>
      <c r="G345" s="1622"/>
      <c r="H345" s="1622"/>
      <c r="I345" s="1622"/>
      <c r="J345" s="1622"/>
      <c r="K345" s="1622"/>
      <c r="L345" s="1622"/>
      <c r="M345" s="1622"/>
      <c r="N345" s="1622"/>
      <c r="O345" s="1622"/>
      <c r="P345" s="1406"/>
      <c r="Q345" s="1406"/>
      <c r="R345" s="1406"/>
      <c r="S345" s="1406"/>
      <c r="U345" s="1407"/>
      <c r="V345" s="1125"/>
      <c r="W345" s="1126"/>
      <c r="Y345" s="1127"/>
    </row>
    <row r="346" spans="1:35" s="1120" customFormat="1" ht="18" customHeight="1">
      <c r="B346" s="1408"/>
      <c r="C346" s="1121"/>
      <c r="D346" s="1121"/>
      <c r="E346" s="1121"/>
      <c r="F346" s="1405"/>
      <c r="G346" s="1405"/>
      <c r="H346" s="1405"/>
      <c r="I346" s="1405"/>
      <c r="J346" s="1467">
        <f>COUNTIF($J$13:$J$278,"A2")</f>
        <v>46</v>
      </c>
      <c r="K346" s="1405"/>
      <c r="L346" s="1715" t="s">
        <v>2396</v>
      </c>
      <c r="M346" s="1715"/>
      <c r="N346" s="1715"/>
      <c r="O346" s="1715"/>
      <c r="P346" s="1715"/>
      <c r="Q346" s="1715"/>
      <c r="R346" s="1715"/>
      <c r="S346" s="1715"/>
      <c r="T346" s="1715"/>
      <c r="U346" s="1715"/>
      <c r="V346" s="1125"/>
      <c r="W346" s="1126"/>
      <c r="Y346" s="1127"/>
    </row>
    <row r="347" spans="1:35">
      <c r="J347" s="1467">
        <f>COUNTIF($J$13:$J$278,"A3")</f>
        <v>93</v>
      </c>
      <c r="O347" s="1119" t="s">
        <v>2303</v>
      </c>
      <c r="P347" s="1119"/>
      <c r="Q347" s="1119"/>
      <c r="R347" s="1119"/>
      <c r="S347" s="1704" t="s">
        <v>2303</v>
      </c>
      <c r="T347" s="1704"/>
      <c r="U347" s="1704"/>
    </row>
    <row r="348" spans="1:35" s="1120" customFormat="1">
      <c r="A348" s="1704" t="s">
        <v>859</v>
      </c>
      <c r="B348" s="1704"/>
      <c r="C348" s="1704"/>
      <c r="D348" s="1704"/>
      <c r="E348" s="1704"/>
      <c r="F348" s="1704"/>
      <c r="G348" s="1704"/>
      <c r="H348" s="1704"/>
      <c r="I348" s="1704"/>
      <c r="J348" s="1704" t="s">
        <v>1191</v>
      </c>
      <c r="K348" s="1704"/>
      <c r="L348" s="1704"/>
      <c r="M348" s="1704"/>
      <c r="N348" s="1704"/>
      <c r="O348" s="1121" t="s">
        <v>2304</v>
      </c>
      <c r="P348" s="1121"/>
      <c r="Q348" s="1704" t="s">
        <v>1191</v>
      </c>
      <c r="R348" s="1704"/>
      <c r="S348" s="1704" t="s">
        <v>2304</v>
      </c>
      <c r="T348" s="1704"/>
      <c r="U348" s="1704"/>
      <c r="V348" s="1125"/>
      <c r="W348" s="1126"/>
      <c r="Y348" s="1127"/>
    </row>
    <row r="349" spans="1:35" s="1120" customFormat="1" ht="11.25" customHeight="1">
      <c r="A349" s="1586"/>
      <c r="B349" s="1586"/>
      <c r="C349" s="1121"/>
      <c r="D349" s="1121"/>
      <c r="E349" s="1121"/>
      <c r="F349" s="1586"/>
      <c r="G349" s="1586"/>
      <c r="H349" s="1586"/>
      <c r="I349" s="1586"/>
      <c r="J349" s="1586"/>
      <c r="K349" s="1586"/>
      <c r="L349" s="1586"/>
      <c r="M349" s="1586"/>
      <c r="N349" s="1586"/>
      <c r="O349" s="1121"/>
      <c r="P349" s="1704"/>
      <c r="Q349" s="1704"/>
      <c r="R349" s="1704"/>
      <c r="S349" s="1704"/>
      <c r="T349" s="1704"/>
      <c r="U349" s="1704"/>
      <c r="V349" s="1125"/>
      <c r="W349" s="1126"/>
      <c r="Y349" s="1127"/>
    </row>
    <row r="350" spans="1:35" s="1120" customFormat="1" ht="10.5" customHeight="1">
      <c r="A350" s="1586"/>
      <c r="B350" s="1586"/>
      <c r="C350" s="1121"/>
      <c r="D350" s="1121"/>
      <c r="E350" s="1121"/>
      <c r="F350" s="1586"/>
      <c r="G350" s="1586"/>
      <c r="H350" s="1586"/>
      <c r="I350" s="1586"/>
      <c r="J350" s="1594">
        <f>COUNTIF($J$13:$J$278,"A1")</f>
        <v>47</v>
      </c>
      <c r="K350" s="1586"/>
      <c r="L350" s="1586"/>
      <c r="M350" s="1586"/>
      <c r="N350" s="1586"/>
      <c r="O350" s="1121"/>
      <c r="P350" s="1586"/>
      <c r="Q350" s="1586"/>
      <c r="R350" s="1586"/>
      <c r="S350" s="1586"/>
      <c r="U350" s="1267"/>
      <c r="V350" s="1125"/>
      <c r="W350" s="1126"/>
      <c r="Y350" s="1127"/>
    </row>
    <row r="351" spans="1:35" s="1120" customFormat="1" ht="13.5" customHeight="1">
      <c r="J351" s="1594">
        <f>COUNTIF($J$13:$J$278,"A2")</f>
        <v>46</v>
      </c>
      <c r="L351" s="1586"/>
      <c r="M351" s="1586"/>
      <c r="N351" s="1586"/>
      <c r="O351" s="1589"/>
      <c r="P351" s="1589"/>
      <c r="Q351" s="1589"/>
      <c r="R351" s="1589"/>
      <c r="S351" s="1589"/>
      <c r="U351" s="1124"/>
      <c r="V351" s="1125"/>
      <c r="W351" s="1126"/>
      <c r="Y351" s="1127"/>
    </row>
    <row r="352" spans="1:35" s="1120" customFormat="1" ht="13.5" customHeight="1">
      <c r="J352" s="1594">
        <f>COUNTIF($J$13:$J$278,"A3")</f>
        <v>93</v>
      </c>
      <c r="L352" s="1586"/>
      <c r="M352" s="1586"/>
      <c r="N352" s="1586"/>
      <c r="O352" s="1589"/>
      <c r="P352" s="1589"/>
      <c r="Q352" s="1589"/>
      <c r="R352" s="1589"/>
      <c r="S352" s="1589"/>
      <c r="U352" s="1409"/>
      <c r="V352" s="1125"/>
      <c r="W352" s="1126"/>
      <c r="Y352" s="1127"/>
    </row>
    <row r="353" spans="1:25" s="1120" customFormat="1" ht="13.5" customHeight="1">
      <c r="J353" s="1594">
        <f>COUNTIF($J$13:$J$278,"A4")</f>
        <v>78</v>
      </c>
      <c r="L353" s="1586"/>
      <c r="M353" s="1586"/>
      <c r="N353" s="1586"/>
      <c r="O353" s="1589"/>
      <c r="P353" s="1410"/>
      <c r="Q353" s="1410"/>
      <c r="R353" s="1410"/>
      <c r="S353" s="1410"/>
      <c r="U353" s="1124"/>
      <c r="V353" s="1125"/>
      <c r="W353" s="1126"/>
      <c r="Y353" s="1127"/>
    </row>
    <row r="354" spans="1:25" s="1120" customFormat="1" ht="13.5" customHeight="1">
      <c r="F354" s="1589"/>
      <c r="G354" s="1589"/>
      <c r="H354" s="1589"/>
      <c r="I354" s="1589"/>
      <c r="J354" s="1594"/>
      <c r="K354" s="1589"/>
      <c r="L354" s="1589"/>
      <c r="M354" s="1589"/>
      <c r="N354" s="1589"/>
      <c r="O354" s="1589"/>
      <c r="P354" s="1589"/>
      <c r="Q354" s="1589"/>
      <c r="R354" s="1589"/>
      <c r="S354" s="1589"/>
      <c r="U354" s="1409"/>
      <c r="V354" s="1125"/>
      <c r="W354" s="1126"/>
      <c r="Y354" s="1127"/>
    </row>
    <row r="355" spans="1:25" s="1120" customFormat="1" ht="13.5" customHeight="1">
      <c r="F355" s="1589"/>
      <c r="G355" s="1589"/>
      <c r="H355" s="1589"/>
      <c r="I355" s="1589"/>
      <c r="J355" s="1589"/>
      <c r="K355" s="1589"/>
      <c r="L355" s="1589"/>
      <c r="M355" s="1589"/>
      <c r="N355" s="1589"/>
      <c r="O355" s="1589"/>
      <c r="P355" s="1589"/>
      <c r="Q355" s="1589"/>
      <c r="R355" s="1589"/>
      <c r="S355" s="1589"/>
      <c r="U355" s="1124"/>
      <c r="V355" s="1125"/>
      <c r="W355" s="1126"/>
      <c r="Y355" s="1127"/>
    </row>
    <row r="356" spans="1:25" s="1120" customFormat="1">
      <c r="A356" s="1704" t="s">
        <v>1827</v>
      </c>
      <c r="B356" s="1704"/>
      <c r="C356" s="1704"/>
      <c r="D356" s="1704"/>
      <c r="E356" s="1704"/>
      <c r="F356" s="1704"/>
      <c r="G356" s="1704"/>
      <c r="H356" s="1704"/>
      <c r="I356" s="1704"/>
      <c r="J356" s="1704" t="s">
        <v>1445</v>
      </c>
      <c r="K356" s="1704"/>
      <c r="L356" s="1704"/>
      <c r="M356" s="1704"/>
      <c r="N356" s="1704"/>
      <c r="O356" s="1121" t="s">
        <v>1447</v>
      </c>
      <c r="P356" s="1121"/>
      <c r="Q356" s="1704" t="s">
        <v>1445</v>
      </c>
      <c r="R356" s="1704"/>
      <c r="S356" s="1704" t="s">
        <v>1447</v>
      </c>
      <c r="T356" s="1704"/>
      <c r="U356" s="1704"/>
      <c r="V356" s="1125"/>
      <c r="W356" s="1126"/>
      <c r="Y356" s="1127"/>
    </row>
    <row r="357" spans="1:25" ht="15.75">
      <c r="A357" s="1412"/>
    </row>
    <row r="358" spans="1:25" ht="15.75" customHeight="1">
      <c r="A358" s="1412"/>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927" priority="86" stopIfTrue="1" operator="equal">
      <formula>"KXL"</formula>
    </cfRule>
    <cfRule type="cellIs" dxfId="926" priority="87" stopIfTrue="1" operator="equal">
      <formula>"A DN"</formula>
    </cfRule>
    <cfRule type="cellIs" dxfId="925" priority="88" stopIfTrue="1" operator="equal">
      <formula>"C"</formula>
    </cfRule>
    <cfRule type="cellIs" dxfId="924" priority="89" stopIfTrue="1" operator="equal">
      <formula>"B"</formula>
    </cfRule>
  </conditionalFormatting>
  <conditionalFormatting sqref="B270">
    <cfRule type="cellIs" dxfId="923" priority="82" stopIfTrue="1" operator="equal">
      <formula>"KXL"</formula>
    </cfRule>
    <cfRule type="cellIs" dxfId="922" priority="83" stopIfTrue="1" operator="equal">
      <formula>"A DN"</formula>
    </cfRule>
    <cfRule type="cellIs" dxfId="921" priority="84" stopIfTrue="1" operator="equal">
      <formula>"C"</formula>
    </cfRule>
    <cfRule type="cellIs" dxfId="920" priority="85" stopIfTrue="1" operator="equal">
      <formula>"B"</formula>
    </cfRule>
  </conditionalFormatting>
  <conditionalFormatting sqref="B51 W51:IR51 W64:IR64 W117:IR117">
    <cfRule type="cellIs" dxfId="919" priority="79" stopIfTrue="1" operator="equal">
      <formula>"C"</formula>
    </cfRule>
    <cfRule type="cellIs" dxfId="918" priority="80" stopIfTrue="1" operator="equal">
      <formula>"B"</formula>
    </cfRule>
    <cfRule type="cellIs" dxfId="917" priority="81" stopIfTrue="1" operator="equal">
      <formula>"A DN"</formula>
    </cfRule>
  </conditionalFormatting>
  <conditionalFormatting sqref="B64">
    <cfRule type="cellIs" dxfId="916" priority="76" stopIfTrue="1" operator="equal">
      <formula>"C"</formula>
    </cfRule>
    <cfRule type="cellIs" dxfId="915" priority="77" stopIfTrue="1" operator="equal">
      <formula>"B"</formula>
    </cfRule>
    <cfRule type="cellIs" dxfId="914" priority="78" stopIfTrue="1" operator="equal">
      <formula>"A DN"</formula>
    </cfRule>
  </conditionalFormatting>
  <conditionalFormatting sqref="B117">
    <cfRule type="cellIs" dxfId="913" priority="73" stopIfTrue="1" operator="equal">
      <formula>"C"</formula>
    </cfRule>
    <cfRule type="cellIs" dxfId="912" priority="74" stopIfTrue="1" operator="equal">
      <formula>"B"</formula>
    </cfRule>
    <cfRule type="cellIs" dxfId="911" priority="75" stopIfTrue="1" operator="equal">
      <formula>"A DN"</formula>
    </cfRule>
  </conditionalFormatting>
  <conditionalFormatting sqref="D117">
    <cfRule type="cellIs" dxfId="910" priority="69" stopIfTrue="1" operator="equal">
      <formula>"KXL"</formula>
    </cfRule>
    <cfRule type="cellIs" dxfId="909" priority="70" stopIfTrue="1" operator="equal">
      <formula>"A DN"</formula>
    </cfRule>
    <cfRule type="cellIs" dxfId="908" priority="71" stopIfTrue="1" operator="equal">
      <formula>"C"</formula>
    </cfRule>
    <cfRule type="cellIs" dxfId="907" priority="72" stopIfTrue="1" operator="equal">
      <formula>"B"</formula>
    </cfRule>
  </conditionalFormatting>
  <conditionalFormatting sqref="C18:D18">
    <cfRule type="cellIs" dxfId="906" priority="65" stopIfTrue="1" operator="equal">
      <formula>"KXL"</formula>
    </cfRule>
    <cfRule type="cellIs" dxfId="905" priority="66" stopIfTrue="1" operator="equal">
      <formula>"A DN"</formula>
    </cfRule>
    <cfRule type="cellIs" dxfId="904" priority="67" stopIfTrue="1" operator="equal">
      <formula>"C"</formula>
    </cfRule>
    <cfRule type="cellIs" dxfId="903" priority="68" stopIfTrue="1" operator="equal">
      <formula>"B"</formula>
    </cfRule>
  </conditionalFormatting>
  <conditionalFormatting sqref="C37:D37 C38">
    <cfRule type="cellIs" dxfId="902" priority="61" stopIfTrue="1" operator="equal">
      <formula>"KXL"</formula>
    </cfRule>
    <cfRule type="cellIs" dxfId="901" priority="62" stopIfTrue="1" operator="equal">
      <formula>"A DN"</formula>
    </cfRule>
    <cfRule type="cellIs" dxfId="900" priority="63" stopIfTrue="1" operator="equal">
      <formula>"C"</formula>
    </cfRule>
    <cfRule type="cellIs" dxfId="899" priority="64" stopIfTrue="1" operator="equal">
      <formula>"B"</formula>
    </cfRule>
  </conditionalFormatting>
  <conditionalFormatting sqref="T84">
    <cfRule type="cellIs" dxfId="898" priority="57" stopIfTrue="1" operator="equal">
      <formula>"KXL"</formula>
    </cfRule>
    <cfRule type="cellIs" dxfId="897" priority="58" stopIfTrue="1" operator="equal">
      <formula>"A DN"</formula>
    </cfRule>
    <cfRule type="cellIs" dxfId="896" priority="59" stopIfTrue="1" operator="equal">
      <formula>"C"</formula>
    </cfRule>
    <cfRule type="cellIs" dxfId="895" priority="60" stopIfTrue="1" operator="equal">
      <formula>"B"</formula>
    </cfRule>
  </conditionalFormatting>
  <conditionalFormatting sqref="W84:IR84 C84:D84">
    <cfRule type="cellIs" dxfId="894" priority="53" stopIfTrue="1" operator="equal">
      <formula>"KXL"</formula>
    </cfRule>
    <cfRule type="cellIs" dxfId="893" priority="54" stopIfTrue="1" operator="equal">
      <formula>"A DN"</formula>
    </cfRule>
    <cfRule type="cellIs" dxfId="892" priority="55" stopIfTrue="1" operator="equal">
      <formula>"C"</formula>
    </cfRule>
    <cfRule type="cellIs" dxfId="891" priority="56" stopIfTrue="1" operator="equal">
      <formula>"B"</formula>
    </cfRule>
  </conditionalFormatting>
  <conditionalFormatting sqref="F270:G341 F39:G50 F86:G116 F52:G63 F19:G36 F65:G83 F13:G17 I86:I116 I52:I63 I19:I36 I13:I17 I39:I50 I65:I84">
    <cfRule type="cellIs" dxfId="890" priority="49" stopIfTrue="1" operator="equal">
      <formula>"KXL"</formula>
    </cfRule>
    <cfRule type="cellIs" dxfId="889" priority="50" stopIfTrue="1" operator="equal">
      <formula>"A DN"</formula>
    </cfRule>
    <cfRule type="cellIs" dxfId="888" priority="51" stopIfTrue="1" operator="equal">
      <formula>"C"</formula>
    </cfRule>
    <cfRule type="cellIs" dxfId="887" priority="52" stopIfTrue="1" operator="equal">
      <formula>"B"</formula>
    </cfRule>
  </conditionalFormatting>
  <conditionalFormatting sqref="F51:G51 I51">
    <cfRule type="cellIs" dxfId="886" priority="46" stopIfTrue="1" operator="equal">
      <formula>"C"</formula>
    </cfRule>
    <cfRule type="cellIs" dxfId="885" priority="47" stopIfTrue="1" operator="equal">
      <formula>"B"</formula>
    </cfRule>
    <cfRule type="cellIs" dxfId="884" priority="48" stopIfTrue="1" operator="equal">
      <formula>"A DN"</formula>
    </cfRule>
  </conditionalFormatting>
  <conditionalFormatting sqref="F64:G64 I64">
    <cfRule type="cellIs" dxfId="883" priority="43" stopIfTrue="1" operator="equal">
      <formula>"C"</formula>
    </cfRule>
    <cfRule type="cellIs" dxfId="882" priority="44" stopIfTrue="1" operator="equal">
      <formula>"B"</formula>
    </cfRule>
    <cfRule type="cellIs" dxfId="881" priority="45" stopIfTrue="1" operator="equal">
      <formula>"A DN"</formula>
    </cfRule>
  </conditionalFormatting>
  <conditionalFormatting sqref="F117:G117 I117">
    <cfRule type="cellIs" dxfId="880" priority="40" stopIfTrue="1" operator="equal">
      <formula>"C"</formula>
    </cfRule>
    <cfRule type="cellIs" dxfId="879" priority="41" stopIfTrue="1" operator="equal">
      <formula>"B"</formula>
    </cfRule>
    <cfRule type="cellIs" dxfId="878" priority="42" stopIfTrue="1" operator="equal">
      <formula>"A DN"</formula>
    </cfRule>
  </conditionalFormatting>
  <conditionalFormatting sqref="F18:G18 I18">
    <cfRule type="cellIs" dxfId="877" priority="36" stopIfTrue="1" operator="equal">
      <formula>"KXL"</formula>
    </cfRule>
    <cfRule type="cellIs" dxfId="876" priority="37" stopIfTrue="1" operator="equal">
      <formula>"A DN"</formula>
    </cfRule>
    <cfRule type="cellIs" dxfId="875" priority="38" stopIfTrue="1" operator="equal">
      <formula>"C"</formula>
    </cfRule>
    <cfRule type="cellIs" dxfId="874" priority="39" stopIfTrue="1" operator="equal">
      <formula>"B"</formula>
    </cfRule>
  </conditionalFormatting>
  <conditionalFormatting sqref="I37:I38 F37:G38">
    <cfRule type="cellIs" dxfId="873" priority="32" stopIfTrue="1" operator="equal">
      <formula>"KXL"</formula>
    </cfRule>
    <cfRule type="cellIs" dxfId="872" priority="33" stopIfTrue="1" operator="equal">
      <formula>"A DN"</formula>
    </cfRule>
    <cfRule type="cellIs" dxfId="871" priority="34" stopIfTrue="1" operator="equal">
      <formula>"C"</formula>
    </cfRule>
    <cfRule type="cellIs" dxfId="870" priority="35" stopIfTrue="1" operator="equal">
      <formula>"B"</formula>
    </cfRule>
  </conditionalFormatting>
  <conditionalFormatting sqref="F84:G84">
    <cfRule type="cellIs" dxfId="869" priority="28" stopIfTrue="1" operator="equal">
      <formula>"KXL"</formula>
    </cfRule>
    <cfRule type="cellIs" dxfId="868" priority="29" stopIfTrue="1" operator="equal">
      <formula>"A DN"</formula>
    </cfRule>
    <cfRule type="cellIs" dxfId="867" priority="30" stopIfTrue="1" operator="equal">
      <formula>"C"</formula>
    </cfRule>
    <cfRule type="cellIs" dxfId="866" priority="31" stopIfTrue="1" operator="equal">
      <formula>"B"</formula>
    </cfRule>
  </conditionalFormatting>
  <conditionalFormatting sqref="J13:J341">
    <cfRule type="cellIs" dxfId="865" priority="21" operator="equal">
      <formula>"A DN"</formula>
    </cfRule>
    <cfRule type="cellIs" dxfId="864" priority="22" operator="equal">
      <formula>"KXL"</formula>
    </cfRule>
    <cfRule type="cellIs" dxfId="863" priority="23" operator="equal">
      <formula>"D"</formula>
    </cfRule>
    <cfRule type="cellIs" dxfId="862" priority="24" operator="equal">
      <formula>"C2"</formula>
    </cfRule>
    <cfRule type="cellIs" dxfId="861" priority="25" operator="equal">
      <formula>"C1"</formula>
    </cfRule>
    <cfRule type="cellIs" dxfId="860" priority="26" operator="equal">
      <formula>"B2"</formula>
    </cfRule>
    <cfRule type="cellIs" dxfId="859" priority="27" operator="equal">
      <formula>"B1"</formula>
    </cfRule>
  </conditionalFormatting>
  <conditionalFormatting sqref="E10">
    <cfRule type="cellIs" dxfId="858" priority="17" stopIfTrue="1" operator="equal">
      <formula>"KXL"</formula>
    </cfRule>
    <cfRule type="cellIs" dxfId="857" priority="18" stopIfTrue="1" operator="equal">
      <formula>"A DN"</formula>
    </cfRule>
    <cfRule type="cellIs" dxfId="856" priority="19" stopIfTrue="1" operator="equal">
      <formula>"C"</formula>
    </cfRule>
    <cfRule type="cellIs" dxfId="855" priority="20" stopIfTrue="1" operator="equal">
      <formula>"B"</formula>
    </cfRule>
  </conditionalFormatting>
  <conditionalFormatting sqref="K11">
    <cfRule type="cellIs" dxfId="854" priority="13" stopIfTrue="1" operator="equal">
      <formula>"KXL"</formula>
    </cfRule>
    <cfRule type="cellIs" dxfId="853" priority="14" stopIfTrue="1" operator="equal">
      <formula>"A DN"</formula>
    </cfRule>
    <cfRule type="cellIs" dxfId="852" priority="15" stopIfTrue="1" operator="equal">
      <formula>"C"</formula>
    </cfRule>
    <cfRule type="cellIs" dxfId="851" priority="16" stopIfTrue="1" operator="equal">
      <formula>"B"</formula>
    </cfRule>
  </conditionalFormatting>
  <conditionalFormatting sqref="B299:B309">
    <cfRule type="cellIs" dxfId="850" priority="9" stopIfTrue="1" operator="equal">
      <formula>"KXL"</formula>
    </cfRule>
    <cfRule type="cellIs" dxfId="849" priority="10" stopIfTrue="1" operator="equal">
      <formula>"A DN"</formula>
    </cfRule>
    <cfRule type="cellIs" dxfId="848" priority="11" stopIfTrue="1" operator="equal">
      <formula>"C"</formula>
    </cfRule>
    <cfRule type="cellIs" dxfId="847" priority="12" stopIfTrue="1" operator="equal">
      <formula>"B"</formula>
    </cfRule>
  </conditionalFormatting>
  <conditionalFormatting sqref="B282:B294">
    <cfRule type="cellIs" dxfId="846" priority="5" stopIfTrue="1" operator="equal">
      <formula>"KXL"</formula>
    </cfRule>
    <cfRule type="cellIs" dxfId="845" priority="6" stopIfTrue="1" operator="equal">
      <formula>"A DN"</formula>
    </cfRule>
    <cfRule type="cellIs" dxfId="844" priority="7" stopIfTrue="1" operator="equal">
      <formula>"C"</formula>
    </cfRule>
    <cfRule type="cellIs" dxfId="843" priority="8" stopIfTrue="1" operator="equal">
      <formula>"B"</formula>
    </cfRule>
  </conditionalFormatting>
  <conditionalFormatting sqref="A5">
    <cfRule type="cellIs" dxfId="842" priority="1" stopIfTrue="1" operator="equal">
      <formula>"KXL"</formula>
    </cfRule>
    <cfRule type="cellIs" dxfId="841" priority="2" stopIfTrue="1" operator="equal">
      <formula>"A DN"</formula>
    </cfRule>
    <cfRule type="cellIs" dxfId="840" priority="3" stopIfTrue="1" operator="equal">
      <formula>"C"</formula>
    </cfRule>
    <cfRule type="cellIs" dxfId="839" priority="4" stopIfTrue="1" operator="equal">
      <formula>"B"</formula>
    </cfRule>
  </conditionalFormatting>
  <dataValidations count="1">
    <dataValidation type="list" allowBlank="1" showInputMessage="1" showErrorMessage="1" sqref="Y17">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421"/>
  <sheetViews>
    <sheetView zoomScale="120" zoomScaleNormal="120" workbookViewId="0">
      <selection activeCell="A6" sqref="A6:AJ6"/>
    </sheetView>
  </sheetViews>
  <sheetFormatPr defaultRowHeight="15"/>
  <cols>
    <col min="1" max="1" width="5.5703125" style="1272" customWidth="1"/>
    <col min="2" max="2" width="23.85546875" style="1272" customWidth="1"/>
    <col min="3" max="3" width="17.7109375" style="1272" hidden="1" customWidth="1"/>
    <col min="4" max="4" width="16" style="1120" hidden="1" customWidth="1"/>
    <col min="5" max="5" width="18.5703125" style="1120" customWidth="1"/>
    <col min="6" max="6" width="7.42578125" style="1272" hidden="1" customWidth="1"/>
    <col min="7" max="8" width="7.42578125" style="1413" hidden="1" customWidth="1"/>
    <col min="9" max="19" width="7.42578125" style="1272" hidden="1" customWidth="1"/>
    <col min="20" max="20" width="8.28515625" style="1272" hidden="1" customWidth="1"/>
    <col min="21" max="25" width="7.42578125" style="1272" hidden="1" customWidth="1"/>
    <col min="26" max="26" width="7.140625" style="1272" hidden="1" customWidth="1"/>
    <col min="27" max="27" width="7.7109375" style="1272" hidden="1" customWidth="1"/>
    <col min="28" max="30" width="9.140625" style="1272" hidden="1" customWidth="1"/>
    <col min="31" max="31" width="18.85546875" style="1272" hidden="1" customWidth="1"/>
    <col min="32" max="32" width="14" style="1272" customWidth="1"/>
    <col min="33" max="33" width="12.140625" style="1272" customWidth="1"/>
    <col min="34" max="34" width="18" style="1272" customWidth="1"/>
    <col min="35" max="35" width="3.85546875" style="1272" customWidth="1"/>
    <col min="36" max="36" width="15.28515625" style="1124" customWidth="1"/>
    <col min="37" max="37" width="23.5703125" style="1270" bestFit="1" customWidth="1"/>
    <col min="38" max="38" width="7.28515625" style="1271" customWidth="1"/>
    <col min="39" max="39" width="12.85546875" style="1272" customWidth="1"/>
    <col min="40" max="40" width="50" style="1273" customWidth="1"/>
    <col min="41" max="16384" width="9.140625" style="1272"/>
  </cols>
  <sheetData>
    <row r="1" spans="1:40">
      <c r="A1" s="1703" t="s">
        <v>492</v>
      </c>
      <c r="B1" s="1703"/>
      <c r="C1" s="1703"/>
      <c r="D1" s="1703"/>
      <c r="E1" s="1703"/>
      <c r="F1" s="1120"/>
      <c r="G1" s="1120"/>
      <c r="H1" s="1120"/>
      <c r="I1" s="1120"/>
      <c r="J1" s="1120"/>
      <c r="K1" s="1120"/>
      <c r="L1" s="1120"/>
      <c r="M1" s="1120"/>
      <c r="N1" s="1120"/>
      <c r="O1" s="1120"/>
      <c r="P1" s="1120"/>
      <c r="Q1" s="1120"/>
      <c r="R1" s="1120"/>
      <c r="S1" s="1704" t="s">
        <v>849</v>
      </c>
      <c r="T1" s="1704"/>
      <c r="U1" s="1704"/>
      <c r="V1" s="1704"/>
      <c r="W1" s="1704"/>
      <c r="X1" s="1704"/>
      <c r="Y1" s="1704"/>
      <c r="Z1" s="1704"/>
      <c r="AA1" s="1704"/>
      <c r="AB1" s="1704"/>
      <c r="AC1" s="1704"/>
      <c r="AD1" s="1704"/>
      <c r="AE1" s="1704"/>
      <c r="AF1" s="1704"/>
      <c r="AG1" s="1704"/>
      <c r="AH1" s="1704"/>
      <c r="AI1" s="1704"/>
      <c r="AJ1" s="1704"/>
    </row>
    <row r="2" spans="1:40" ht="15" customHeight="1">
      <c r="A2" s="1704" t="s">
        <v>1563</v>
      </c>
      <c r="B2" s="1704"/>
      <c r="C2" s="1704"/>
      <c r="D2" s="1704"/>
      <c r="E2" s="1704"/>
      <c r="F2" s="1121"/>
      <c r="G2" s="1121"/>
      <c r="H2" s="1121"/>
      <c r="I2" s="1121"/>
      <c r="J2" s="1121"/>
      <c r="K2" s="1121"/>
      <c r="L2" s="1121"/>
      <c r="M2" s="1121"/>
      <c r="N2" s="1121"/>
      <c r="O2" s="1121"/>
      <c r="P2" s="1121"/>
      <c r="Q2" s="1121"/>
      <c r="R2" s="1121"/>
      <c r="S2" s="1704" t="s">
        <v>2179</v>
      </c>
      <c r="T2" s="1704"/>
      <c r="U2" s="1704"/>
      <c r="V2" s="1704"/>
      <c r="W2" s="1704"/>
      <c r="X2" s="1704"/>
      <c r="Y2" s="1704"/>
      <c r="Z2" s="1704"/>
      <c r="AA2" s="1704"/>
      <c r="AB2" s="1704"/>
      <c r="AC2" s="1704"/>
      <c r="AD2" s="1704"/>
      <c r="AE2" s="1704"/>
      <c r="AF2" s="1704"/>
      <c r="AG2" s="1704"/>
      <c r="AH2" s="1704"/>
      <c r="AI2" s="1704"/>
      <c r="AJ2" s="1704"/>
    </row>
    <row r="3" spans="1:40" ht="16.5" customHeight="1">
      <c r="A3" s="1704" t="s">
        <v>1564</v>
      </c>
      <c r="B3" s="1704"/>
      <c r="C3" s="1704"/>
      <c r="D3" s="1704"/>
      <c r="E3" s="1704"/>
      <c r="F3" s="1121"/>
      <c r="G3" s="1121"/>
      <c r="H3" s="1121"/>
      <c r="I3" s="1121"/>
      <c r="J3" s="1121"/>
      <c r="K3" s="1121"/>
      <c r="L3" s="1121"/>
      <c r="M3" s="1121"/>
      <c r="N3" s="1121"/>
      <c r="O3" s="1121"/>
      <c r="P3" s="1121"/>
      <c r="Q3" s="1121"/>
      <c r="R3" s="1121"/>
      <c r="S3" s="1121"/>
      <c r="T3" s="1121"/>
      <c r="U3" s="1121"/>
      <c r="V3" s="1121"/>
      <c r="W3" s="1121"/>
      <c r="X3" s="1365"/>
      <c r="Y3" s="1365"/>
      <c r="Z3" s="1365"/>
      <c r="AA3" s="1387"/>
      <c r="AB3" s="1387"/>
      <c r="AC3" s="1387"/>
      <c r="AD3" s="1387"/>
      <c r="AE3" s="1388"/>
      <c r="AF3" s="1388"/>
      <c r="AG3" s="1388"/>
      <c r="AH3" s="1726" t="s">
        <v>2180</v>
      </c>
      <c r="AI3" s="1726"/>
      <c r="AJ3" s="1726"/>
    </row>
    <row r="4" spans="1:40" ht="18" customHeight="1">
      <c r="A4" s="1389"/>
      <c r="B4" s="1389"/>
      <c r="C4" s="1389"/>
      <c r="D4" s="1389"/>
      <c r="E4" s="1389"/>
      <c r="F4" s="1389"/>
      <c r="G4" s="1389"/>
      <c r="H4" s="1389"/>
      <c r="I4" s="1389"/>
      <c r="J4" s="1389"/>
      <c r="K4" s="1389"/>
      <c r="L4" s="1389"/>
      <c r="M4" s="1389"/>
      <c r="N4" s="1389"/>
      <c r="O4" s="1389"/>
      <c r="P4" s="1389"/>
      <c r="Q4" s="1389"/>
      <c r="R4" s="1389"/>
      <c r="S4" s="1389"/>
      <c r="T4" s="1389"/>
      <c r="U4" s="1389"/>
      <c r="V4" s="1389"/>
      <c r="W4" s="1389"/>
      <c r="X4" s="1389"/>
      <c r="Y4" s="1389"/>
      <c r="Z4" s="1389"/>
      <c r="AA4" s="1387"/>
      <c r="AB4" s="1387"/>
      <c r="AC4" s="1387"/>
      <c r="AD4" s="1387"/>
      <c r="AE4" s="1388"/>
      <c r="AF4" s="1388"/>
      <c r="AG4" s="1388"/>
      <c r="AH4" s="1725" t="s">
        <v>2181</v>
      </c>
      <c r="AI4" s="1725"/>
      <c r="AJ4" s="1725"/>
    </row>
    <row r="5" spans="1:40" ht="18" customHeight="1">
      <c r="A5" s="1389"/>
      <c r="B5" s="1389"/>
      <c r="C5" s="1389"/>
      <c r="D5" s="1389"/>
      <c r="E5" s="1389"/>
      <c r="F5" s="1389"/>
      <c r="G5" s="1389"/>
      <c r="H5" s="1389"/>
      <c r="I5" s="1389"/>
      <c r="J5" s="1389"/>
      <c r="K5" s="1389"/>
      <c r="L5" s="1389"/>
      <c r="M5" s="1389"/>
      <c r="N5" s="1389"/>
      <c r="O5" s="1389"/>
      <c r="P5" s="1389"/>
      <c r="Q5" s="1389"/>
      <c r="R5" s="1389"/>
      <c r="S5" s="1389"/>
      <c r="T5" s="1389"/>
      <c r="U5" s="1389"/>
      <c r="V5" s="1389"/>
      <c r="W5" s="1389"/>
      <c r="X5" s="1389"/>
      <c r="Y5" s="1389"/>
      <c r="Z5" s="1389"/>
      <c r="AA5" s="1387"/>
      <c r="AB5" s="1387"/>
      <c r="AC5" s="1387"/>
      <c r="AD5" s="1387"/>
      <c r="AE5" s="1388"/>
      <c r="AF5" s="1388"/>
      <c r="AG5" s="1388"/>
      <c r="AH5" s="1725" t="s">
        <v>2182</v>
      </c>
      <c r="AI5" s="1725"/>
      <c r="AJ5" s="1725"/>
    </row>
    <row r="6" spans="1:40"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1690"/>
      <c r="AD6" s="1690"/>
      <c r="AE6" s="1690"/>
      <c r="AF6" s="1690"/>
      <c r="AG6" s="1690"/>
      <c r="AH6" s="1690"/>
      <c r="AI6" s="1690"/>
      <c r="AJ6" s="1690"/>
    </row>
    <row r="7" spans="1:40" s="722" customFormat="1" ht="18" customHeight="1">
      <c r="A7" s="1690" t="s">
        <v>2386</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1690"/>
      <c r="AD7" s="1690"/>
      <c r="AE7" s="1690"/>
      <c r="AF7" s="1690"/>
      <c r="AG7" s="1690"/>
      <c r="AH7" s="1690"/>
      <c r="AI7" s="1690"/>
      <c r="AJ7" s="1690"/>
    </row>
    <row r="8" spans="1:40" ht="18.75" hidden="1" customHeight="1">
      <c r="A8" s="1706" t="s">
        <v>2373</v>
      </c>
      <c r="B8" s="1706"/>
      <c r="C8" s="1706"/>
      <c r="D8" s="1706"/>
      <c r="E8" s="1706"/>
      <c r="F8" s="1706"/>
      <c r="G8" s="1706"/>
      <c r="H8" s="1706"/>
      <c r="I8" s="1706"/>
      <c r="J8" s="1706"/>
      <c r="K8" s="1706"/>
      <c r="L8" s="1706"/>
      <c r="M8" s="1706"/>
      <c r="N8" s="1706"/>
      <c r="O8" s="1706"/>
      <c r="P8" s="1706"/>
      <c r="Q8" s="1706"/>
      <c r="R8" s="1706"/>
      <c r="S8" s="1706"/>
      <c r="T8" s="1706"/>
      <c r="U8" s="1706"/>
      <c r="V8" s="1706"/>
      <c r="W8" s="1706"/>
      <c r="X8" s="1706"/>
      <c r="Y8" s="1706"/>
      <c r="Z8" s="1706"/>
      <c r="AA8" s="1706"/>
      <c r="AB8" s="1706"/>
      <c r="AC8" s="1706"/>
      <c r="AD8" s="1706"/>
      <c r="AE8" s="1706"/>
      <c r="AF8" s="1706"/>
      <c r="AG8" s="1706"/>
      <c r="AH8" s="1706"/>
      <c r="AI8" s="1706"/>
      <c r="AJ8" s="1706"/>
    </row>
    <row r="9" spans="1:40" ht="18.75" hidden="1" customHeight="1">
      <c r="A9" s="1706" t="s">
        <v>1600</v>
      </c>
      <c r="B9" s="1706"/>
      <c r="C9" s="1706"/>
      <c r="D9" s="1706"/>
      <c r="E9" s="1706"/>
      <c r="F9" s="1706"/>
      <c r="G9" s="1706"/>
      <c r="H9" s="1706"/>
      <c r="I9" s="1706"/>
      <c r="J9" s="1706"/>
      <c r="K9" s="1706"/>
      <c r="L9" s="1706"/>
      <c r="M9" s="1706"/>
      <c r="N9" s="1706"/>
      <c r="O9" s="1706"/>
      <c r="P9" s="1706"/>
      <c r="Q9" s="1706"/>
      <c r="R9" s="1706"/>
      <c r="S9" s="1706"/>
      <c r="T9" s="1706"/>
      <c r="U9" s="1706"/>
      <c r="V9" s="1706"/>
      <c r="W9" s="1706"/>
      <c r="X9" s="1706"/>
      <c r="Y9" s="1706"/>
      <c r="Z9" s="1706"/>
      <c r="AA9" s="1706"/>
      <c r="AB9" s="1706"/>
      <c r="AC9" s="1706"/>
      <c r="AD9" s="1706"/>
      <c r="AE9" s="1706"/>
      <c r="AF9" s="1706"/>
      <c r="AG9" s="1706"/>
      <c r="AH9" s="1706"/>
      <c r="AI9" s="1706"/>
      <c r="AJ9" s="1706"/>
    </row>
    <row r="10" spans="1:40" ht="54" hidden="1" customHeight="1">
      <c r="A10" s="1707" t="s">
        <v>2261</v>
      </c>
      <c r="B10" s="1707"/>
      <c r="C10" s="1707"/>
      <c r="D10" s="1707"/>
      <c r="E10" s="1707"/>
      <c r="F10" s="1707"/>
      <c r="G10" s="1707"/>
      <c r="H10" s="1707"/>
      <c r="I10" s="1707"/>
      <c r="J10" s="1707"/>
      <c r="K10" s="1707"/>
      <c r="L10" s="1707"/>
      <c r="M10" s="1707"/>
      <c r="N10" s="1707"/>
      <c r="O10" s="1707"/>
      <c r="P10" s="1707"/>
      <c r="Q10" s="1707"/>
      <c r="R10" s="1707"/>
      <c r="S10" s="1707"/>
      <c r="T10" s="1707"/>
      <c r="U10" s="1707"/>
      <c r="V10" s="1707"/>
      <c r="W10" s="1707"/>
      <c r="X10" s="1707"/>
      <c r="Y10" s="1707"/>
      <c r="Z10" s="1707"/>
      <c r="AA10" s="1707"/>
      <c r="AB10" s="1707"/>
      <c r="AC10" s="1707"/>
      <c r="AD10" s="1707"/>
      <c r="AE10" s="1707"/>
      <c r="AF10" s="1707"/>
      <c r="AG10" s="1707"/>
      <c r="AH10" s="1707"/>
      <c r="AI10" s="1707"/>
      <c r="AJ10" s="1707"/>
    </row>
    <row r="11" spans="1:40" s="1120" customFormat="1" ht="16.5" hidden="1" customHeight="1">
      <c r="A11" s="1119" t="s">
        <v>2370</v>
      </c>
      <c r="C11" s="1121"/>
      <c r="D11" s="1121"/>
      <c r="E11" s="1121"/>
      <c r="F11" s="1365"/>
      <c r="G11" s="1122"/>
      <c r="H11" s="1122"/>
      <c r="I11" s="1387"/>
      <c r="J11" s="1387"/>
      <c r="K11" s="1387"/>
      <c r="L11" s="1387"/>
      <c r="M11" s="1387"/>
      <c r="N11" s="1387"/>
      <c r="O11" s="1387"/>
      <c r="P11" s="1387"/>
      <c r="Q11" s="1387"/>
      <c r="R11" s="1387"/>
      <c r="S11" s="1387"/>
      <c r="T11" s="1387"/>
      <c r="U11" s="1387"/>
      <c r="V11" s="1387"/>
      <c r="W11" s="1387"/>
      <c r="X11" s="1387"/>
      <c r="Y11" s="1387"/>
      <c r="Z11" s="1387"/>
      <c r="AA11" s="1708"/>
      <c r="AB11" s="1708"/>
      <c r="AC11" s="1708"/>
      <c r="AD11" s="1708"/>
      <c r="AE11" s="1366" t="s">
        <v>1181</v>
      </c>
      <c r="AF11" s="1366"/>
      <c r="AG11" s="1366"/>
      <c r="AH11" s="1366"/>
      <c r="AI11" s="1387"/>
      <c r="AJ11" s="1124"/>
      <c r="AK11" s="1125"/>
      <c r="AL11" s="1126"/>
      <c r="AN11" s="1127"/>
    </row>
    <row r="12" spans="1:40" ht="17.25" hidden="1" customHeight="1">
      <c r="A12" s="1124"/>
      <c r="B12" s="1119"/>
      <c r="C12" s="1119"/>
      <c r="D12" s="1121"/>
      <c r="E12" s="1121"/>
      <c r="F12" s="1267"/>
      <c r="G12" s="1268"/>
      <c r="H12" s="1268"/>
      <c r="I12" s="1124"/>
      <c r="J12" s="1124"/>
      <c r="K12" s="1124"/>
      <c r="L12" s="1124"/>
      <c r="M12" s="1124"/>
      <c r="N12" s="1124"/>
      <c r="O12" s="1124"/>
      <c r="P12" s="1124"/>
      <c r="Q12" s="1124"/>
      <c r="R12" s="1124"/>
      <c r="S12" s="1124"/>
      <c r="T12" s="1709" t="s">
        <v>2372</v>
      </c>
      <c r="U12" s="1709"/>
      <c r="V12" s="1709"/>
      <c r="W12" s="1709"/>
      <c r="X12" s="1124"/>
      <c r="Y12" s="1124"/>
      <c r="Z12" s="1124"/>
      <c r="AA12" s="1124">
        <v>23</v>
      </c>
      <c r="AB12" s="1124">
        <v>22</v>
      </c>
      <c r="AC12" s="1124">
        <v>19</v>
      </c>
      <c r="AD12" s="1404" t="s">
        <v>2371</v>
      </c>
      <c r="AE12" s="1464">
        <v>2340000</v>
      </c>
      <c r="AF12" s="1269"/>
      <c r="AG12" s="1269"/>
      <c r="AH12" s="1269"/>
      <c r="AI12" s="1124"/>
    </row>
    <row r="13" spans="1:40" ht="11.25" customHeight="1">
      <c r="A13" s="1124"/>
      <c r="B13" s="1119"/>
      <c r="C13" s="1119"/>
      <c r="D13" s="1121"/>
      <c r="E13" s="1121"/>
      <c r="F13" s="1267"/>
      <c r="G13" s="1268"/>
      <c r="H13" s="1268"/>
      <c r="I13" s="1124"/>
      <c r="J13" s="1124"/>
      <c r="K13" s="1124"/>
      <c r="L13" s="1124"/>
      <c r="M13" s="1124"/>
      <c r="N13" s="1124"/>
      <c r="O13" s="1124"/>
      <c r="P13" s="1124"/>
      <c r="Q13" s="1124"/>
      <c r="R13" s="1124"/>
      <c r="S13" s="1124"/>
      <c r="T13" s="1465"/>
      <c r="U13" s="1465"/>
      <c r="V13" s="1465"/>
      <c r="W13" s="1465"/>
      <c r="X13" s="1124"/>
      <c r="Y13" s="1124"/>
      <c r="Z13" s="1124"/>
      <c r="AA13" s="1124"/>
      <c r="AB13" s="1124"/>
      <c r="AC13" s="1124"/>
      <c r="AD13" s="1404"/>
      <c r="AE13" s="1464"/>
      <c r="AF13" s="1269"/>
      <c r="AG13" s="1269"/>
      <c r="AH13" s="1269"/>
      <c r="AI13" s="1124"/>
    </row>
    <row r="14" spans="1:40" s="1527" customFormat="1" ht="15" customHeight="1">
      <c r="A14" s="1710" t="s">
        <v>853</v>
      </c>
      <c r="B14" s="1710" t="s">
        <v>854</v>
      </c>
      <c r="C14" s="1523" t="s">
        <v>1598</v>
      </c>
      <c r="D14" s="1524" t="s">
        <v>50</v>
      </c>
      <c r="E14" s="1710" t="s">
        <v>2176</v>
      </c>
      <c r="F14" s="1730" t="s">
        <v>2359</v>
      </c>
      <c r="G14" s="1731"/>
      <c r="H14" s="1731"/>
      <c r="I14" s="1732"/>
      <c r="J14" s="1730" t="s">
        <v>2263</v>
      </c>
      <c r="K14" s="1731"/>
      <c r="L14" s="1731"/>
      <c r="M14" s="1732"/>
      <c r="N14" s="1730" t="s">
        <v>2264</v>
      </c>
      <c r="O14" s="1731"/>
      <c r="P14" s="1731"/>
      <c r="Q14" s="1732"/>
      <c r="R14" s="1730" t="s">
        <v>860</v>
      </c>
      <c r="S14" s="1731"/>
      <c r="T14" s="1731"/>
      <c r="U14" s="1731"/>
      <c r="V14" s="1731"/>
      <c r="W14" s="1732"/>
      <c r="X14" s="1525"/>
      <c r="Y14" s="1525"/>
      <c r="Z14" s="1525"/>
      <c r="AA14" s="1730" t="s">
        <v>2268</v>
      </c>
      <c r="AB14" s="1731"/>
      <c r="AC14" s="1732"/>
      <c r="AD14" s="1710" t="s">
        <v>2269</v>
      </c>
      <c r="AE14" s="1710" t="s">
        <v>1100</v>
      </c>
      <c r="AF14" s="1710" t="s">
        <v>2172</v>
      </c>
      <c r="AG14" s="1710" t="s">
        <v>2173</v>
      </c>
      <c r="AH14" s="1710" t="s">
        <v>1100</v>
      </c>
      <c r="AI14" s="1719" t="s">
        <v>40</v>
      </c>
      <c r="AJ14" s="1720"/>
      <c r="AK14" s="1526"/>
      <c r="AN14" s="1528"/>
    </row>
    <row r="15" spans="1:40" s="1527" customFormat="1" ht="10.5" customHeight="1">
      <c r="A15" s="1711"/>
      <c r="B15" s="1711"/>
      <c r="C15" s="1523"/>
      <c r="D15" s="1524"/>
      <c r="E15" s="1711"/>
      <c r="F15" s="1710" t="s">
        <v>2356</v>
      </c>
      <c r="G15" s="1733" t="s">
        <v>2357</v>
      </c>
      <c r="H15" s="1733" t="s">
        <v>2262</v>
      </c>
      <c r="I15" s="1710" t="s">
        <v>2358</v>
      </c>
      <c r="J15" s="1710" t="s">
        <v>2356</v>
      </c>
      <c r="K15" s="1733" t="s">
        <v>2357</v>
      </c>
      <c r="L15" s="1733" t="s">
        <v>2262</v>
      </c>
      <c r="M15" s="1710" t="s">
        <v>2358</v>
      </c>
      <c r="N15" s="1710" t="s">
        <v>2356</v>
      </c>
      <c r="O15" s="1733" t="s">
        <v>2357</v>
      </c>
      <c r="P15" s="1733" t="s">
        <v>2262</v>
      </c>
      <c r="Q15" s="1710" t="s">
        <v>2358</v>
      </c>
      <c r="R15" s="1730" t="s">
        <v>2265</v>
      </c>
      <c r="S15" s="1732"/>
      <c r="T15" s="1730" t="s">
        <v>2266</v>
      </c>
      <c r="U15" s="1732"/>
      <c r="V15" s="1730" t="s">
        <v>2267</v>
      </c>
      <c r="W15" s="1732"/>
      <c r="X15" s="1710" t="s">
        <v>2265</v>
      </c>
      <c r="Y15" s="1710" t="s">
        <v>2266</v>
      </c>
      <c r="Z15" s="1710" t="s">
        <v>2267</v>
      </c>
      <c r="AA15" s="1710" t="s">
        <v>2265</v>
      </c>
      <c r="AB15" s="1710" t="s">
        <v>2266</v>
      </c>
      <c r="AC15" s="1710" t="s">
        <v>2267</v>
      </c>
      <c r="AD15" s="1711"/>
      <c r="AE15" s="1711"/>
      <c r="AF15" s="1711"/>
      <c r="AG15" s="1711"/>
      <c r="AH15" s="1711"/>
      <c r="AI15" s="1721"/>
      <c r="AJ15" s="1722"/>
      <c r="AK15" s="1526"/>
      <c r="AN15" s="1528"/>
    </row>
    <row r="16" spans="1:40" s="1384" customFormat="1" ht="4.5" hidden="1" customHeight="1">
      <c r="A16" s="1718"/>
      <c r="B16" s="1718"/>
      <c r="C16" s="1380"/>
      <c r="D16" s="1381"/>
      <c r="E16" s="1718"/>
      <c r="F16" s="1718"/>
      <c r="G16" s="1734"/>
      <c r="H16" s="1734"/>
      <c r="I16" s="1718"/>
      <c r="J16" s="1718"/>
      <c r="K16" s="1734"/>
      <c r="L16" s="1734"/>
      <c r="M16" s="1718"/>
      <c r="N16" s="1718"/>
      <c r="O16" s="1734"/>
      <c r="P16" s="1734"/>
      <c r="Q16" s="1718"/>
      <c r="R16" s="1386" t="s">
        <v>2270</v>
      </c>
      <c r="S16" s="1386" t="s">
        <v>2271</v>
      </c>
      <c r="T16" s="1386" t="s">
        <v>2270</v>
      </c>
      <c r="U16" s="1386" t="s">
        <v>2271</v>
      </c>
      <c r="V16" s="1386" t="s">
        <v>2270</v>
      </c>
      <c r="W16" s="1386" t="s">
        <v>2271</v>
      </c>
      <c r="X16" s="1718"/>
      <c r="Y16" s="1718"/>
      <c r="Z16" s="1718"/>
      <c r="AA16" s="1718"/>
      <c r="AB16" s="1718"/>
      <c r="AC16" s="1718"/>
      <c r="AD16" s="1718"/>
      <c r="AE16" s="1718"/>
      <c r="AF16" s="1718"/>
      <c r="AG16" s="1511"/>
      <c r="AH16" s="1511"/>
      <c r="AI16" s="1728"/>
      <c r="AJ16" s="1729"/>
      <c r="AK16" s="1383"/>
      <c r="AN16" s="1385"/>
    </row>
    <row r="17" spans="1:50" s="1130" customFormat="1" ht="15" customHeight="1">
      <c r="A17" s="1128" t="s">
        <v>1110</v>
      </c>
      <c r="B17" s="1128" t="s">
        <v>1111</v>
      </c>
      <c r="C17" s="1128" t="s">
        <v>1112</v>
      </c>
      <c r="D17" s="1128" t="s">
        <v>1113</v>
      </c>
      <c r="E17" s="1128" t="s">
        <v>1112</v>
      </c>
      <c r="F17" s="1128" t="s">
        <v>1114</v>
      </c>
      <c r="G17" s="1128" t="s">
        <v>1115</v>
      </c>
      <c r="H17" s="1128" t="s">
        <v>1116</v>
      </c>
      <c r="I17" s="1128" t="s">
        <v>1117</v>
      </c>
      <c r="J17" s="1128" t="s">
        <v>1118</v>
      </c>
      <c r="K17" s="1128" t="s">
        <v>1119</v>
      </c>
      <c r="L17" s="1128" t="s">
        <v>1120</v>
      </c>
      <c r="M17" s="1128" t="s">
        <v>1121</v>
      </c>
      <c r="N17" s="1128" t="s">
        <v>1122</v>
      </c>
      <c r="O17" s="1128" t="s">
        <v>1123</v>
      </c>
      <c r="P17" s="1128" t="s">
        <v>1124</v>
      </c>
      <c r="Q17" s="1128" t="s">
        <v>1125</v>
      </c>
      <c r="R17" s="1128" t="s">
        <v>1126</v>
      </c>
      <c r="S17" s="1128" t="s">
        <v>1127</v>
      </c>
      <c r="T17" s="1128" t="s">
        <v>1131</v>
      </c>
      <c r="U17" s="1128" t="s">
        <v>1132</v>
      </c>
      <c r="V17" s="1128" t="s">
        <v>1133</v>
      </c>
      <c r="W17" s="1128" t="s">
        <v>1142</v>
      </c>
      <c r="X17" s="1128"/>
      <c r="Y17" s="1128"/>
      <c r="Z17" s="1128"/>
      <c r="AA17" s="1128" t="s">
        <v>1143</v>
      </c>
      <c r="AB17" s="1128" t="s">
        <v>1144</v>
      </c>
      <c r="AC17" s="1128" t="s">
        <v>1145</v>
      </c>
      <c r="AD17" s="1128" t="s">
        <v>1146</v>
      </c>
      <c r="AE17" s="1128" t="s">
        <v>1147</v>
      </c>
      <c r="AF17" s="1466" t="s">
        <v>1113</v>
      </c>
      <c r="AG17" s="1466" t="s">
        <v>1114</v>
      </c>
      <c r="AH17" s="1466" t="s">
        <v>1115</v>
      </c>
      <c r="AI17" s="1723" t="s">
        <v>1116</v>
      </c>
      <c r="AJ17" s="1724"/>
      <c r="AK17" s="1129"/>
      <c r="AN17" s="1131"/>
    </row>
    <row r="18" spans="1:50" s="1148" customFormat="1" ht="24.75" customHeight="1">
      <c r="A18" s="1132">
        <f>_xlfn.AGGREGATE(4,7,A$17:A17)+1</f>
        <v>1</v>
      </c>
      <c r="B18" s="1509" t="s">
        <v>1433</v>
      </c>
      <c r="C18" s="1134" t="s">
        <v>1613</v>
      </c>
      <c r="D18" s="1135" t="s">
        <v>1435</v>
      </c>
      <c r="E18" s="1510" t="str">
        <f>VLOOKUP(B18,TH.T6!B23:J353,9,FALSE)</f>
        <v>Hiệu trưởng</v>
      </c>
      <c r="F18" s="1136">
        <v>5.76</v>
      </c>
      <c r="G18" s="1341">
        <v>0</v>
      </c>
      <c r="H18" s="1390">
        <f>ROUND(F18*G18,3)</f>
        <v>0</v>
      </c>
      <c r="I18" s="1342">
        <v>0.9</v>
      </c>
      <c r="J18" s="1343">
        <v>5.76</v>
      </c>
      <c r="K18" s="1341">
        <v>0</v>
      </c>
      <c r="L18" s="1390">
        <f>ROUND(J18*K18,3)</f>
        <v>0</v>
      </c>
      <c r="M18" s="1342">
        <v>0.9</v>
      </c>
      <c r="N18" s="1343">
        <v>5.76</v>
      </c>
      <c r="O18" s="1341">
        <v>0</v>
      </c>
      <c r="P18" s="1391">
        <f>ROUND(N18*O18,3)</f>
        <v>0</v>
      </c>
      <c r="Q18" s="1138">
        <v>0</v>
      </c>
      <c r="R18" s="1138" t="str">
        <f>IFERROR(INDEX('[18]Gui chi Quynh'!$E$11:$E$397,MATCH(B18,'[18]Gui chi Quynh'!$B$11:$B$397,0)),"")</f>
        <v>A1</v>
      </c>
      <c r="S18" s="1138">
        <f>IF(R18="A1",0.8,IF(R18="A2",0.7,IF(R18="A3",0.6,IF(R18="A4",0.5,IF(R18="B1",0.35,IF(R18="B2",0.25,IF(R18="C1",0.15,IF(R18="C2",0.1,0))))))))</f>
        <v>0.8</v>
      </c>
      <c r="T18" s="1138" t="str">
        <f>VLOOKUP(B18,'[19]Gui chi Quynh'!$B$11:$E$397,4,FALSE)</f>
        <v>A1</v>
      </c>
      <c r="U18" s="1138">
        <f>IF(T18="A1",0.8,IF(T18="A2",0.7,IF(T18="A3",0.6,IF(T18="A4",0.5,IF(T18="B1",0.35,IF(T18="B2",0.25,IF(T18="C1",0.15,IF(T18="C2",0.1,0))))))))</f>
        <v>0.8</v>
      </c>
      <c r="V18" s="1138" t="str">
        <f>VLOOKUP(B18,'[20]Gui chi Quynh'!$B$11:$E$396,4,FALSE)</f>
        <v>A1</v>
      </c>
      <c r="W18" s="1138">
        <f>IF(V18="A1",0.8,IF(V18="A2",0.7,IF(V18="A3",0.6,IF(V18="A4",0.5,IF(V18="B1",0.35,IF(V18="B2",0.25,IF(V18="C1",0.15,IF(V18="C2",0.1,0))))))))</f>
        <v>0.8</v>
      </c>
      <c r="X18" s="1138">
        <f>IFERROR(INDEX('[21]CN BC'!$J$10:$J$275,MATCH(B18,'[21]CN BC'!$H$10:$H$275,0)),"")</f>
        <v>26</v>
      </c>
      <c r="Y18" s="1138">
        <f>IFERROR(INDEX('[22]CN BC'!$J$10:$J$274,MATCH(B18,'[22]CN BC'!$H$10:$H$274,0)),"")</f>
        <v>27</v>
      </c>
      <c r="Z18" s="1138">
        <f>VLOOKUP(B18,'[23]CN BC'!$H$10:$J$275,3,FALSE)</f>
        <v>23</v>
      </c>
      <c r="AA18" s="1139">
        <f>IF(X18&gt;=$AA$12,$AA$12,IF(X18&lt;$AA$12,X18))</f>
        <v>23</v>
      </c>
      <c r="AB18" s="1139">
        <f>IF(Y18&gt;=$AB$12,$AB$12,IF(Y18&lt;$AB$12,Y18))</f>
        <v>22</v>
      </c>
      <c r="AC18" s="1139">
        <f>IF(Z18&gt;=$AC$12,$AC$12,IF(Z18&lt;$AC$12,Z18))</f>
        <v>19</v>
      </c>
      <c r="AD18" s="1140"/>
      <c r="AE18" s="1141">
        <f t="shared" ref="AE18:AE82" si="0">ROUND(((((((F18+H18+I18)*$AE$12/$AA$12*AA18)*S18)+((J18+L18+M18)*$AE$12/$AB$12*AB18)*U18)+((N18+P18+Q18)*$AE$12/$AC$12*AC18)*W18)+AD18),0)</f>
        <v>35717760</v>
      </c>
      <c r="AF18" s="1518">
        <f>AE18/AG18</f>
        <v>15.263999999999999</v>
      </c>
      <c r="AG18" s="1516">
        <v>2340000</v>
      </c>
      <c r="AH18" s="1520">
        <f>AF18*AG18</f>
        <v>35717760</v>
      </c>
      <c r="AI18" s="1142">
        <f t="shared" ref="AI18:AI81" si="1">A18</f>
        <v>1</v>
      </c>
      <c r="AJ18" s="1143">
        <f>IFERROR(INDEX('[17]CN BC'!$M$10:$M$276,MATCH(B18,'[17]CN BC'!$H$10:$H$276,0)),"")</f>
        <v>0</v>
      </c>
      <c r="AK18" s="1144" t="str">
        <f>VLOOKUP(B18,TH.T4!B21:AC350,28,FALSE)</f>
        <v>BGH</v>
      </c>
      <c r="AL18" s="1145"/>
      <c r="AM18" s="1705" t="str">
        <f>CONCATENATE(AJ30," và ",AK30)</f>
        <v xml:space="preserve"> và TCHC</v>
      </c>
      <c r="AN18" s="1705"/>
      <c r="AO18" s="1146"/>
      <c r="AP18" s="1146"/>
      <c r="AQ18" s="1146"/>
      <c r="AR18" s="1146"/>
      <c r="AS18" s="1146"/>
      <c r="AT18" s="1146"/>
      <c r="AU18" s="1146"/>
      <c r="AV18" s="1146"/>
      <c r="AW18" s="1146"/>
      <c r="AX18" s="1146"/>
    </row>
    <row r="19" spans="1:50" s="1148" customFormat="1" ht="27.75" customHeight="1">
      <c r="A19" s="1132">
        <f>_xlfn.AGGREGATE(4,7,A$17:A18)+1</f>
        <v>2</v>
      </c>
      <c r="B19" s="1133" t="s">
        <v>1447</v>
      </c>
      <c r="C19" s="1149" t="s">
        <v>1614</v>
      </c>
      <c r="D19" s="1150" t="s">
        <v>1442</v>
      </c>
      <c r="E19" s="1058" t="str">
        <f>VLOOKUP(B19,TH.T6!B24:J354,9,FALSE)</f>
        <v>Phó Hiệu trưởng</v>
      </c>
      <c r="F19" s="1136">
        <v>4.9800000000000004</v>
      </c>
      <c r="G19" s="1137">
        <v>7.0000000000000007E-2</v>
      </c>
      <c r="H19" s="1392">
        <f t="shared" ref="H19:H82" si="2">ROUND(F19*G19,3)</f>
        <v>0.34899999999999998</v>
      </c>
      <c r="I19" s="1138">
        <v>0.7</v>
      </c>
      <c r="J19" s="1136">
        <v>4.9800000000000004</v>
      </c>
      <c r="K19" s="1137">
        <v>7.0000000000000007E-2</v>
      </c>
      <c r="L19" s="1392">
        <f t="shared" ref="L19:L82" si="3">ROUND(J19*K19,3)</f>
        <v>0.34899999999999998</v>
      </c>
      <c r="M19" s="1138">
        <v>0.7</v>
      </c>
      <c r="N19" s="1136">
        <v>4.9800000000000004</v>
      </c>
      <c r="O19" s="1137">
        <v>7.0000000000000007E-2</v>
      </c>
      <c r="P19" s="1393">
        <f t="shared" ref="P19:P82" si="4">ROUND(N19*O19,3)</f>
        <v>0.34899999999999998</v>
      </c>
      <c r="Q19" s="1138">
        <v>0.9</v>
      </c>
      <c r="R19" s="1138" t="str">
        <f>IFERROR(INDEX('[18]Gui chi Quynh'!$E$11:$E$397,MATCH(B19,'[18]Gui chi Quynh'!$B$11:$B$397,0)),"")</f>
        <v>A1</v>
      </c>
      <c r="S19" s="1138">
        <f t="shared" ref="S19:S82" si="5">IF(R19="A1",0.8,IF(R19="A2",0.7,IF(R19="A3",0.6,IF(R19="A4",0.5,IF(R19="B1",0.35,IF(R19="B2",0.25,IF(R19="C1",0.15,IF(R19="C2",0.1,0))))))))</f>
        <v>0.8</v>
      </c>
      <c r="T19" s="1138" t="str">
        <f>VLOOKUP(B19,'[19]Gui chi Quynh'!$B$11:$E$397,4,FALSE)</f>
        <v>A1</v>
      </c>
      <c r="U19" s="1138">
        <f t="shared" ref="U19:U82" si="6">IF(T19="A1",0.8,IF(T19="A2",0.7,IF(T19="A3",0.6,IF(T19="A4",0.5,IF(T19="B1",0.35,IF(T19="B2",0.25,IF(T19="C1",0.15,IF(T19="C2",0.1,0))))))))</f>
        <v>0.8</v>
      </c>
      <c r="V19" s="1138" t="str">
        <f>VLOOKUP(B19,'[20]Gui chi Quynh'!$B$11:$E$396,4,FALSE)</f>
        <v>A1</v>
      </c>
      <c r="W19" s="1138">
        <f t="shared" ref="W19:W82" si="7">IF(V19="A1",0.8,IF(V19="A2",0.7,IF(V19="A3",0.6,IF(V19="A4",0.5,IF(V19="B1",0.35,IF(V19="B2",0.25,IF(V19="C1",0.15,IF(V19="C2",0.1,0))))))))</f>
        <v>0.8</v>
      </c>
      <c r="X19" s="1138">
        <f>IFERROR(INDEX('[21]CN BC'!$J$10:$J$275,MATCH(B19,'[21]CN BC'!$H$10:$H$275,0)),"")</f>
        <v>29</v>
      </c>
      <c r="Y19" s="1138">
        <f>IFERROR(INDEX('[22]CN BC'!$J$10:$J$274,MATCH(B19,'[22]CN BC'!$H$10:$H$274,0)),"")</f>
        <v>28</v>
      </c>
      <c r="Z19" s="1138">
        <f>VLOOKUP(B19,'[23]CN BC'!$H$10:$J$275,3,FALSE)</f>
        <v>26</v>
      </c>
      <c r="AA19" s="1139">
        <f t="shared" ref="AA19:AA82" si="8">IF(X19&gt;=$AA$12,$AA$12,IF(X19&lt;$AA$12,X19))</f>
        <v>23</v>
      </c>
      <c r="AB19" s="1139">
        <f t="shared" ref="AB19:AB82" si="9">IF(Y19&gt;=$AB$12,$AB$12,IF(Y19&lt;$AB$12,Y19))</f>
        <v>22</v>
      </c>
      <c r="AC19" s="1139">
        <f t="shared" ref="AC19:AC82" si="10">IF(Z19&gt;=$AC$12,$AC$12,IF(Z19&lt;$AC$12,Z19))</f>
        <v>19</v>
      </c>
      <c r="AD19" s="1140"/>
      <c r="AE19" s="1141">
        <f t="shared" si="0"/>
        <v>34233264</v>
      </c>
      <c r="AF19" s="1519">
        <f t="shared" ref="AF19:AF82" si="11">AE19/AG19</f>
        <v>14.6296</v>
      </c>
      <c r="AG19" s="1224">
        <v>2340000</v>
      </c>
      <c r="AH19" s="1521">
        <f t="shared" ref="AH19:AH82" si="12">AF19*AG19</f>
        <v>34233264</v>
      </c>
      <c r="AI19" s="1142">
        <f t="shared" si="1"/>
        <v>2</v>
      </c>
      <c r="AJ19" s="1143">
        <f>IFERROR(INDEX('[17]CN BC'!$M$10:$M$276,MATCH(B19,'[17]CN BC'!$H$10:$H$276,0)),"")</f>
        <v>0</v>
      </c>
      <c r="AK19" s="1144" t="str">
        <f>VLOOKUP(B19,TH.T4!B22:AC352,28,FALSE)</f>
        <v>BGH</v>
      </c>
      <c r="AL19" s="1151"/>
      <c r="AM19" s="1152"/>
      <c r="AN19" s="1147"/>
      <c r="AO19" s="1146"/>
      <c r="AP19" s="1146"/>
      <c r="AQ19" s="1146"/>
      <c r="AR19" s="1146"/>
      <c r="AS19" s="1146"/>
      <c r="AT19" s="1146"/>
      <c r="AU19" s="1146"/>
      <c r="AV19" s="1146"/>
      <c r="AW19" s="1146"/>
      <c r="AX19" s="1146"/>
    </row>
    <row r="20" spans="1:50" s="1148" customFormat="1" ht="27" customHeight="1">
      <c r="A20" s="1132">
        <f>_xlfn.AGGREGATE(4,7,A$17:A19)+1</f>
        <v>3</v>
      </c>
      <c r="B20" s="1133" t="s">
        <v>1845</v>
      </c>
      <c r="C20" s="1153" t="s">
        <v>1615</v>
      </c>
      <c r="D20" s="1154" t="s">
        <v>1255</v>
      </c>
      <c r="E20" s="1058" t="str">
        <f>VLOOKUP(B20,TH.T6!B25:J355,9,FALSE)</f>
        <v>Phó Hiệu trưởng</v>
      </c>
      <c r="F20" s="1136">
        <v>4.9800000000000004</v>
      </c>
      <c r="G20" s="1137">
        <v>0.08</v>
      </c>
      <c r="H20" s="1392">
        <f t="shared" si="2"/>
        <v>0.39800000000000002</v>
      </c>
      <c r="I20" s="1138">
        <v>0.7</v>
      </c>
      <c r="J20" s="1136">
        <v>4.9800000000000004</v>
      </c>
      <c r="K20" s="1137">
        <v>0.08</v>
      </c>
      <c r="L20" s="1392">
        <f t="shared" si="3"/>
        <v>0.39800000000000002</v>
      </c>
      <c r="M20" s="1138">
        <v>0.7</v>
      </c>
      <c r="N20" s="1136">
        <v>4.9800000000000004</v>
      </c>
      <c r="O20" s="1137">
        <v>0.08</v>
      </c>
      <c r="P20" s="1393">
        <f t="shared" si="4"/>
        <v>0.39800000000000002</v>
      </c>
      <c r="Q20" s="1138">
        <v>0.7</v>
      </c>
      <c r="R20" s="1138" t="str">
        <f>IFERROR(INDEX('[18]Gui chi Quynh'!$E$11:$E$397,MATCH(B20,'[18]Gui chi Quynh'!$B$11:$B$397,0)),"")</f>
        <v>A1</v>
      </c>
      <c r="S20" s="1138">
        <f t="shared" si="5"/>
        <v>0.8</v>
      </c>
      <c r="T20" s="1138" t="str">
        <f>VLOOKUP(B20,'[19]Gui chi Quynh'!$B$11:$E$397,4,FALSE)</f>
        <v>A1</v>
      </c>
      <c r="U20" s="1138">
        <f t="shared" si="6"/>
        <v>0.8</v>
      </c>
      <c r="V20" s="1138" t="str">
        <f>VLOOKUP(B20,'[20]Gui chi Quynh'!$B$11:$E$396,4,FALSE)</f>
        <v>A1</v>
      </c>
      <c r="W20" s="1138">
        <f t="shared" si="7"/>
        <v>0.8</v>
      </c>
      <c r="X20" s="1138">
        <f>IFERROR(INDEX('[21]CN BC'!$J$10:$J$275,MATCH(B20,'[21]CN BC'!$H$10:$H$275,0)),"")</f>
        <v>28</v>
      </c>
      <c r="Y20" s="1138">
        <f>IFERROR(INDEX('[22]CN BC'!$J$10:$J$274,MATCH(B20,'[22]CN BC'!$H$10:$H$274,0)),"")</f>
        <v>27</v>
      </c>
      <c r="Z20" s="1138">
        <f>VLOOKUP(B20,'[23]CN BC'!$H$10:$J$275,3,FALSE)</f>
        <v>25</v>
      </c>
      <c r="AA20" s="1139">
        <f t="shared" si="8"/>
        <v>23</v>
      </c>
      <c r="AB20" s="1139">
        <f t="shared" si="9"/>
        <v>22</v>
      </c>
      <c r="AC20" s="1139">
        <f t="shared" si="10"/>
        <v>19</v>
      </c>
      <c r="AD20" s="1140"/>
      <c r="AE20" s="1141">
        <f t="shared" si="0"/>
        <v>34134048</v>
      </c>
      <c r="AF20" s="1519">
        <f t="shared" si="11"/>
        <v>14.587199999999999</v>
      </c>
      <c r="AG20" s="1224">
        <v>2340000</v>
      </c>
      <c r="AH20" s="1521">
        <f t="shared" si="12"/>
        <v>34134048</v>
      </c>
      <c r="AI20" s="1142">
        <f t="shared" si="1"/>
        <v>3</v>
      </c>
      <c r="AJ20" s="1143">
        <f>IFERROR(INDEX('[17]CN BC'!$M$10:$M$276,MATCH(B20,'[17]CN BC'!$H$10:$H$276,0)),"")</f>
        <v>0</v>
      </c>
      <c r="AK20" s="1144" t="str">
        <f>VLOOKUP(B20,TH.T4!B23:AC353,28,FALSE)</f>
        <v>BGH</v>
      </c>
      <c r="AL20" s="1156"/>
      <c r="AM20" s="1157"/>
      <c r="AN20" s="1158"/>
    </row>
    <row r="21" spans="1:50" s="1148" customFormat="1" ht="24.75" customHeight="1">
      <c r="A21" s="1132">
        <f>_xlfn.AGGREGATE(4,7,A$17:A20)+1</f>
        <v>4</v>
      </c>
      <c r="B21" s="1133" t="s">
        <v>1533</v>
      </c>
      <c r="C21" s="1153" t="s">
        <v>1954</v>
      </c>
      <c r="D21" s="1159" t="s">
        <v>1937</v>
      </c>
      <c r="E21" s="1058" t="str">
        <f>VLOOKUP(B21,TH.T6!B26:J356,9,FALSE)</f>
        <v>Phó Hiệu trưởng</v>
      </c>
      <c r="F21" s="1160">
        <v>4.9800000000000004</v>
      </c>
      <c r="G21" s="1137"/>
      <c r="H21" s="1392">
        <f t="shared" si="2"/>
        <v>0</v>
      </c>
      <c r="I21" s="1138">
        <v>0.7</v>
      </c>
      <c r="J21" s="1160">
        <v>4.9800000000000004</v>
      </c>
      <c r="K21" s="1137"/>
      <c r="L21" s="1392">
        <f t="shared" si="3"/>
        <v>0</v>
      </c>
      <c r="M21" s="1138">
        <v>0.7</v>
      </c>
      <c r="N21" s="1160">
        <v>4.9800000000000004</v>
      </c>
      <c r="O21" s="1137"/>
      <c r="P21" s="1393">
        <f t="shared" si="4"/>
        <v>0</v>
      </c>
      <c r="Q21" s="1138">
        <v>0.7</v>
      </c>
      <c r="R21" s="1138" t="str">
        <f>IFERROR(INDEX('[18]Gui chi Quynh'!$E$11:$E$397,MATCH(B21,'[18]Gui chi Quynh'!$B$11:$B$397,0)),"")</f>
        <v>A1</v>
      </c>
      <c r="S21" s="1138">
        <f t="shared" si="5"/>
        <v>0.8</v>
      </c>
      <c r="T21" s="1138" t="str">
        <f>VLOOKUP(B21,'[19]Gui chi Quynh'!$B$11:$E$397,4,FALSE)</f>
        <v>A1</v>
      </c>
      <c r="U21" s="1138">
        <f t="shared" si="6"/>
        <v>0.8</v>
      </c>
      <c r="V21" s="1138" t="str">
        <f>VLOOKUP(B21,'[20]Gui chi Quynh'!$B$11:$E$396,4,FALSE)</f>
        <v>A1</v>
      </c>
      <c r="W21" s="1138">
        <f t="shared" si="7"/>
        <v>0.8</v>
      </c>
      <c r="X21" s="1138">
        <f>IFERROR(INDEX('[21]CN BC'!$J$10:$J$275,MATCH(B21,'[21]CN BC'!$H$10:$H$275,0)),"")</f>
        <v>28</v>
      </c>
      <c r="Y21" s="1138">
        <f>IFERROR(INDEX('[22]CN BC'!$J$10:$J$274,MATCH(B21,'[22]CN BC'!$H$10:$H$274,0)),"")</f>
        <v>29</v>
      </c>
      <c r="Z21" s="1138">
        <f>VLOOKUP(B21,'[23]CN BC'!$H$10:$J$275,3,FALSE)</f>
        <v>26</v>
      </c>
      <c r="AA21" s="1139">
        <f t="shared" si="8"/>
        <v>23</v>
      </c>
      <c r="AB21" s="1139">
        <f t="shared" si="9"/>
        <v>22</v>
      </c>
      <c r="AC21" s="1139">
        <f t="shared" si="10"/>
        <v>19</v>
      </c>
      <c r="AD21" s="1140"/>
      <c r="AE21" s="1141">
        <f t="shared" si="0"/>
        <v>31898880</v>
      </c>
      <c r="AF21" s="1519">
        <f t="shared" si="11"/>
        <v>13.632</v>
      </c>
      <c r="AG21" s="1224">
        <v>2340000</v>
      </c>
      <c r="AH21" s="1521">
        <f t="shared" si="12"/>
        <v>31898880</v>
      </c>
      <c r="AI21" s="1142">
        <f t="shared" si="1"/>
        <v>4</v>
      </c>
      <c r="AJ21" s="1143">
        <f>IFERROR(INDEX('[17]CN BC'!$M$10:$M$276,MATCH(B21,'[17]CN BC'!$H$10:$H$276,0)),"")</f>
        <v>0</v>
      </c>
      <c r="AK21" s="1144" t="str">
        <f>VLOOKUP(B21,TH.T4!B24:AC354,28,FALSE)</f>
        <v>BGH</v>
      </c>
      <c r="AL21" s="1161"/>
      <c r="AM21" s="1162"/>
      <c r="AN21" s="1147"/>
      <c r="AO21" s="1146"/>
      <c r="AP21" s="1146"/>
      <c r="AQ21" s="1146"/>
      <c r="AR21" s="1146"/>
      <c r="AS21" s="1146"/>
      <c r="AT21" s="1146"/>
    </row>
    <row r="22" spans="1:50" s="1148" customFormat="1" ht="47.25" customHeight="1">
      <c r="A22" s="1132">
        <f>_xlfn.AGGREGATE(4,7,A$17:A21)+1</f>
        <v>5</v>
      </c>
      <c r="B22" s="1215" t="s">
        <v>1458</v>
      </c>
      <c r="C22" s="1214" t="s">
        <v>1995</v>
      </c>
      <c r="D22" s="1355" t="s">
        <v>1577</v>
      </c>
      <c r="E22" s="579" t="str">
        <f>VLOOKUP(B22,TH.T6!B27:J357,9,FALSE)</f>
        <v>Trưởng phòng TC - HC - TH</v>
      </c>
      <c r="F22" s="1217">
        <v>4.9800000000000004</v>
      </c>
      <c r="G22" s="1218">
        <v>0.05</v>
      </c>
      <c r="H22" s="1394">
        <f t="shared" si="2"/>
        <v>0.249</v>
      </c>
      <c r="I22" s="1219">
        <v>0.45</v>
      </c>
      <c r="J22" s="1217">
        <v>4.9800000000000004</v>
      </c>
      <c r="K22" s="1218">
        <v>0.05</v>
      </c>
      <c r="L22" s="1394">
        <f t="shared" si="3"/>
        <v>0.249</v>
      </c>
      <c r="M22" s="1219">
        <v>0.45</v>
      </c>
      <c r="N22" s="1217">
        <v>4.9800000000000004</v>
      </c>
      <c r="O22" s="1218">
        <v>0.06</v>
      </c>
      <c r="P22" s="1395">
        <f t="shared" si="4"/>
        <v>0.29899999999999999</v>
      </c>
      <c r="Q22" s="1219">
        <v>0.45</v>
      </c>
      <c r="R22" s="1219" t="str">
        <f>IFERROR(INDEX('[18]Gui chi Quynh'!$E$11:$E$397,MATCH(B22,'[18]Gui chi Quynh'!$B$11:$B$397,0)),"")</f>
        <v>A1</v>
      </c>
      <c r="S22" s="1219">
        <f t="shared" si="5"/>
        <v>0.8</v>
      </c>
      <c r="T22" s="1219" t="str">
        <f>VLOOKUP(B22,'[19]Gui chi Quynh'!$B$11:$E$397,4,FALSE)</f>
        <v>A1</v>
      </c>
      <c r="U22" s="1219">
        <f t="shared" si="6"/>
        <v>0.8</v>
      </c>
      <c r="V22" s="1219" t="str">
        <f>VLOOKUP(B22,'[20]Gui chi Quynh'!$B$11:$E$396,4,FALSE)</f>
        <v>A1</v>
      </c>
      <c r="W22" s="1219">
        <f t="shared" si="7"/>
        <v>0.8</v>
      </c>
      <c r="X22" s="1219">
        <f>IFERROR(INDEX('[21]CN BC'!$J$10:$J$275,MATCH(B22,'[21]CN BC'!$H$10:$H$275,0)),"")</f>
        <v>23</v>
      </c>
      <c r="Y22" s="1219">
        <f>IFERROR(INDEX('[22]CN BC'!$J$10:$J$274,MATCH(B22,'[22]CN BC'!$H$10:$H$274,0)),"")</f>
        <v>29</v>
      </c>
      <c r="Z22" s="1219">
        <f>VLOOKUP(B22,'[23]CN BC'!$H$10:$J$275,3,FALSE)</f>
        <v>25</v>
      </c>
      <c r="AA22" s="1348">
        <f t="shared" si="8"/>
        <v>23</v>
      </c>
      <c r="AB22" s="1348">
        <f t="shared" si="9"/>
        <v>22</v>
      </c>
      <c r="AC22" s="1348">
        <f t="shared" si="10"/>
        <v>19</v>
      </c>
      <c r="AD22" s="1220"/>
      <c r="AE22" s="1349">
        <f t="shared" si="0"/>
        <v>31986864</v>
      </c>
      <c r="AF22" s="1548">
        <f t="shared" si="11"/>
        <v>13.669600000000001</v>
      </c>
      <c r="AG22" s="1359">
        <v>2340000</v>
      </c>
      <c r="AH22" s="1549">
        <f t="shared" si="12"/>
        <v>31986864.000000004</v>
      </c>
      <c r="AI22" s="1221">
        <f t="shared" si="1"/>
        <v>5</v>
      </c>
      <c r="AJ22" s="1350" t="s">
        <v>2364</v>
      </c>
      <c r="AK22" s="1144" t="str">
        <f>VLOOKUP(B22,TH.T4!B25:AC355,28,FALSE)</f>
        <v>TCHC</v>
      </c>
      <c r="AL22" s="1251" t="s">
        <v>2272</v>
      </c>
      <c r="AM22" s="1251" t="s">
        <v>2273</v>
      </c>
      <c r="AN22" s="1251" t="s">
        <v>2274</v>
      </c>
      <c r="AO22" s="1396"/>
      <c r="AP22" s="1146"/>
      <c r="AQ22" s="1146"/>
      <c r="AR22" s="1146"/>
      <c r="AS22" s="1146"/>
      <c r="AT22" s="1146"/>
      <c r="AU22" s="1146"/>
      <c r="AV22" s="1146"/>
      <c r="AW22" s="1146"/>
      <c r="AX22" s="1146"/>
    </row>
    <row r="23" spans="1:50" s="1148" customFormat="1" ht="29.25" customHeight="1">
      <c r="A23" s="1132">
        <f>_xlfn.AGGREGATE(4,7,A$17:A22)+1</f>
        <v>6</v>
      </c>
      <c r="B23" s="1164" t="s">
        <v>1596</v>
      </c>
      <c r="C23" s="1165" t="s">
        <v>1623</v>
      </c>
      <c r="D23" s="1166">
        <v>1603205353720</v>
      </c>
      <c r="E23" s="1058" t="str">
        <f>VLOOKUP(B23,TH.T6!B28:J358,9,FALSE)</f>
        <v>Phó Trưởng phòng Tổ chức - Hành chính - TH</v>
      </c>
      <c r="F23" s="1160">
        <v>3.33</v>
      </c>
      <c r="G23" s="1137"/>
      <c r="H23" s="1392">
        <f t="shared" si="2"/>
        <v>0</v>
      </c>
      <c r="I23" s="1138">
        <v>0.35</v>
      </c>
      <c r="J23" s="1160">
        <v>3.33</v>
      </c>
      <c r="K23" s="1137"/>
      <c r="L23" s="1392">
        <f t="shared" si="3"/>
        <v>0</v>
      </c>
      <c r="M23" s="1138">
        <v>0.35</v>
      </c>
      <c r="N23" s="1160">
        <v>3.33</v>
      </c>
      <c r="O23" s="1137"/>
      <c r="P23" s="1393">
        <f t="shared" si="4"/>
        <v>0</v>
      </c>
      <c r="Q23" s="1138">
        <v>0.35</v>
      </c>
      <c r="R23" s="1138" t="str">
        <f>IFERROR(INDEX('[18]Gui chi Quynh'!$E$11:$E$397,MATCH(B23,'[18]Gui chi Quynh'!$B$11:$B$397,0)),"")</f>
        <v>A1</v>
      </c>
      <c r="S23" s="1138">
        <f t="shared" si="5"/>
        <v>0.8</v>
      </c>
      <c r="T23" s="1138" t="str">
        <f>VLOOKUP(B23,'[19]Gui chi Quynh'!$B$11:$E$397,4,FALSE)</f>
        <v>A1</v>
      </c>
      <c r="U23" s="1138">
        <f t="shared" si="6"/>
        <v>0.8</v>
      </c>
      <c r="V23" s="1138" t="str">
        <f>VLOOKUP(B23,'[20]Gui chi Quynh'!$B$11:$E$396,4,FALSE)</f>
        <v>A1</v>
      </c>
      <c r="W23" s="1138">
        <f t="shared" si="7"/>
        <v>0.8</v>
      </c>
      <c r="X23" s="1138">
        <f>IFERROR(INDEX('[21]CN BC'!$J$10:$J$275,MATCH(B23,'[21]CN BC'!$H$10:$H$275,0)),"")</f>
        <v>24.5</v>
      </c>
      <c r="Y23" s="1138">
        <f>IFERROR(INDEX('[22]CN BC'!$J$10:$J$274,MATCH(B23,'[22]CN BC'!$H$10:$H$274,0)),"")</f>
        <v>26</v>
      </c>
      <c r="Z23" s="1138">
        <f>VLOOKUP(B23,'[23]CN BC'!$H$10:$J$275,3,FALSE)</f>
        <v>22</v>
      </c>
      <c r="AA23" s="1139">
        <f t="shared" si="8"/>
        <v>23</v>
      </c>
      <c r="AB23" s="1139">
        <f t="shared" si="9"/>
        <v>22</v>
      </c>
      <c r="AC23" s="1139">
        <f t="shared" si="10"/>
        <v>19</v>
      </c>
      <c r="AD23" s="1140"/>
      <c r="AE23" s="1141">
        <f t="shared" si="0"/>
        <v>20666880</v>
      </c>
      <c r="AF23" s="1519">
        <f t="shared" si="11"/>
        <v>8.8320000000000007</v>
      </c>
      <c r="AG23" s="1224">
        <v>2340000</v>
      </c>
      <c r="AH23" s="1521">
        <f t="shared" si="12"/>
        <v>20666880</v>
      </c>
      <c r="AI23" s="1142">
        <f t="shared" si="1"/>
        <v>6</v>
      </c>
      <c r="AJ23" s="1143">
        <f>IFERROR(INDEX('[17]CN BC'!$M$10:$M$276,MATCH(B23,'[17]CN BC'!$H$10:$H$276,0)),"")</f>
        <v>0</v>
      </c>
      <c r="AK23" s="1144" t="str">
        <f>VLOOKUP(B23,TH.T4!B26:AC356,28,FALSE)</f>
        <v>TCHC</v>
      </c>
      <c r="AL23" s="1252">
        <f>_xlfn.AGGREGATE(4,7,AL$22:AL22)+1</f>
        <v>1</v>
      </c>
      <c r="AM23" s="1252" t="s">
        <v>2014</v>
      </c>
      <c r="AN23" s="1253" t="s">
        <v>2275</v>
      </c>
      <c r="AO23" s="1254">
        <f t="shared" ref="AO23:AO47" si="13">SUMIF($T$20:$T$83,$W23,$P$20:$P$83)</f>
        <v>0</v>
      </c>
      <c r="AP23" s="1146"/>
      <c r="AQ23" s="1146"/>
      <c r="AR23" s="1146"/>
      <c r="AS23" s="1146"/>
      <c r="AT23" s="1146"/>
    </row>
    <row r="24" spans="1:50" s="1148" customFormat="1" ht="29.25" customHeight="1">
      <c r="A24" s="1132">
        <f>_xlfn.AGGREGATE(4,7,A$17:A23)+1</f>
        <v>7</v>
      </c>
      <c r="B24" s="1133" t="s">
        <v>1464</v>
      </c>
      <c r="C24" s="1153" t="s">
        <v>1660</v>
      </c>
      <c r="D24" s="1168">
        <v>1603205185719</v>
      </c>
      <c r="E24" s="1058" t="str">
        <f>VLOOKUP(B24,TH.T6!B29:J359,9,FALSE)</f>
        <v>Phó Trưởng phòng Tổ chức - Hành chính - TH</v>
      </c>
      <c r="F24" s="1160">
        <v>3</v>
      </c>
      <c r="G24" s="1137"/>
      <c r="H24" s="1392">
        <f t="shared" si="2"/>
        <v>0</v>
      </c>
      <c r="I24" s="1138">
        <v>0.35</v>
      </c>
      <c r="J24" s="1160">
        <v>3</v>
      </c>
      <c r="K24" s="1137"/>
      <c r="L24" s="1392">
        <f t="shared" si="3"/>
        <v>0</v>
      </c>
      <c r="M24" s="1138">
        <v>0.35</v>
      </c>
      <c r="N24" s="1160">
        <v>3</v>
      </c>
      <c r="O24" s="1137"/>
      <c r="P24" s="1393">
        <f t="shared" si="4"/>
        <v>0</v>
      </c>
      <c r="Q24" s="1138">
        <v>0.35</v>
      </c>
      <c r="R24" s="1138" t="str">
        <f>IFERROR(INDEX('[18]Gui chi Quynh'!$E$11:$E$397,MATCH(B24,'[18]Gui chi Quynh'!$B$11:$B$397,0)),"")</f>
        <v>A1</v>
      </c>
      <c r="S24" s="1138">
        <f t="shared" si="5"/>
        <v>0.8</v>
      </c>
      <c r="T24" s="1138" t="str">
        <f>VLOOKUP(B24,'[19]Gui chi Quynh'!$B$11:$E$397,4,FALSE)</f>
        <v>A1</v>
      </c>
      <c r="U24" s="1138">
        <f t="shared" si="6"/>
        <v>0.8</v>
      </c>
      <c r="V24" s="1138" t="str">
        <f>VLOOKUP(B24,'[20]Gui chi Quynh'!$B$11:$E$396,4,FALSE)</f>
        <v>A1</v>
      </c>
      <c r="W24" s="1138">
        <f t="shared" si="7"/>
        <v>0.8</v>
      </c>
      <c r="X24" s="1138">
        <f>IFERROR(INDEX('[21]CN BC'!$J$10:$J$275,MATCH(B24,'[21]CN BC'!$H$10:$H$275,0)),"")</f>
        <v>25.5</v>
      </c>
      <c r="Y24" s="1138">
        <f>IFERROR(INDEX('[22]CN BC'!$J$10:$J$274,MATCH(B24,'[22]CN BC'!$H$10:$H$274,0)),"")</f>
        <v>27</v>
      </c>
      <c r="Z24" s="1138">
        <f>VLOOKUP(B24,'[23]CN BC'!$H$10:$J$275,3,FALSE)</f>
        <v>23</v>
      </c>
      <c r="AA24" s="1139">
        <f t="shared" si="8"/>
        <v>23</v>
      </c>
      <c r="AB24" s="1139">
        <f t="shared" si="9"/>
        <v>22</v>
      </c>
      <c r="AC24" s="1139">
        <f t="shared" si="10"/>
        <v>19</v>
      </c>
      <c r="AD24" s="1140"/>
      <c r="AE24" s="1141">
        <f t="shared" si="0"/>
        <v>18813600</v>
      </c>
      <c r="AF24" s="1519">
        <f t="shared" si="11"/>
        <v>8.0399999999999991</v>
      </c>
      <c r="AG24" s="1224">
        <v>2340000</v>
      </c>
      <c r="AH24" s="1521">
        <f t="shared" si="12"/>
        <v>18813599.999999996</v>
      </c>
      <c r="AI24" s="1142">
        <f t="shared" si="1"/>
        <v>7</v>
      </c>
      <c r="AJ24" s="1143">
        <f>IFERROR(INDEX('[17]CN BC'!$M$10:$M$276,MATCH(B24,'[17]CN BC'!$H$10:$H$276,0)),"")</f>
        <v>0</v>
      </c>
      <c r="AK24" s="1144" t="str">
        <f>VLOOKUP(B24,TH.T4!B27:AC357,28,FALSE)</f>
        <v>TCHC</v>
      </c>
      <c r="AL24" s="1252">
        <f>_xlfn.AGGREGATE(4,7,AL$22:AL23)+1</f>
        <v>2</v>
      </c>
      <c r="AM24" s="437" t="s">
        <v>2224</v>
      </c>
      <c r="AN24" s="1253" t="s">
        <v>2276</v>
      </c>
      <c r="AO24" s="1254">
        <f t="shared" si="13"/>
        <v>0</v>
      </c>
      <c r="AP24" s="1146"/>
      <c r="AQ24" s="1146"/>
      <c r="AR24" s="1146"/>
      <c r="AS24" s="1146"/>
      <c r="AT24" s="1146"/>
    </row>
    <row r="25" spans="1:50" s="1148" customFormat="1" ht="29.25" customHeight="1">
      <c r="A25" s="1132">
        <f>_xlfn.AGGREGATE(4,7,A$17:A24)+1</f>
        <v>8</v>
      </c>
      <c r="B25" s="1133" t="s">
        <v>1846</v>
      </c>
      <c r="C25" s="1153" t="s">
        <v>1618</v>
      </c>
      <c r="D25" s="1154" t="s">
        <v>1264</v>
      </c>
      <c r="E25" s="1058" t="str">
        <f>VLOOKUP(B25,TH.T6!B30:J360,9,FALSE)</f>
        <v>NV Phòng Tổ chức - Hành chính - Tổng hợp</v>
      </c>
      <c r="F25" s="1136">
        <v>3.99</v>
      </c>
      <c r="G25" s="1137"/>
      <c r="H25" s="1392">
        <f t="shared" si="2"/>
        <v>0</v>
      </c>
      <c r="I25" s="1138"/>
      <c r="J25" s="1136">
        <v>3.99</v>
      </c>
      <c r="K25" s="1137"/>
      <c r="L25" s="1392">
        <f t="shared" si="3"/>
        <v>0</v>
      </c>
      <c r="M25" s="1138"/>
      <c r="N25" s="1136">
        <v>3.99</v>
      </c>
      <c r="O25" s="1137"/>
      <c r="P25" s="1393">
        <f t="shared" si="4"/>
        <v>0</v>
      </c>
      <c r="Q25" s="1138"/>
      <c r="R25" s="1138" t="str">
        <f>IFERROR(INDEX('[18]Gui chi Quynh'!$E$11:$E$397,MATCH(B25,'[18]Gui chi Quynh'!$B$11:$B$397,0)),"")</f>
        <v>A1</v>
      </c>
      <c r="S25" s="1138">
        <f t="shared" si="5"/>
        <v>0.8</v>
      </c>
      <c r="T25" s="1138" t="str">
        <f>VLOOKUP(B25,'[19]Gui chi Quynh'!$B$11:$E$397,4,FALSE)</f>
        <v>A1</v>
      </c>
      <c r="U25" s="1138">
        <f t="shared" si="6"/>
        <v>0.8</v>
      </c>
      <c r="V25" s="1138" t="str">
        <f>VLOOKUP(B25,'[20]Gui chi Quynh'!$B$11:$E$396,4,FALSE)</f>
        <v>A1</v>
      </c>
      <c r="W25" s="1138">
        <f t="shared" si="7"/>
        <v>0.8</v>
      </c>
      <c r="X25" s="1138">
        <f>IFERROR(INDEX('[21]CN BC'!$J$10:$J$275,MATCH(B25,'[21]CN BC'!$H$10:$H$275,0)),"")</f>
        <v>24</v>
      </c>
      <c r="Y25" s="1138">
        <f>IFERROR(INDEX('[22]CN BC'!$J$10:$J$274,MATCH(B25,'[22]CN BC'!$H$10:$H$274,0)),"")</f>
        <v>23.5</v>
      </c>
      <c r="Z25" s="1138">
        <f>VLOOKUP(B25,'[23]CN BC'!$H$10:$J$275,3,FALSE)</f>
        <v>19.5</v>
      </c>
      <c r="AA25" s="1139">
        <f t="shared" si="8"/>
        <v>23</v>
      </c>
      <c r="AB25" s="1139">
        <f t="shared" si="9"/>
        <v>22</v>
      </c>
      <c r="AC25" s="1139">
        <f t="shared" si="10"/>
        <v>19</v>
      </c>
      <c r="AD25" s="1140"/>
      <c r="AE25" s="1141">
        <f t="shared" si="0"/>
        <v>22407840</v>
      </c>
      <c r="AF25" s="1519">
        <f t="shared" si="11"/>
        <v>9.5760000000000005</v>
      </c>
      <c r="AG25" s="1224">
        <v>2340000</v>
      </c>
      <c r="AH25" s="1521">
        <f t="shared" si="12"/>
        <v>22407840</v>
      </c>
      <c r="AI25" s="1142">
        <f t="shared" si="1"/>
        <v>8</v>
      </c>
      <c r="AJ25" s="1143">
        <f>IFERROR(INDEX('[17]CN BC'!$M$10:$M$276,MATCH(B25,'[17]CN BC'!$H$10:$H$276,0)),"")</f>
        <v>0</v>
      </c>
      <c r="AK25" s="1144" t="str">
        <f>VLOOKUP(B25,TH.T4!B28:AC358,28,FALSE)</f>
        <v>TCHC</v>
      </c>
      <c r="AL25" s="1252">
        <f>_xlfn.AGGREGATE(4,7,AL$22:AL24)+1</f>
        <v>3</v>
      </c>
      <c r="AM25" s="1255" t="s">
        <v>527</v>
      </c>
      <c r="AN25" s="1256" t="s">
        <v>2277</v>
      </c>
      <c r="AO25" s="1257">
        <f t="shared" si="13"/>
        <v>0</v>
      </c>
      <c r="AP25" s="1146"/>
      <c r="AQ25" s="1146"/>
      <c r="AR25" s="1146"/>
      <c r="AS25" s="1146"/>
      <c r="AT25" s="1146"/>
    </row>
    <row r="26" spans="1:50" s="1148" customFormat="1" ht="29.25" customHeight="1">
      <c r="A26" s="1132">
        <f>_xlfn.AGGREGATE(4,7,A$17:A25)+1</f>
        <v>9</v>
      </c>
      <c r="B26" s="1133" t="s">
        <v>1827</v>
      </c>
      <c r="C26" s="1153" t="s">
        <v>1619</v>
      </c>
      <c r="D26" s="1154" t="s">
        <v>1265</v>
      </c>
      <c r="E26" s="1058" t="str">
        <f>VLOOKUP(B26,TH.T6!B31:J361,9,FALSE)</f>
        <v>NV Phòng Tổ chức - Hành chính - Tổng hợp</v>
      </c>
      <c r="F26" s="1160">
        <v>3.99</v>
      </c>
      <c r="G26" s="1137"/>
      <c r="H26" s="1392">
        <f t="shared" si="2"/>
        <v>0</v>
      </c>
      <c r="I26" s="1138"/>
      <c r="J26" s="1160">
        <v>3.99</v>
      </c>
      <c r="K26" s="1137"/>
      <c r="L26" s="1392">
        <f t="shared" si="3"/>
        <v>0</v>
      </c>
      <c r="M26" s="1138"/>
      <c r="N26" s="1160">
        <v>3.99</v>
      </c>
      <c r="O26" s="1137"/>
      <c r="P26" s="1393">
        <f t="shared" si="4"/>
        <v>0</v>
      </c>
      <c r="Q26" s="1138"/>
      <c r="R26" s="1138" t="str">
        <f>IFERROR(INDEX('[18]Gui chi Quynh'!$E$11:$E$397,MATCH(B26,'[18]Gui chi Quynh'!$B$11:$B$397,0)),"")</f>
        <v>A2</v>
      </c>
      <c r="S26" s="1138">
        <f t="shared" si="5"/>
        <v>0.7</v>
      </c>
      <c r="T26" s="1138" t="str">
        <f>VLOOKUP(B26,'[19]Gui chi Quynh'!$B$11:$E$397,4,FALSE)</f>
        <v>A2</v>
      </c>
      <c r="U26" s="1138">
        <f t="shared" si="6"/>
        <v>0.7</v>
      </c>
      <c r="V26" s="1138" t="str">
        <f>VLOOKUP(B26,'[20]Gui chi Quynh'!$B$11:$E$396,4,FALSE)</f>
        <v>A2</v>
      </c>
      <c r="W26" s="1138">
        <f t="shared" si="7"/>
        <v>0.7</v>
      </c>
      <c r="X26" s="1138">
        <f>IFERROR(INDEX('[21]CN BC'!$J$10:$J$275,MATCH(B26,'[21]CN BC'!$H$10:$H$275,0)),"")</f>
        <v>25</v>
      </c>
      <c r="Y26" s="1138">
        <f>IFERROR(INDEX('[22]CN BC'!$J$10:$J$274,MATCH(B26,'[22]CN BC'!$H$10:$H$274,0)),"")</f>
        <v>23</v>
      </c>
      <c r="Z26" s="1138">
        <f>VLOOKUP(B26,'[23]CN BC'!$H$10:$J$275,3,FALSE)</f>
        <v>20</v>
      </c>
      <c r="AA26" s="1139">
        <f t="shared" si="8"/>
        <v>23</v>
      </c>
      <c r="AB26" s="1139">
        <f t="shared" si="9"/>
        <v>22</v>
      </c>
      <c r="AC26" s="1139">
        <f t="shared" si="10"/>
        <v>19</v>
      </c>
      <c r="AD26" s="1140"/>
      <c r="AE26" s="1141">
        <f t="shared" si="0"/>
        <v>19606860</v>
      </c>
      <c r="AF26" s="1519">
        <f t="shared" si="11"/>
        <v>8.3789999999999996</v>
      </c>
      <c r="AG26" s="1224">
        <v>2340000</v>
      </c>
      <c r="AH26" s="1521">
        <f t="shared" si="12"/>
        <v>19606860</v>
      </c>
      <c r="AI26" s="1142">
        <f t="shared" si="1"/>
        <v>9</v>
      </c>
      <c r="AJ26" s="1143">
        <f>IFERROR(INDEX('[17]CN BC'!$M$10:$M$276,MATCH(B26,'[17]CN BC'!$H$10:$H$276,0)),"")</f>
        <v>0</v>
      </c>
      <c r="AK26" s="1144" t="str">
        <f>VLOOKUP(B26,TH.T4!B29:AC359,28,FALSE)</f>
        <v>TCHC</v>
      </c>
      <c r="AL26" s="1252">
        <f>_xlfn.AGGREGATE(4,7,AL$22:AL25)+1</f>
        <v>4</v>
      </c>
      <c r="AM26" s="437" t="s">
        <v>2227</v>
      </c>
      <c r="AN26" s="1253" t="s">
        <v>2278</v>
      </c>
      <c r="AO26" s="1254">
        <f t="shared" si="13"/>
        <v>0</v>
      </c>
      <c r="AP26" s="1146"/>
      <c r="AQ26" s="1146"/>
      <c r="AR26" s="1146"/>
      <c r="AS26" s="1146"/>
      <c r="AT26" s="1146"/>
    </row>
    <row r="27" spans="1:50" s="1148" customFormat="1" ht="29.25" customHeight="1">
      <c r="A27" s="1132">
        <f>_xlfn.AGGREGATE(4,7,A$17:A26)+1</f>
        <v>10</v>
      </c>
      <c r="B27" s="1133" t="s">
        <v>1448</v>
      </c>
      <c r="C27" s="1153" t="s">
        <v>1620</v>
      </c>
      <c r="D27" s="1166" t="s">
        <v>1574</v>
      </c>
      <c r="E27" s="1058" t="str">
        <f>VLOOKUP(B27,TH.T6!B32:J362,9,FALSE)</f>
        <v>NV Phòng Tổ chức - Hành chính - Tổng hợp</v>
      </c>
      <c r="F27" s="1136">
        <v>3.46</v>
      </c>
      <c r="G27" s="1137"/>
      <c r="H27" s="1392">
        <f t="shared" si="2"/>
        <v>0</v>
      </c>
      <c r="I27" s="1138"/>
      <c r="J27" s="1136">
        <v>3.46</v>
      </c>
      <c r="K27" s="1137"/>
      <c r="L27" s="1392">
        <f t="shared" si="3"/>
        <v>0</v>
      </c>
      <c r="M27" s="1138"/>
      <c r="N27" s="1136">
        <v>3.46</v>
      </c>
      <c r="O27" s="1137"/>
      <c r="P27" s="1393">
        <f t="shared" si="4"/>
        <v>0</v>
      </c>
      <c r="Q27" s="1138"/>
      <c r="R27" s="1138" t="str">
        <f>IFERROR(INDEX('[18]Gui chi Quynh'!$E$11:$E$397,MATCH(B27,'[18]Gui chi Quynh'!$B$11:$B$397,0)),"")</f>
        <v>A2</v>
      </c>
      <c r="S27" s="1138">
        <f t="shared" si="5"/>
        <v>0.7</v>
      </c>
      <c r="T27" s="1138" t="str">
        <f>VLOOKUP(B27,'[19]Gui chi Quynh'!$B$11:$E$397,4,FALSE)</f>
        <v>A2</v>
      </c>
      <c r="U27" s="1138">
        <f t="shared" si="6"/>
        <v>0.7</v>
      </c>
      <c r="V27" s="1138" t="str">
        <f>VLOOKUP(B27,'[20]Gui chi Quynh'!$B$11:$E$396,4,FALSE)</f>
        <v>A2</v>
      </c>
      <c r="W27" s="1138">
        <f t="shared" si="7"/>
        <v>0.7</v>
      </c>
      <c r="X27" s="1138">
        <f>IFERROR(INDEX('[21]CN BC'!$J$10:$J$275,MATCH(B27,'[21]CN BC'!$H$10:$H$275,0)),"")</f>
        <v>22.5</v>
      </c>
      <c r="Y27" s="1138">
        <f>IFERROR(INDEX('[22]CN BC'!$J$10:$J$274,MATCH(B27,'[22]CN BC'!$H$10:$H$274,0)),"")</f>
        <v>23.5</v>
      </c>
      <c r="Z27" s="1138">
        <f>VLOOKUP(B27,'[23]CN BC'!$H$10:$J$275,3,FALSE)</f>
        <v>19</v>
      </c>
      <c r="AA27" s="1139">
        <f t="shared" si="8"/>
        <v>22.5</v>
      </c>
      <c r="AB27" s="1139">
        <f t="shared" si="9"/>
        <v>22</v>
      </c>
      <c r="AC27" s="1139">
        <f t="shared" si="10"/>
        <v>19</v>
      </c>
      <c r="AD27" s="1140"/>
      <c r="AE27" s="1141">
        <f t="shared" si="0"/>
        <v>16879234</v>
      </c>
      <c r="AF27" s="1519">
        <f t="shared" si="11"/>
        <v>7.2133478632478631</v>
      </c>
      <c r="AG27" s="1224">
        <v>2340000</v>
      </c>
      <c r="AH27" s="1521">
        <f t="shared" si="12"/>
        <v>16879234</v>
      </c>
      <c r="AI27" s="1142">
        <f t="shared" si="1"/>
        <v>10</v>
      </c>
      <c r="AJ27" s="1143">
        <f>IFERROR(INDEX('[17]CN BC'!$M$10:$M$276,MATCH(B27,'[17]CN BC'!$H$10:$H$276,0)),"")</f>
        <v>0</v>
      </c>
      <c r="AK27" s="1144" t="str">
        <f>VLOOKUP(B27,TH.T4!B30:AC360,28,FALSE)</f>
        <v>TCHC</v>
      </c>
      <c r="AL27" s="1252">
        <f>_xlfn.AGGREGATE(4,7,AL$22:AL26)+1</f>
        <v>5</v>
      </c>
      <c r="AM27" s="1252" t="s">
        <v>2230</v>
      </c>
      <c r="AN27" s="1253" t="s">
        <v>2279</v>
      </c>
      <c r="AO27" s="1254">
        <f t="shared" si="13"/>
        <v>0</v>
      </c>
      <c r="AP27" s="1146"/>
      <c r="AQ27" s="1146"/>
      <c r="AR27" s="1146"/>
      <c r="AS27" s="1146"/>
      <c r="AT27" s="1146"/>
    </row>
    <row r="28" spans="1:50" s="1148" customFormat="1" ht="29.25" customHeight="1">
      <c r="A28" s="1132">
        <f>_xlfn.AGGREGATE(4,7,A$17:A27)+1</f>
        <v>11</v>
      </c>
      <c r="B28" s="1133" t="s">
        <v>1449</v>
      </c>
      <c r="C28" s="1149" t="s">
        <v>1621</v>
      </c>
      <c r="D28" s="1169">
        <v>1603205280047</v>
      </c>
      <c r="E28" s="1058" t="str">
        <f>VLOOKUP(B28,TH.T6!B33:J363,9,FALSE)</f>
        <v>NV Phòng Tổ chức - Hành chính - Tổng hợp</v>
      </c>
      <c r="F28" s="1160">
        <v>3.66</v>
      </c>
      <c r="G28" s="1170"/>
      <c r="H28" s="1392">
        <f t="shared" si="2"/>
        <v>0</v>
      </c>
      <c r="I28" s="1138"/>
      <c r="J28" s="1160">
        <v>3.66</v>
      </c>
      <c r="K28" s="1170"/>
      <c r="L28" s="1392">
        <f t="shared" si="3"/>
        <v>0</v>
      </c>
      <c r="M28" s="1138"/>
      <c r="N28" s="1160">
        <v>3.66</v>
      </c>
      <c r="O28" s="1170"/>
      <c r="P28" s="1393">
        <f t="shared" si="4"/>
        <v>0</v>
      </c>
      <c r="Q28" s="1138"/>
      <c r="R28" s="1138" t="str">
        <f>IFERROR(INDEX('[18]Gui chi Quynh'!$E$11:$E$397,MATCH(B28,'[18]Gui chi Quynh'!$B$11:$B$397,0)),"")</f>
        <v>A3</v>
      </c>
      <c r="S28" s="1138">
        <f t="shared" si="5"/>
        <v>0.6</v>
      </c>
      <c r="T28" s="1138" t="str">
        <f>VLOOKUP(B28,'[19]Gui chi Quynh'!$B$11:$E$397,4,FALSE)</f>
        <v>A2</v>
      </c>
      <c r="U28" s="1138">
        <f t="shared" si="6"/>
        <v>0.7</v>
      </c>
      <c r="V28" s="1138" t="str">
        <f>VLOOKUP(B28,'[20]Gui chi Quynh'!$B$11:$E$396,4,FALSE)</f>
        <v>A3</v>
      </c>
      <c r="W28" s="1138">
        <f t="shared" si="7"/>
        <v>0.6</v>
      </c>
      <c r="X28" s="1138">
        <f>IFERROR(INDEX('[21]CN BC'!$J$10:$J$275,MATCH(B28,'[21]CN BC'!$H$10:$H$275,0)),"")</f>
        <v>23</v>
      </c>
      <c r="Y28" s="1138">
        <f>IFERROR(INDEX('[22]CN BC'!$J$10:$J$274,MATCH(B28,'[22]CN BC'!$H$10:$H$274,0)),"")</f>
        <v>22</v>
      </c>
      <c r="Z28" s="1138">
        <f>VLOOKUP(B28,'[23]CN BC'!$H$10:$J$275,3,FALSE)</f>
        <v>18</v>
      </c>
      <c r="AA28" s="1139">
        <f t="shared" si="8"/>
        <v>23</v>
      </c>
      <c r="AB28" s="1139">
        <f t="shared" si="9"/>
        <v>22</v>
      </c>
      <c r="AC28" s="1139">
        <f t="shared" si="10"/>
        <v>18</v>
      </c>
      <c r="AD28" s="1140"/>
      <c r="AE28" s="1141">
        <f t="shared" si="0"/>
        <v>16001905</v>
      </c>
      <c r="AF28" s="1519">
        <f t="shared" si="11"/>
        <v>6.8384209401709404</v>
      </c>
      <c r="AG28" s="1224">
        <v>2340000</v>
      </c>
      <c r="AH28" s="1521">
        <f t="shared" si="12"/>
        <v>16001905</v>
      </c>
      <c r="AI28" s="1142">
        <f t="shared" si="1"/>
        <v>11</v>
      </c>
      <c r="AJ28" s="1143">
        <f>IFERROR(INDEX('[17]CN BC'!$M$10:$M$276,MATCH(B28,'[17]CN BC'!$H$10:$H$276,0)),"")</f>
        <v>0</v>
      </c>
      <c r="AK28" s="1144" t="str">
        <f>VLOOKUP(B28,TH.T4!B31:AC361,28,FALSE)</f>
        <v>TCHC</v>
      </c>
      <c r="AL28" s="1252">
        <f>_xlfn.AGGREGATE(4,7,AL$22:AL27)+1</f>
        <v>6</v>
      </c>
      <c r="AM28" s="437" t="s">
        <v>2219</v>
      </c>
      <c r="AN28" s="1253" t="s">
        <v>2280</v>
      </c>
      <c r="AO28" s="1254">
        <f t="shared" si="13"/>
        <v>0</v>
      </c>
      <c r="AP28" s="1146"/>
      <c r="AQ28" s="1146"/>
      <c r="AR28" s="1146"/>
      <c r="AS28" s="1146"/>
      <c r="AT28" s="1146"/>
      <c r="AU28" s="1146"/>
      <c r="AV28" s="1146"/>
      <c r="AW28" s="1146"/>
      <c r="AX28" s="1146"/>
    </row>
    <row r="29" spans="1:50" s="1148" customFormat="1" ht="29.25" customHeight="1">
      <c r="A29" s="1132">
        <f>_xlfn.AGGREGATE(4,7,A$17:A28)+1</f>
        <v>12</v>
      </c>
      <c r="B29" s="1133" t="s">
        <v>1828</v>
      </c>
      <c r="C29" s="1153" t="s">
        <v>1622</v>
      </c>
      <c r="D29" s="1168" t="s">
        <v>385</v>
      </c>
      <c r="E29" s="1058" t="str">
        <f>VLOOKUP(B29,TH.T6!B34:J364,9,FALSE)</f>
        <v>NV Phòng Tổ chức - Hành chính - Tổng hợp</v>
      </c>
      <c r="F29" s="1136">
        <v>3.66</v>
      </c>
      <c r="G29" s="1137"/>
      <c r="H29" s="1392">
        <f t="shared" si="2"/>
        <v>0</v>
      </c>
      <c r="I29" s="1138"/>
      <c r="J29" s="1136">
        <v>3.66</v>
      </c>
      <c r="K29" s="1137"/>
      <c r="L29" s="1392">
        <f t="shared" si="3"/>
        <v>0</v>
      </c>
      <c r="M29" s="1138"/>
      <c r="N29" s="1136">
        <v>3.66</v>
      </c>
      <c r="O29" s="1137"/>
      <c r="P29" s="1393">
        <f t="shared" si="4"/>
        <v>0</v>
      </c>
      <c r="Q29" s="1138"/>
      <c r="R29" s="1138" t="str">
        <f>IFERROR(INDEX('[18]Gui chi Quynh'!$E$11:$E$397,MATCH(B29,'[18]Gui chi Quynh'!$B$11:$B$397,0)),"")</f>
        <v>A2</v>
      </c>
      <c r="S29" s="1138">
        <f t="shared" si="5"/>
        <v>0.7</v>
      </c>
      <c r="T29" s="1138" t="str">
        <f>VLOOKUP(B29,'[19]Gui chi Quynh'!$B$11:$E$397,4,FALSE)</f>
        <v>A1</v>
      </c>
      <c r="U29" s="1138">
        <f t="shared" si="6"/>
        <v>0.8</v>
      </c>
      <c r="V29" s="1138" t="str">
        <f>VLOOKUP(B29,'[20]Gui chi Quynh'!$B$11:$E$396,4,FALSE)</f>
        <v>A1</v>
      </c>
      <c r="W29" s="1138">
        <f t="shared" si="7"/>
        <v>0.8</v>
      </c>
      <c r="X29" s="1138">
        <f>IFERROR(INDEX('[21]CN BC'!$J$10:$J$275,MATCH(B29,'[21]CN BC'!$H$10:$H$275,0)),"")</f>
        <v>24</v>
      </c>
      <c r="Y29" s="1138">
        <f>IFERROR(INDEX('[22]CN BC'!$J$10:$J$274,MATCH(B29,'[22]CN BC'!$H$10:$H$274,0)),"")</f>
        <v>23</v>
      </c>
      <c r="Z29" s="1138">
        <f>VLOOKUP(B29,'[23]CN BC'!$H$10:$J$275,3,FALSE)</f>
        <v>21</v>
      </c>
      <c r="AA29" s="1139">
        <f t="shared" si="8"/>
        <v>23</v>
      </c>
      <c r="AB29" s="1139">
        <f t="shared" si="9"/>
        <v>22</v>
      </c>
      <c r="AC29" s="1139">
        <f t="shared" si="10"/>
        <v>19</v>
      </c>
      <c r="AD29" s="1140"/>
      <c r="AE29" s="1141">
        <f t="shared" si="0"/>
        <v>19698120</v>
      </c>
      <c r="AF29" s="1519">
        <f t="shared" si="11"/>
        <v>8.4179999999999993</v>
      </c>
      <c r="AG29" s="1224">
        <v>2340000</v>
      </c>
      <c r="AH29" s="1521">
        <f t="shared" si="12"/>
        <v>19698120</v>
      </c>
      <c r="AI29" s="1142">
        <f t="shared" si="1"/>
        <v>12</v>
      </c>
      <c r="AJ29" s="1143">
        <f>IFERROR(INDEX('[17]CN BC'!$M$10:$M$276,MATCH(B29,'[17]CN BC'!$H$10:$H$276,0)),"")</f>
        <v>0</v>
      </c>
      <c r="AK29" s="1144" t="str">
        <f>VLOOKUP(B29,TH.T4!B32:AC362,28,FALSE)</f>
        <v>TCHC</v>
      </c>
      <c r="AL29" s="1255">
        <f>_xlfn.AGGREGATE(4,7,AL$22:AL28)+1</f>
        <v>7</v>
      </c>
      <c r="AM29" s="1255" t="s">
        <v>539</v>
      </c>
      <c r="AN29" s="1256" t="s">
        <v>2281</v>
      </c>
      <c r="AO29" s="1257">
        <f t="shared" si="13"/>
        <v>0</v>
      </c>
      <c r="AP29" s="1146"/>
      <c r="AQ29" s="1146"/>
      <c r="AR29" s="1146"/>
      <c r="AS29" s="1146"/>
      <c r="AT29" s="1146"/>
    </row>
    <row r="30" spans="1:50" s="1148" customFormat="1" ht="29.25" customHeight="1">
      <c r="A30" s="1132">
        <f>_xlfn.AGGREGATE(4,7,A$17:A29)+1</f>
        <v>13</v>
      </c>
      <c r="B30" s="1133" t="s">
        <v>1847</v>
      </c>
      <c r="C30" s="1149" t="s">
        <v>1643</v>
      </c>
      <c r="D30" s="1154" t="s">
        <v>8</v>
      </c>
      <c r="E30" s="1058" t="str">
        <f>VLOOKUP(B30,TH.T6!B35:J365,9,FALSE)</f>
        <v>NV Phòng Tổ chức - Hành chính - Tổng hợp</v>
      </c>
      <c r="F30" s="1136">
        <v>3.66</v>
      </c>
      <c r="G30" s="1137"/>
      <c r="H30" s="1392">
        <f t="shared" si="2"/>
        <v>0</v>
      </c>
      <c r="I30" s="1138"/>
      <c r="J30" s="1136">
        <v>3.66</v>
      </c>
      <c r="K30" s="1137"/>
      <c r="L30" s="1392">
        <f t="shared" si="3"/>
        <v>0</v>
      </c>
      <c r="M30" s="1138"/>
      <c r="N30" s="1136">
        <v>3.66</v>
      </c>
      <c r="O30" s="1137"/>
      <c r="P30" s="1393">
        <f t="shared" si="4"/>
        <v>0</v>
      </c>
      <c r="Q30" s="1138"/>
      <c r="R30" s="1138" t="str">
        <f>IFERROR(INDEX('[18]Gui chi Quynh'!$E$11:$E$397,MATCH(B30,'[18]Gui chi Quynh'!$B$11:$B$397,0)),"")</f>
        <v>A3</v>
      </c>
      <c r="S30" s="1138">
        <f t="shared" si="5"/>
        <v>0.6</v>
      </c>
      <c r="T30" s="1138" t="str">
        <f>VLOOKUP(B30,'[19]Gui chi Quynh'!$B$11:$E$397,4,FALSE)</f>
        <v>A2</v>
      </c>
      <c r="U30" s="1138">
        <f t="shared" si="6"/>
        <v>0.7</v>
      </c>
      <c r="V30" s="1138" t="str">
        <f>VLOOKUP(B30,'[20]Gui chi Quynh'!$B$11:$E$396,4,FALSE)</f>
        <v>A3</v>
      </c>
      <c r="W30" s="1138">
        <f t="shared" si="7"/>
        <v>0.6</v>
      </c>
      <c r="X30" s="1138">
        <f>IFERROR(INDEX('[21]CN BC'!$J$10:$J$275,MATCH(B30,'[21]CN BC'!$H$10:$H$275,0)),"")</f>
        <v>21</v>
      </c>
      <c r="Y30" s="1138">
        <f>IFERROR(INDEX('[22]CN BC'!$J$10:$J$274,MATCH(B30,'[22]CN BC'!$H$10:$H$274,0)),"")</f>
        <v>22</v>
      </c>
      <c r="Z30" s="1138">
        <f>VLOOKUP(B30,'[23]CN BC'!$H$10:$J$275,3,FALSE)</f>
        <v>19</v>
      </c>
      <c r="AA30" s="1139">
        <f t="shared" si="8"/>
        <v>21</v>
      </c>
      <c r="AB30" s="1139">
        <f t="shared" si="9"/>
        <v>22</v>
      </c>
      <c r="AC30" s="1139">
        <f t="shared" si="10"/>
        <v>19</v>
      </c>
      <c r="AD30" s="1140"/>
      <c r="AE30" s="1141">
        <f t="shared" si="0"/>
        <v>15825522</v>
      </c>
      <c r="AF30" s="1519">
        <f t="shared" si="11"/>
        <v>6.7630435897435897</v>
      </c>
      <c r="AG30" s="1224">
        <v>2340000</v>
      </c>
      <c r="AH30" s="1521">
        <f t="shared" si="12"/>
        <v>15825522</v>
      </c>
      <c r="AI30" s="1142">
        <f t="shared" si="1"/>
        <v>13</v>
      </c>
      <c r="AJ30" s="1143"/>
      <c r="AK30" s="1144" t="str">
        <f>VLOOKUP(B30,TH.T4!B33:AC363,28,FALSE)</f>
        <v>TCHC</v>
      </c>
      <c r="AL30" s="1252">
        <f>_xlfn.AGGREGATE(4,7,AL$22:AL29)+1</f>
        <v>8</v>
      </c>
      <c r="AM30" s="1252" t="s">
        <v>2237</v>
      </c>
      <c r="AN30" s="1253" t="s">
        <v>2282</v>
      </c>
      <c r="AO30" s="1254">
        <f t="shared" si="13"/>
        <v>0</v>
      </c>
      <c r="AP30" s="1146"/>
      <c r="AQ30" s="1146"/>
      <c r="AR30" s="1146"/>
      <c r="AS30" s="1146"/>
      <c r="AT30" s="1146"/>
      <c r="AU30" s="1146"/>
      <c r="AV30" s="1146"/>
      <c r="AW30" s="1146"/>
      <c r="AX30" s="1146"/>
    </row>
    <row r="31" spans="1:50" s="1148" customFormat="1" ht="29.25" customHeight="1">
      <c r="A31" s="1132">
        <f>_xlfn.AGGREGATE(4,7,A$17:A30)+1</f>
        <v>14</v>
      </c>
      <c r="B31" s="1133" t="s">
        <v>1848</v>
      </c>
      <c r="C31" s="1153" t="s">
        <v>1644</v>
      </c>
      <c r="D31" s="1166">
        <v>1603205360856</v>
      </c>
      <c r="E31" s="1058" t="str">
        <f>VLOOKUP(B31,TH.T6!B36:J366,9,FALSE)</f>
        <v>NV Phòng Tổ chức - Hành chính - Tổng hợp</v>
      </c>
      <c r="F31" s="1160">
        <v>3.33</v>
      </c>
      <c r="G31" s="1137"/>
      <c r="H31" s="1392">
        <f t="shared" si="2"/>
        <v>0</v>
      </c>
      <c r="I31" s="1138"/>
      <c r="J31" s="1160">
        <v>3.33</v>
      </c>
      <c r="K31" s="1137"/>
      <c r="L31" s="1392">
        <f t="shared" si="3"/>
        <v>0</v>
      </c>
      <c r="M31" s="1138"/>
      <c r="N31" s="1160">
        <v>3.33</v>
      </c>
      <c r="O31" s="1137"/>
      <c r="P31" s="1393">
        <f t="shared" si="4"/>
        <v>0</v>
      </c>
      <c r="Q31" s="1138"/>
      <c r="R31" s="1138" t="str">
        <f>IFERROR(INDEX('[18]Gui chi Quynh'!$E$11:$E$397,MATCH(B31,'[18]Gui chi Quynh'!$B$11:$B$397,0)),"")</f>
        <v>A2</v>
      </c>
      <c r="S31" s="1138">
        <f t="shared" si="5"/>
        <v>0.7</v>
      </c>
      <c r="T31" s="1138" t="str">
        <f>VLOOKUP(B31,'[19]Gui chi Quynh'!$B$11:$E$397,4,FALSE)</f>
        <v>A2</v>
      </c>
      <c r="U31" s="1138">
        <f t="shared" si="6"/>
        <v>0.7</v>
      </c>
      <c r="V31" s="1138" t="str">
        <f>VLOOKUP(B31,'[20]Gui chi Quynh'!$B$11:$E$396,4,FALSE)</f>
        <v>A1</v>
      </c>
      <c r="W31" s="1138">
        <f t="shared" si="7"/>
        <v>0.8</v>
      </c>
      <c r="X31" s="1138">
        <f>IFERROR(INDEX('[21]CN BC'!$J$10:$J$275,MATCH(B31,'[21]CN BC'!$H$10:$H$275,0)),"")</f>
        <v>23</v>
      </c>
      <c r="Y31" s="1138">
        <f>IFERROR(INDEX('[22]CN BC'!$J$10:$J$274,MATCH(B31,'[22]CN BC'!$H$10:$H$274,0)),"")</f>
        <v>22</v>
      </c>
      <c r="Z31" s="1138">
        <f>VLOOKUP(B31,'[23]CN BC'!$H$10:$J$275,3,FALSE)</f>
        <v>18</v>
      </c>
      <c r="AA31" s="1139">
        <f t="shared" si="8"/>
        <v>23</v>
      </c>
      <c r="AB31" s="1139">
        <f t="shared" si="9"/>
        <v>22</v>
      </c>
      <c r="AC31" s="1139">
        <f t="shared" si="10"/>
        <v>18</v>
      </c>
      <c r="AD31" s="1140"/>
      <c r="AE31" s="1141">
        <f t="shared" si="0"/>
        <v>16814747</v>
      </c>
      <c r="AF31" s="1519">
        <f t="shared" si="11"/>
        <v>7.1857893162393163</v>
      </c>
      <c r="AG31" s="1224">
        <v>2340000</v>
      </c>
      <c r="AH31" s="1521">
        <f t="shared" si="12"/>
        <v>16814747</v>
      </c>
      <c r="AI31" s="1142">
        <f t="shared" si="1"/>
        <v>14</v>
      </c>
      <c r="AJ31" s="1143">
        <f>IFERROR(INDEX('[17]CN BC'!$M$10:$M$276,MATCH(B31,'[17]CN BC'!$H$10:$H$276,0)),"")</f>
        <v>0</v>
      </c>
      <c r="AK31" s="1144" t="str">
        <f>VLOOKUP(B31,TH.T4!B34:AC364,28,FALSE)</f>
        <v>TCHC</v>
      </c>
      <c r="AL31" s="1252">
        <f>_xlfn.AGGREGATE(4,7,AL$22:AL30)+1</f>
        <v>9</v>
      </c>
      <c r="AM31" s="1252" t="s">
        <v>2238</v>
      </c>
      <c r="AN31" s="1253" t="s">
        <v>2283</v>
      </c>
      <c r="AO31" s="1254">
        <f t="shared" si="13"/>
        <v>0</v>
      </c>
    </row>
    <row r="32" spans="1:50" s="1148" customFormat="1" ht="29.25" customHeight="1">
      <c r="A32" s="1132">
        <f>_xlfn.AGGREGATE(4,7,A$17:A31)+1</f>
        <v>15</v>
      </c>
      <c r="B32" s="1164" t="s">
        <v>1603</v>
      </c>
      <c r="C32" s="1165" t="s">
        <v>1624</v>
      </c>
      <c r="D32" s="1166">
        <v>1603205545491</v>
      </c>
      <c r="E32" s="1058" t="str">
        <f>VLOOKUP(B32,TH.T6!B37:J367,9,FALSE)</f>
        <v>NV Phòng Tổ chức - Hành chính - Tổng hợp</v>
      </c>
      <c r="F32" s="1160">
        <f>2.46+0.15</f>
        <v>2.61</v>
      </c>
      <c r="G32" s="1137"/>
      <c r="H32" s="1392">
        <f t="shared" si="2"/>
        <v>0</v>
      </c>
      <c r="I32" s="1138"/>
      <c r="J32" s="1160">
        <f>2.46+0.15</f>
        <v>2.61</v>
      </c>
      <c r="K32" s="1137"/>
      <c r="L32" s="1392">
        <f t="shared" si="3"/>
        <v>0</v>
      </c>
      <c r="M32" s="1138"/>
      <c r="N32" s="1160">
        <f>2.46+0.15</f>
        <v>2.61</v>
      </c>
      <c r="O32" s="1137"/>
      <c r="P32" s="1393">
        <f t="shared" si="4"/>
        <v>0</v>
      </c>
      <c r="Q32" s="1138"/>
      <c r="R32" s="1138" t="str">
        <f>IFERROR(INDEX('[18]Gui chi Quynh'!$E$11:$E$397,MATCH(B32,'[18]Gui chi Quynh'!$B$11:$B$397,0)),"")</f>
        <v>A2</v>
      </c>
      <c r="S32" s="1138">
        <f t="shared" si="5"/>
        <v>0.7</v>
      </c>
      <c r="T32" s="1138" t="str">
        <f>VLOOKUP(B32,'[19]Gui chi Quynh'!$B$11:$E$397,4,FALSE)</f>
        <v>A2</v>
      </c>
      <c r="U32" s="1138">
        <f t="shared" si="6"/>
        <v>0.7</v>
      </c>
      <c r="V32" s="1138" t="str">
        <f>VLOOKUP(B32,'[20]Gui chi Quynh'!$B$11:$E$396,4,FALSE)</f>
        <v>A2</v>
      </c>
      <c r="W32" s="1138">
        <f t="shared" si="7"/>
        <v>0.7</v>
      </c>
      <c r="X32" s="1138">
        <f>IFERROR(INDEX('[21]CN BC'!$J$10:$J$275,MATCH(B32,'[21]CN BC'!$H$10:$H$275,0)),"")</f>
        <v>24</v>
      </c>
      <c r="Y32" s="1138">
        <f>IFERROR(INDEX('[22]CN BC'!$J$10:$J$274,MATCH(B32,'[22]CN BC'!$H$10:$H$274,0)),"")</f>
        <v>24</v>
      </c>
      <c r="Z32" s="1138">
        <f>VLOOKUP(B32,'[23]CN BC'!$H$10:$J$275,3,FALSE)</f>
        <v>21.5</v>
      </c>
      <c r="AA32" s="1139">
        <f t="shared" si="8"/>
        <v>23</v>
      </c>
      <c r="AB32" s="1139">
        <f t="shared" si="9"/>
        <v>22</v>
      </c>
      <c r="AC32" s="1139">
        <f t="shared" si="10"/>
        <v>19</v>
      </c>
      <c r="AD32" s="1140"/>
      <c r="AE32" s="1141">
        <f t="shared" si="0"/>
        <v>12825540</v>
      </c>
      <c r="AF32" s="1519">
        <f t="shared" si="11"/>
        <v>5.4809999999999999</v>
      </c>
      <c r="AG32" s="1224">
        <v>2340000</v>
      </c>
      <c r="AH32" s="1521">
        <f t="shared" si="12"/>
        <v>12825540</v>
      </c>
      <c r="AI32" s="1142">
        <f t="shared" si="1"/>
        <v>15</v>
      </c>
      <c r="AJ32" s="1143">
        <f>IFERROR(INDEX('[17]CN BC'!$M$10:$M$276,MATCH(B32,'[17]CN BC'!$H$10:$H$276,0)),"")</f>
        <v>0</v>
      </c>
      <c r="AK32" s="1144" t="str">
        <f>VLOOKUP(B32,TH.T4!B35:AC365,28,FALSE)</f>
        <v>TCHC</v>
      </c>
      <c r="AL32" s="1252">
        <f>_xlfn.AGGREGATE(4,7,AL$22:AL31)+1</f>
        <v>10</v>
      </c>
      <c r="AM32" s="1258" t="s">
        <v>2239</v>
      </c>
      <c r="AN32" s="1253" t="s">
        <v>2284</v>
      </c>
      <c r="AO32" s="1254">
        <f t="shared" si="13"/>
        <v>0</v>
      </c>
      <c r="AP32" s="1146"/>
      <c r="AQ32" s="1146"/>
      <c r="AR32" s="1146"/>
      <c r="AS32" s="1146"/>
      <c r="AT32" s="1146"/>
    </row>
    <row r="33" spans="1:50" s="1148" customFormat="1" ht="39.75" customHeight="1">
      <c r="A33" s="1132">
        <f>_xlfn.AGGREGATE(4,7,A$17:A32)+1</f>
        <v>16</v>
      </c>
      <c r="B33" s="1215" t="s">
        <v>1450</v>
      </c>
      <c r="C33" s="1216" t="s">
        <v>1625</v>
      </c>
      <c r="D33" s="1355" t="s">
        <v>1441</v>
      </c>
      <c r="E33" s="579" t="str">
        <f>VLOOKUP(B33,TH.T6!B38:J368,9,FALSE)</f>
        <v>Trưởng phòng Quản trị - Dịch vụ</v>
      </c>
      <c r="F33" s="1217">
        <v>4.9800000000000004</v>
      </c>
      <c r="G33" s="1218">
        <v>0.05</v>
      </c>
      <c r="H33" s="1394">
        <f t="shared" si="2"/>
        <v>0.249</v>
      </c>
      <c r="I33" s="1219">
        <v>0.45</v>
      </c>
      <c r="J33" s="1217">
        <v>4.9800000000000004</v>
      </c>
      <c r="K33" s="1218">
        <v>0.05</v>
      </c>
      <c r="L33" s="1394">
        <f t="shared" si="3"/>
        <v>0.249</v>
      </c>
      <c r="M33" s="1219">
        <v>0.45</v>
      </c>
      <c r="N33" s="1217">
        <v>4.9800000000000004</v>
      </c>
      <c r="O33" s="1218">
        <v>0.06</v>
      </c>
      <c r="P33" s="1395">
        <f t="shared" si="4"/>
        <v>0.29899999999999999</v>
      </c>
      <c r="Q33" s="1219">
        <v>0.45</v>
      </c>
      <c r="R33" s="1219" t="str">
        <f>IFERROR(INDEX('[18]Gui chi Quynh'!$E$11:$E$397,MATCH(B33,'[18]Gui chi Quynh'!$B$11:$B$397,0)),"")</f>
        <v>A1</v>
      </c>
      <c r="S33" s="1219">
        <f t="shared" si="5"/>
        <v>0.8</v>
      </c>
      <c r="T33" s="1219" t="str">
        <f>VLOOKUP(B33,'[19]Gui chi Quynh'!$B$11:$E$397,4,FALSE)</f>
        <v>A1</v>
      </c>
      <c r="U33" s="1219">
        <f t="shared" si="6"/>
        <v>0.8</v>
      </c>
      <c r="V33" s="1219" t="str">
        <f>VLOOKUP(B33,'[20]Gui chi Quynh'!$B$11:$E$396,4,FALSE)</f>
        <v>A1</v>
      </c>
      <c r="W33" s="1219">
        <f t="shared" si="7"/>
        <v>0.8</v>
      </c>
      <c r="X33" s="1219">
        <f>IFERROR(INDEX('[21]CN BC'!$J$10:$J$275,MATCH(B33,'[21]CN BC'!$H$10:$H$275,0)),"")</f>
        <v>24</v>
      </c>
      <c r="Y33" s="1219">
        <f>IFERROR(INDEX('[22]CN BC'!$J$10:$J$274,MATCH(B33,'[22]CN BC'!$H$10:$H$274,0)),"")</f>
        <v>26</v>
      </c>
      <c r="Z33" s="1219">
        <f>VLOOKUP(B33,'[23]CN BC'!$H$10:$J$275,3,FALSE)</f>
        <v>23</v>
      </c>
      <c r="AA33" s="1348">
        <f t="shared" si="8"/>
        <v>23</v>
      </c>
      <c r="AB33" s="1348">
        <f t="shared" si="9"/>
        <v>22</v>
      </c>
      <c r="AC33" s="1348">
        <f t="shared" si="10"/>
        <v>19</v>
      </c>
      <c r="AD33" s="1220"/>
      <c r="AE33" s="1349">
        <f t="shared" si="0"/>
        <v>31986864</v>
      </c>
      <c r="AF33" s="1548">
        <f t="shared" si="11"/>
        <v>13.669600000000001</v>
      </c>
      <c r="AG33" s="1359">
        <v>2340000</v>
      </c>
      <c r="AH33" s="1549">
        <f t="shared" si="12"/>
        <v>31986864.000000004</v>
      </c>
      <c r="AI33" s="1221">
        <f t="shared" si="1"/>
        <v>16</v>
      </c>
      <c r="AJ33" s="1350" t="s">
        <v>2364</v>
      </c>
      <c r="AK33" s="1144" t="str">
        <f>VLOOKUP(B33,TH.T4!B36:AC366,28,FALSE)</f>
        <v>QTDV</v>
      </c>
      <c r="AL33" s="1252">
        <f>_xlfn.AGGREGATE(4,7,AL$22:AL32)+1</f>
        <v>11</v>
      </c>
      <c r="AM33" s="1258" t="s">
        <v>548</v>
      </c>
      <c r="AN33" s="1253" t="s">
        <v>2285</v>
      </c>
      <c r="AO33" s="1254">
        <f t="shared" si="13"/>
        <v>0</v>
      </c>
      <c r="AP33" s="1146"/>
      <c r="AQ33" s="1146"/>
      <c r="AR33" s="1146"/>
      <c r="AS33" s="1146"/>
      <c r="AT33" s="1146"/>
      <c r="AU33" s="1146"/>
      <c r="AV33" s="1146"/>
      <c r="AW33" s="1146"/>
      <c r="AX33" s="1146"/>
    </row>
    <row r="34" spans="1:50" s="1148" customFormat="1" ht="29.25" customHeight="1">
      <c r="A34" s="1132">
        <f>_xlfn.AGGREGATE(4,7,A$17:A33)+1</f>
        <v>17</v>
      </c>
      <c r="B34" s="1133" t="s">
        <v>1996</v>
      </c>
      <c r="C34" s="1149" t="s">
        <v>1626</v>
      </c>
      <c r="D34" s="1154" t="s">
        <v>1393</v>
      </c>
      <c r="E34" s="1058" t="str">
        <f>VLOOKUP(B34,TH.T6!B39:J369,9,FALSE)</f>
        <v>Phó TP. Quản trị - 
Dịch vụ</v>
      </c>
      <c r="F34" s="1136">
        <v>4.9800000000000004</v>
      </c>
      <c r="G34" s="1137">
        <v>7.0000000000000007E-2</v>
      </c>
      <c r="H34" s="1392">
        <f t="shared" si="2"/>
        <v>0.34899999999999998</v>
      </c>
      <c r="I34" s="1138">
        <v>0.35</v>
      </c>
      <c r="J34" s="1136">
        <v>4.9800000000000004</v>
      </c>
      <c r="K34" s="1137">
        <v>7.0000000000000007E-2</v>
      </c>
      <c r="L34" s="1392">
        <f t="shared" si="3"/>
        <v>0.34899999999999998</v>
      </c>
      <c r="M34" s="1138">
        <v>0.35</v>
      </c>
      <c r="N34" s="1136">
        <v>4.9800000000000004</v>
      </c>
      <c r="O34" s="1137">
        <v>7.0000000000000007E-2</v>
      </c>
      <c r="P34" s="1393">
        <f t="shared" si="4"/>
        <v>0.34899999999999998</v>
      </c>
      <c r="Q34" s="1138">
        <v>0.35</v>
      </c>
      <c r="R34" s="1138" t="str">
        <f>IFERROR(INDEX('[18]Gui chi Quynh'!$E$11:$E$397,MATCH(B34,'[18]Gui chi Quynh'!$B$11:$B$397,0)),"")</f>
        <v>A2</v>
      </c>
      <c r="S34" s="1138">
        <f t="shared" si="5"/>
        <v>0.7</v>
      </c>
      <c r="T34" s="1138" t="str">
        <f>VLOOKUP(B34,'[19]Gui chi Quynh'!$B$11:$E$397,4,FALSE)</f>
        <v>A1</v>
      </c>
      <c r="U34" s="1138">
        <f t="shared" si="6"/>
        <v>0.8</v>
      </c>
      <c r="V34" s="1138" t="str">
        <f>VLOOKUP(B34,'[20]Gui chi Quynh'!$B$11:$E$396,4,FALSE)</f>
        <v>A2</v>
      </c>
      <c r="W34" s="1138">
        <f t="shared" si="7"/>
        <v>0.7</v>
      </c>
      <c r="X34" s="1138">
        <f>IFERROR(INDEX('[21]CN BC'!$J$10:$J$275,MATCH(B34,'[21]CN BC'!$H$10:$H$275,0)),"")</f>
        <v>22</v>
      </c>
      <c r="Y34" s="1138">
        <f>IFERROR(INDEX('[22]CN BC'!$J$10:$J$274,MATCH(B34,'[22]CN BC'!$H$10:$H$274,0)),"")</f>
        <v>26</v>
      </c>
      <c r="Z34" s="1138">
        <f>VLOOKUP(B34,'[23]CN BC'!$H$10:$J$275,3,FALSE)</f>
        <v>20</v>
      </c>
      <c r="AA34" s="1139">
        <f t="shared" si="8"/>
        <v>22</v>
      </c>
      <c r="AB34" s="1139">
        <f t="shared" si="9"/>
        <v>22</v>
      </c>
      <c r="AC34" s="1139">
        <f t="shared" si="10"/>
        <v>19</v>
      </c>
      <c r="AD34" s="1140"/>
      <c r="AE34" s="1141">
        <f t="shared" si="0"/>
        <v>28831048</v>
      </c>
      <c r="AF34" s="1519">
        <f t="shared" si="11"/>
        <v>12.320960683760683</v>
      </c>
      <c r="AG34" s="1224">
        <v>2340000</v>
      </c>
      <c r="AH34" s="1521">
        <f t="shared" si="12"/>
        <v>28831048</v>
      </c>
      <c r="AI34" s="1142">
        <f t="shared" si="1"/>
        <v>17</v>
      </c>
      <c r="AJ34" s="1143">
        <f>IFERROR(INDEX('[17]CN BC'!$M$10:$M$276,MATCH(B34,'[17]CN BC'!$H$10:$H$276,0)),"")</f>
        <v>0</v>
      </c>
      <c r="AK34" s="1144" t="str">
        <f>VLOOKUP(B34,TH.T4!B37:AC367,28,FALSE)</f>
        <v>QTDV</v>
      </c>
      <c r="AL34" s="1252">
        <f>_xlfn.AGGREGATE(4,7,AL$22:AL33)+1</f>
        <v>12</v>
      </c>
      <c r="AM34" s="1252" t="s">
        <v>2241</v>
      </c>
      <c r="AN34" s="1253" t="s">
        <v>2286</v>
      </c>
      <c r="AO34" s="1254">
        <f t="shared" si="13"/>
        <v>0</v>
      </c>
      <c r="AP34" s="1146"/>
      <c r="AQ34" s="1146"/>
      <c r="AR34" s="1146"/>
      <c r="AS34" s="1146"/>
      <c r="AT34" s="1146"/>
      <c r="AU34" s="1146"/>
      <c r="AV34" s="1146"/>
      <c r="AW34" s="1146"/>
      <c r="AX34" s="1146"/>
    </row>
    <row r="35" spans="1:50" s="1146" customFormat="1" ht="29.25" customHeight="1">
      <c r="A35" s="1132">
        <f>_xlfn.AGGREGATE(4,7,A$17:A34)+1</f>
        <v>18</v>
      </c>
      <c r="B35" s="1172" t="s">
        <v>1849</v>
      </c>
      <c r="C35" s="1149" t="s">
        <v>1627</v>
      </c>
      <c r="D35" s="1173" t="s">
        <v>1267</v>
      </c>
      <c r="E35" s="1058" t="str">
        <f>VLOOKUP(B35,TH.T6!B40:J370,9,FALSE)</f>
        <v>NV Phòng Quản trị - Dịch vụ</v>
      </c>
      <c r="F35" s="1174">
        <v>3.65</v>
      </c>
      <c r="G35" s="1175"/>
      <c r="H35" s="1392">
        <f t="shared" si="2"/>
        <v>0</v>
      </c>
      <c r="I35" s="1176">
        <v>0.25</v>
      </c>
      <c r="J35" s="1174">
        <v>3.65</v>
      </c>
      <c r="K35" s="1175"/>
      <c r="L35" s="1392">
        <f t="shared" si="3"/>
        <v>0</v>
      </c>
      <c r="M35" s="1176">
        <v>0.25</v>
      </c>
      <c r="N35" s="1174">
        <v>3.65</v>
      </c>
      <c r="O35" s="1175"/>
      <c r="P35" s="1393">
        <f t="shared" si="4"/>
        <v>0</v>
      </c>
      <c r="Q35" s="1176">
        <v>0.25</v>
      </c>
      <c r="R35" s="1138" t="str">
        <f>IFERROR(INDEX('[18]Gui chi Quynh'!$E$11:$E$397,MATCH(B35,'[18]Gui chi Quynh'!$B$11:$B$397,0)),"")</f>
        <v>A2</v>
      </c>
      <c r="S35" s="1138">
        <f t="shared" si="5"/>
        <v>0.7</v>
      </c>
      <c r="T35" s="1138" t="str">
        <f>VLOOKUP(B35,'[19]Gui chi Quynh'!$B$11:$E$397,4,FALSE)</f>
        <v>A3</v>
      </c>
      <c r="U35" s="1138">
        <f t="shared" si="6"/>
        <v>0.6</v>
      </c>
      <c r="V35" s="1138" t="str">
        <f>VLOOKUP(B35,'[20]Gui chi Quynh'!$B$11:$E$396,4,FALSE)</f>
        <v>A1</v>
      </c>
      <c r="W35" s="1138">
        <f t="shared" si="7"/>
        <v>0.8</v>
      </c>
      <c r="X35" s="1138">
        <f>IFERROR(INDEX('[21]CN BC'!$J$10:$J$275,MATCH(B35,'[21]CN BC'!$H$10:$H$275,0)),"")</f>
        <v>27</v>
      </c>
      <c r="Y35" s="1138">
        <f>IFERROR(INDEX('[22]CN BC'!$J$10:$J$274,MATCH(B35,'[22]CN BC'!$H$10:$H$274,0)),"")</f>
        <v>26</v>
      </c>
      <c r="Z35" s="1138">
        <f>VLOOKUP(B35,'[23]CN BC'!$H$10:$J$275,3,FALSE)</f>
        <v>23</v>
      </c>
      <c r="AA35" s="1139">
        <f t="shared" si="8"/>
        <v>23</v>
      </c>
      <c r="AB35" s="1139">
        <f t="shared" si="9"/>
        <v>22</v>
      </c>
      <c r="AC35" s="1139">
        <f t="shared" si="10"/>
        <v>19</v>
      </c>
      <c r="AD35" s="1140"/>
      <c r="AE35" s="1141">
        <f t="shared" si="0"/>
        <v>19164600</v>
      </c>
      <c r="AF35" s="1519">
        <f t="shared" si="11"/>
        <v>8.19</v>
      </c>
      <c r="AG35" s="1224">
        <v>2340000</v>
      </c>
      <c r="AH35" s="1521">
        <f t="shared" si="12"/>
        <v>19164600</v>
      </c>
      <c r="AI35" s="1142">
        <f t="shared" si="1"/>
        <v>18</v>
      </c>
      <c r="AJ35" s="1143">
        <f>IFERROR(INDEX('[17]CN BC'!$M$10:$M$276,MATCH(B35,'[17]CN BC'!$H$10:$H$276,0)),"")</f>
        <v>0</v>
      </c>
      <c r="AK35" s="1144" t="str">
        <f>VLOOKUP(B35,TH.T4!B38:AC368,28,FALSE)</f>
        <v>QTDV</v>
      </c>
      <c r="AL35" s="1252">
        <f>_xlfn.AGGREGATE(4,7,AL$22:AL34)+1</f>
        <v>13</v>
      </c>
      <c r="AM35" s="1252" t="s">
        <v>2240</v>
      </c>
      <c r="AN35" s="1253" t="s">
        <v>2287</v>
      </c>
      <c r="AO35" s="1254">
        <f t="shared" si="13"/>
        <v>0</v>
      </c>
    </row>
    <row r="36" spans="1:50" s="1148" customFormat="1" ht="29.25" customHeight="1">
      <c r="A36" s="1132">
        <f>_xlfn.AGGREGATE(4,7,A$17:A35)+1</f>
        <v>19</v>
      </c>
      <c r="B36" s="1133" t="s">
        <v>1850</v>
      </c>
      <c r="C36" s="1153" t="s">
        <v>1628</v>
      </c>
      <c r="D36" s="1154" t="s">
        <v>1268</v>
      </c>
      <c r="E36" s="1058" t="str">
        <f>VLOOKUP(B36,TH.T6!B41:J371,9,FALSE)</f>
        <v>NV Phòng Quản trị - Dịch vụ</v>
      </c>
      <c r="F36" s="1136">
        <v>3.46</v>
      </c>
      <c r="G36" s="1137"/>
      <c r="H36" s="1392">
        <f t="shared" si="2"/>
        <v>0</v>
      </c>
      <c r="I36" s="1138"/>
      <c r="J36" s="1136">
        <v>3.46</v>
      </c>
      <c r="K36" s="1137"/>
      <c r="L36" s="1392">
        <f t="shared" si="3"/>
        <v>0</v>
      </c>
      <c r="M36" s="1138"/>
      <c r="N36" s="1136">
        <v>3.46</v>
      </c>
      <c r="O36" s="1137"/>
      <c r="P36" s="1393">
        <f t="shared" si="4"/>
        <v>0</v>
      </c>
      <c r="Q36" s="1138"/>
      <c r="R36" s="1138" t="str">
        <f>IFERROR(INDEX('[18]Gui chi Quynh'!$E$11:$E$397,MATCH(B36,'[18]Gui chi Quynh'!$B$11:$B$397,0)),"")</f>
        <v>A1</v>
      </c>
      <c r="S36" s="1138">
        <f t="shared" si="5"/>
        <v>0.8</v>
      </c>
      <c r="T36" s="1138" t="str">
        <f>VLOOKUP(B36,'[19]Gui chi Quynh'!$B$11:$E$397,4,FALSE)</f>
        <v>A1</v>
      </c>
      <c r="U36" s="1138">
        <f t="shared" si="6"/>
        <v>0.8</v>
      </c>
      <c r="V36" s="1138" t="str">
        <f>VLOOKUP(B36,'[20]Gui chi Quynh'!$B$11:$E$396,4,FALSE)</f>
        <v>A3</v>
      </c>
      <c r="W36" s="1138">
        <f t="shared" si="7"/>
        <v>0.6</v>
      </c>
      <c r="X36" s="1138">
        <f>IFERROR(INDEX('[21]CN BC'!$J$10:$J$275,MATCH(B36,'[21]CN BC'!$H$10:$H$275,0)),"")</f>
        <v>23</v>
      </c>
      <c r="Y36" s="1138">
        <f>IFERROR(INDEX('[22]CN BC'!$J$10:$J$274,MATCH(B36,'[22]CN BC'!$H$10:$H$274,0)),"")</f>
        <v>22</v>
      </c>
      <c r="Z36" s="1138">
        <f>VLOOKUP(B36,'[23]CN BC'!$H$10:$J$275,3,FALSE)</f>
        <v>18</v>
      </c>
      <c r="AA36" s="1139">
        <f t="shared" si="8"/>
        <v>23</v>
      </c>
      <c r="AB36" s="1139">
        <f t="shared" si="9"/>
        <v>22</v>
      </c>
      <c r="AC36" s="1139">
        <f t="shared" si="10"/>
        <v>18</v>
      </c>
      <c r="AD36" s="1140"/>
      <c r="AE36" s="1141">
        <f t="shared" si="0"/>
        <v>17556404</v>
      </c>
      <c r="AF36" s="1519">
        <f t="shared" si="11"/>
        <v>7.5027367521367525</v>
      </c>
      <c r="AG36" s="1224">
        <v>2340000</v>
      </c>
      <c r="AH36" s="1521">
        <f t="shared" si="12"/>
        <v>17556404</v>
      </c>
      <c r="AI36" s="1142">
        <f t="shared" si="1"/>
        <v>19</v>
      </c>
      <c r="AJ36" s="1143">
        <f>IFERROR(INDEX('[17]CN BC'!$M$10:$M$276,MATCH(B36,'[17]CN BC'!$H$10:$H$276,0)),"")</f>
        <v>0</v>
      </c>
      <c r="AK36" s="1144" t="str">
        <f>VLOOKUP(B36,TH.T4!B39:AC369,28,FALSE)</f>
        <v>QTDV</v>
      </c>
      <c r="AL36" s="1252">
        <f>_xlfn.AGGREGATE(4,7,AL$22:AL35)+1</f>
        <v>14</v>
      </c>
      <c r="AM36" s="1252" t="s">
        <v>2226</v>
      </c>
      <c r="AN36" s="1253" t="s">
        <v>2288</v>
      </c>
      <c r="AO36" s="1254">
        <f t="shared" si="13"/>
        <v>0</v>
      </c>
      <c r="AP36" s="1146"/>
      <c r="AQ36" s="1146"/>
      <c r="AR36" s="1146"/>
      <c r="AS36" s="1146"/>
      <c r="AT36" s="1146"/>
    </row>
    <row r="37" spans="1:50" s="1146" customFormat="1" ht="29.25" customHeight="1">
      <c r="A37" s="1132">
        <f>_xlfn.AGGREGATE(4,7,A$17:A36)+1</f>
        <v>20</v>
      </c>
      <c r="B37" s="1172" t="s">
        <v>1451</v>
      </c>
      <c r="C37" s="1149" t="s">
        <v>1629</v>
      </c>
      <c r="D37" s="1177" t="s">
        <v>367</v>
      </c>
      <c r="E37" s="1058" t="str">
        <f>VLOOKUP(B37,TH.T6!B42:J372,9,FALSE)</f>
        <v>Nhân viên phòng Quản trị - Dịch vụ</v>
      </c>
      <c r="F37" s="1174">
        <v>3.46</v>
      </c>
      <c r="G37" s="1175"/>
      <c r="H37" s="1392">
        <f t="shared" si="2"/>
        <v>0</v>
      </c>
      <c r="I37" s="1176"/>
      <c r="J37" s="1174">
        <v>3.46</v>
      </c>
      <c r="K37" s="1175"/>
      <c r="L37" s="1392">
        <f t="shared" si="3"/>
        <v>0</v>
      </c>
      <c r="M37" s="1176"/>
      <c r="N37" s="1174">
        <v>3.46</v>
      </c>
      <c r="O37" s="1175"/>
      <c r="P37" s="1393">
        <f t="shared" si="4"/>
        <v>0</v>
      </c>
      <c r="Q37" s="1176"/>
      <c r="R37" s="1138" t="str">
        <f>IFERROR(INDEX('[18]Gui chi Quynh'!$E$11:$E$397,MATCH(B37,'[18]Gui chi Quynh'!$B$11:$B$397,0)),"")</f>
        <v>A2</v>
      </c>
      <c r="S37" s="1138">
        <f t="shared" si="5"/>
        <v>0.7</v>
      </c>
      <c r="T37" s="1138" t="str">
        <f>VLOOKUP(B37,'[19]Gui chi Quynh'!$B$11:$E$397,4,FALSE)</f>
        <v>A1</v>
      </c>
      <c r="U37" s="1138">
        <f t="shared" si="6"/>
        <v>0.8</v>
      </c>
      <c r="V37" s="1138" t="str">
        <f>VLOOKUP(B37,'[20]Gui chi Quynh'!$B$11:$E$396,4,FALSE)</f>
        <v>A2</v>
      </c>
      <c r="W37" s="1138">
        <f t="shared" si="7"/>
        <v>0.7</v>
      </c>
      <c r="X37" s="1138">
        <f>IFERROR(INDEX('[21]CN BC'!$J$10:$J$275,MATCH(B37,'[21]CN BC'!$H$10:$H$275,0)),"")</f>
        <v>21</v>
      </c>
      <c r="Y37" s="1138">
        <f>IFERROR(INDEX('[22]CN BC'!$J$10:$J$274,MATCH(B37,'[22]CN BC'!$H$10:$H$274,0)),"")</f>
        <v>22</v>
      </c>
      <c r="Z37" s="1138">
        <f>VLOOKUP(B37,'[23]CN BC'!$H$10:$J$275,3,FALSE)</f>
        <v>19</v>
      </c>
      <c r="AA37" s="1139">
        <f t="shared" si="8"/>
        <v>21</v>
      </c>
      <c r="AB37" s="1139">
        <f t="shared" si="9"/>
        <v>22</v>
      </c>
      <c r="AC37" s="1139">
        <f t="shared" si="10"/>
        <v>19</v>
      </c>
      <c r="AD37" s="1140"/>
      <c r="AE37" s="1141">
        <f t="shared" si="0"/>
        <v>17319256</v>
      </c>
      <c r="AF37" s="1519">
        <f t="shared" si="11"/>
        <v>7.4013914529914526</v>
      </c>
      <c r="AG37" s="1224">
        <v>2340000</v>
      </c>
      <c r="AH37" s="1521">
        <f t="shared" si="12"/>
        <v>17319256</v>
      </c>
      <c r="AI37" s="1142">
        <f t="shared" si="1"/>
        <v>20</v>
      </c>
      <c r="AJ37" s="1143"/>
      <c r="AK37" s="1144" t="str">
        <f>VLOOKUP(B37,TH.T4!B40:AC370,28,FALSE)</f>
        <v>QTDV</v>
      </c>
      <c r="AL37" s="1252">
        <f>_xlfn.AGGREGATE(4,7,AL$22:AL36)+1</f>
        <v>15</v>
      </c>
      <c r="AM37" s="1258" t="s">
        <v>2289</v>
      </c>
      <c r="AN37" s="1253" t="s">
        <v>2290</v>
      </c>
      <c r="AO37" s="1254">
        <f t="shared" si="13"/>
        <v>0</v>
      </c>
    </row>
    <row r="38" spans="1:50" s="1148" customFormat="1" ht="29.25" customHeight="1">
      <c r="A38" s="1132">
        <f>_xlfn.AGGREGATE(4,7,A$17:A37)+1</f>
        <v>21</v>
      </c>
      <c r="B38" s="1133" t="s">
        <v>1452</v>
      </c>
      <c r="C38" s="1153" t="s">
        <v>1630</v>
      </c>
      <c r="D38" s="1166">
        <v>1603205348129</v>
      </c>
      <c r="E38" s="1058" t="str">
        <f>VLOOKUP(B38,TH.T6!B43:J373,9,FALSE)</f>
        <v>Nhân viên phòng Quản trị - Dịch vụ</v>
      </c>
      <c r="F38" s="1136">
        <v>3.34</v>
      </c>
      <c r="G38" s="1137"/>
      <c r="H38" s="1392">
        <f t="shared" si="2"/>
        <v>0</v>
      </c>
      <c r="I38" s="1138"/>
      <c r="J38" s="1136">
        <v>3.34</v>
      </c>
      <c r="K38" s="1137"/>
      <c r="L38" s="1392">
        <f t="shared" si="3"/>
        <v>0</v>
      </c>
      <c r="M38" s="1138"/>
      <c r="N38" s="1136">
        <v>3.34</v>
      </c>
      <c r="O38" s="1137"/>
      <c r="P38" s="1393">
        <f t="shared" si="4"/>
        <v>0</v>
      </c>
      <c r="Q38" s="1138"/>
      <c r="R38" s="1138" t="str">
        <f>IFERROR(INDEX('[18]Gui chi Quynh'!$E$11:$E$397,MATCH(B38,'[18]Gui chi Quynh'!$B$11:$B$397,0)),"")</f>
        <v>A3</v>
      </c>
      <c r="S38" s="1138">
        <f t="shared" si="5"/>
        <v>0.6</v>
      </c>
      <c r="T38" s="1138" t="str">
        <f>VLOOKUP(B38,'[19]Gui chi Quynh'!$B$11:$E$397,4,FALSE)</f>
        <v>A2</v>
      </c>
      <c r="U38" s="1138">
        <f t="shared" si="6"/>
        <v>0.7</v>
      </c>
      <c r="V38" s="1138" t="str">
        <f>VLOOKUP(B38,'[20]Gui chi Quynh'!$B$11:$E$396,4,FALSE)</f>
        <v>A2</v>
      </c>
      <c r="W38" s="1138">
        <f t="shared" si="7"/>
        <v>0.7</v>
      </c>
      <c r="X38" s="1138">
        <f>IFERROR(INDEX('[21]CN BC'!$J$10:$J$275,MATCH(B38,'[21]CN BC'!$H$10:$H$275,0)),"")</f>
        <v>23</v>
      </c>
      <c r="Y38" s="1138">
        <f>IFERROR(INDEX('[22]CN BC'!$J$10:$J$274,MATCH(B38,'[22]CN BC'!$H$10:$H$274,0)),"")</f>
        <v>22</v>
      </c>
      <c r="Z38" s="1138">
        <f>VLOOKUP(B38,'[23]CN BC'!$H$10:$J$275,3,FALSE)</f>
        <v>18</v>
      </c>
      <c r="AA38" s="1139">
        <f t="shared" si="8"/>
        <v>23</v>
      </c>
      <c r="AB38" s="1139">
        <f t="shared" si="9"/>
        <v>22</v>
      </c>
      <c r="AC38" s="1139">
        <f t="shared" si="10"/>
        <v>18</v>
      </c>
      <c r="AD38" s="1140"/>
      <c r="AE38" s="1141">
        <f t="shared" si="0"/>
        <v>15343257</v>
      </c>
      <c r="AF38" s="1519">
        <f t="shared" si="11"/>
        <v>6.5569474358974356</v>
      </c>
      <c r="AG38" s="1224">
        <v>2340000</v>
      </c>
      <c r="AH38" s="1521">
        <f t="shared" si="12"/>
        <v>15343257</v>
      </c>
      <c r="AI38" s="1142">
        <f t="shared" si="1"/>
        <v>21</v>
      </c>
      <c r="AJ38" s="1143">
        <f>IFERROR(INDEX('[17]CN BC'!$M$10:$M$276,MATCH(B38,'[17]CN BC'!$H$10:$H$276,0)),"")</f>
        <v>0</v>
      </c>
      <c r="AK38" s="1144" t="str">
        <f>VLOOKUP(B38,TH.T4!B41:AC371,28,FALSE)</f>
        <v>QTDV</v>
      </c>
      <c r="AL38" s="1252">
        <f>_xlfn.AGGREGATE(4,7,AL$22:AL37)+1</f>
        <v>16</v>
      </c>
      <c r="AM38" s="1252" t="s">
        <v>2233</v>
      </c>
      <c r="AN38" s="1253" t="s">
        <v>2291</v>
      </c>
      <c r="AO38" s="1254">
        <f t="shared" si="13"/>
        <v>0</v>
      </c>
      <c r="AP38" s="1146"/>
      <c r="AQ38" s="1146"/>
      <c r="AR38" s="1146"/>
      <c r="AS38" s="1146"/>
      <c r="AT38" s="1146"/>
    </row>
    <row r="39" spans="1:50" s="1146" customFormat="1" ht="24.75" customHeight="1">
      <c r="A39" s="1132">
        <f>_xlfn.AGGREGATE(4,7,A$17:A38)+1</f>
        <v>22</v>
      </c>
      <c r="B39" s="1172" t="s">
        <v>1453</v>
      </c>
      <c r="C39" s="1149" t="s">
        <v>1631</v>
      </c>
      <c r="D39" s="1177" t="s">
        <v>384</v>
      </c>
      <c r="E39" s="1058" t="str">
        <f>VLOOKUP(B39,TH.T6!B44:J374,9,FALSE)</f>
        <v>Nhân viên phòng Quản trị - Dịch vụ</v>
      </c>
      <c r="F39" s="1178">
        <v>3.66</v>
      </c>
      <c r="G39" s="1175"/>
      <c r="H39" s="1392">
        <f t="shared" si="2"/>
        <v>0</v>
      </c>
      <c r="I39" s="1176"/>
      <c r="J39" s="1178">
        <v>3.66</v>
      </c>
      <c r="K39" s="1175"/>
      <c r="L39" s="1392">
        <f t="shared" si="3"/>
        <v>0</v>
      </c>
      <c r="M39" s="1176"/>
      <c r="N39" s="1178">
        <v>3.66</v>
      </c>
      <c r="O39" s="1175"/>
      <c r="P39" s="1393">
        <f t="shared" si="4"/>
        <v>0</v>
      </c>
      <c r="Q39" s="1176"/>
      <c r="R39" s="1138" t="str">
        <f>IFERROR(INDEX('[18]Gui chi Quynh'!$E$11:$E$397,MATCH(B39,'[18]Gui chi Quynh'!$B$11:$B$397,0)),"")</f>
        <v>A4</v>
      </c>
      <c r="S39" s="1138">
        <f t="shared" si="5"/>
        <v>0.5</v>
      </c>
      <c r="T39" s="1138" t="str">
        <f>VLOOKUP(B39,'[19]Gui chi Quynh'!$B$11:$E$397,4,FALSE)</f>
        <v>A4</v>
      </c>
      <c r="U39" s="1138">
        <f t="shared" si="6"/>
        <v>0.5</v>
      </c>
      <c r="V39" s="1138" t="str">
        <f>VLOOKUP(B39,'[20]Gui chi Quynh'!$B$11:$E$396,4,FALSE)</f>
        <v>A4</v>
      </c>
      <c r="W39" s="1138">
        <f t="shared" si="7"/>
        <v>0.5</v>
      </c>
      <c r="X39" s="1138">
        <f>IFERROR(INDEX('[21]CN BC'!$J$10:$J$275,MATCH(B39,'[21]CN BC'!$H$10:$H$275,0)),"")</f>
        <v>23</v>
      </c>
      <c r="Y39" s="1138">
        <f>IFERROR(INDEX('[22]CN BC'!$J$10:$J$274,MATCH(B39,'[22]CN BC'!$H$10:$H$274,0)),"")</f>
        <v>20</v>
      </c>
      <c r="Z39" s="1138">
        <f>VLOOKUP(B39,'[23]CN BC'!$H$10:$J$275,3,FALSE)</f>
        <v>18</v>
      </c>
      <c r="AA39" s="1139">
        <f t="shared" si="8"/>
        <v>23</v>
      </c>
      <c r="AB39" s="1139">
        <f t="shared" si="9"/>
        <v>20</v>
      </c>
      <c r="AC39" s="1139">
        <f t="shared" si="10"/>
        <v>18</v>
      </c>
      <c r="AD39" s="1140"/>
      <c r="AE39" s="1141">
        <f t="shared" si="0"/>
        <v>12231930</v>
      </c>
      <c r="AF39" s="1519">
        <f t="shared" si="11"/>
        <v>5.2273205128205129</v>
      </c>
      <c r="AG39" s="1224">
        <v>2340000</v>
      </c>
      <c r="AH39" s="1521">
        <f t="shared" si="12"/>
        <v>12231930</v>
      </c>
      <c r="AI39" s="1142">
        <f t="shared" si="1"/>
        <v>22</v>
      </c>
      <c r="AJ39" s="1143">
        <f>IFERROR(INDEX('[17]CN BC'!$M$10:$M$276,MATCH(B39,'[17]CN BC'!$H$10:$H$276,0)),"")</f>
        <v>0</v>
      </c>
      <c r="AK39" s="1144" t="str">
        <f>VLOOKUP(B39,TH.T4!B42:AC372,28,FALSE)</f>
        <v>QTDV</v>
      </c>
      <c r="AL39" s="1252">
        <f>_xlfn.AGGREGATE(4,7,AL$22:AL38)+1</f>
        <v>17</v>
      </c>
      <c r="AM39" s="1252" t="s">
        <v>2236</v>
      </c>
      <c r="AN39" s="1253" t="s">
        <v>2292</v>
      </c>
      <c r="AO39" s="1254">
        <f t="shared" si="13"/>
        <v>0</v>
      </c>
    </row>
    <row r="40" spans="1:50" s="1148" customFormat="1" ht="25.5" customHeight="1">
      <c r="A40" s="1132">
        <f>_xlfn.AGGREGATE(4,7,A$17:A39)+1</f>
        <v>23</v>
      </c>
      <c r="B40" s="1133" t="s">
        <v>1522</v>
      </c>
      <c r="C40" s="1153" t="s">
        <v>1633</v>
      </c>
      <c r="D40" s="1179">
        <v>1603205357238</v>
      </c>
      <c r="E40" s="1058" t="s">
        <v>2384</v>
      </c>
      <c r="F40" s="1136">
        <v>3.03</v>
      </c>
      <c r="G40" s="1137"/>
      <c r="H40" s="1392">
        <f t="shared" si="2"/>
        <v>0</v>
      </c>
      <c r="I40" s="1138"/>
      <c r="J40" s="1136">
        <v>3.03</v>
      </c>
      <c r="K40" s="1137"/>
      <c r="L40" s="1392">
        <f t="shared" si="3"/>
        <v>0</v>
      </c>
      <c r="M40" s="1138"/>
      <c r="N40" s="1136">
        <v>3.03</v>
      </c>
      <c r="O40" s="1137"/>
      <c r="P40" s="1393">
        <f t="shared" si="4"/>
        <v>0</v>
      </c>
      <c r="Q40" s="1138"/>
      <c r="R40" s="1138" t="str">
        <f>IFERROR(INDEX('[18]Gui chi Quynh'!$E$11:$E$397,MATCH(B40,'[18]Gui chi Quynh'!$B$11:$B$397,0)),"")</f>
        <v>A2</v>
      </c>
      <c r="S40" s="1138">
        <f t="shared" si="5"/>
        <v>0.7</v>
      </c>
      <c r="T40" s="1138" t="str">
        <f>VLOOKUP(B40,'[19]Gui chi Quynh'!$B$11:$E$397,4,FALSE)</f>
        <v>A1</v>
      </c>
      <c r="U40" s="1138">
        <f t="shared" si="6"/>
        <v>0.8</v>
      </c>
      <c r="V40" s="1138" t="str">
        <f>VLOOKUP(B40,'[20]Gui chi Quynh'!$B$11:$E$396,4,FALSE)</f>
        <v>A1</v>
      </c>
      <c r="W40" s="1138">
        <f t="shared" si="7"/>
        <v>0.8</v>
      </c>
      <c r="X40" s="1138">
        <f>IFERROR(INDEX('[21]CN BC'!$J$10:$J$275,MATCH(B40,'[21]CN BC'!$H$10:$H$275,0)),"")</f>
        <v>25</v>
      </c>
      <c r="Y40" s="1138">
        <f>IFERROR(INDEX('[22]CN BC'!$J$10:$J$274,MATCH(B40,'[22]CN BC'!$H$10:$H$274,0)),"")</f>
        <v>22</v>
      </c>
      <c r="Z40" s="1138">
        <f>VLOOKUP(B40,'[23]CN BC'!$H$10:$J$275,3,FALSE)</f>
        <v>21</v>
      </c>
      <c r="AA40" s="1139">
        <f t="shared" si="8"/>
        <v>23</v>
      </c>
      <c r="AB40" s="1139">
        <f t="shared" si="9"/>
        <v>22</v>
      </c>
      <c r="AC40" s="1139">
        <f t="shared" si="10"/>
        <v>19</v>
      </c>
      <c r="AD40" s="1140"/>
      <c r="AE40" s="1141">
        <f t="shared" si="0"/>
        <v>16307460</v>
      </c>
      <c r="AF40" s="1519">
        <f t="shared" si="11"/>
        <v>6.9690000000000003</v>
      </c>
      <c r="AG40" s="1224">
        <v>2340000</v>
      </c>
      <c r="AH40" s="1521">
        <f t="shared" si="12"/>
        <v>16307460</v>
      </c>
      <c r="AI40" s="1142">
        <f t="shared" si="1"/>
        <v>23</v>
      </c>
      <c r="AJ40" s="1143">
        <f>IFERROR(INDEX('[17]CN BC'!$M$10:$M$276,MATCH(B40,'[17]CN BC'!$H$10:$H$276,0)),"")</f>
        <v>0</v>
      </c>
      <c r="AK40" s="1144" t="str">
        <f>VLOOKUP(B40,TH.T4!B43:AC373,28,FALSE)</f>
        <v>TTĐT</v>
      </c>
      <c r="AL40" s="1252">
        <f>_xlfn.AGGREGATE(4,7,AL$22:AL39)+1</f>
        <v>18</v>
      </c>
      <c r="AM40" s="1252" t="s">
        <v>2293</v>
      </c>
      <c r="AN40" s="1253" t="s">
        <v>2294</v>
      </c>
      <c r="AO40" s="1254">
        <f t="shared" si="13"/>
        <v>0</v>
      </c>
      <c r="AP40" s="1146"/>
      <c r="AQ40" s="1146"/>
      <c r="AR40" s="1146"/>
      <c r="AS40" s="1146"/>
      <c r="AT40" s="1146"/>
    </row>
    <row r="41" spans="1:50" s="1148" customFormat="1" ht="29.25" customHeight="1">
      <c r="A41" s="1132">
        <f>_xlfn.AGGREGATE(4,7,A$17:A40)+1</f>
        <v>24</v>
      </c>
      <c r="B41" s="1133" t="s">
        <v>1523</v>
      </c>
      <c r="C41" s="1153" t="s">
        <v>1634</v>
      </c>
      <c r="D41" s="1166">
        <v>1603205302590</v>
      </c>
      <c r="E41" s="1058" t="s">
        <v>2384</v>
      </c>
      <c r="F41" s="1136">
        <v>3.34</v>
      </c>
      <c r="G41" s="1137"/>
      <c r="H41" s="1392">
        <f t="shared" si="2"/>
        <v>0</v>
      </c>
      <c r="I41" s="1138"/>
      <c r="J41" s="1136">
        <v>3.34</v>
      </c>
      <c r="K41" s="1137"/>
      <c r="L41" s="1392">
        <f t="shared" si="3"/>
        <v>0</v>
      </c>
      <c r="M41" s="1138"/>
      <c r="N41" s="1136">
        <v>3.34</v>
      </c>
      <c r="O41" s="1137"/>
      <c r="P41" s="1393">
        <f t="shared" si="4"/>
        <v>0</v>
      </c>
      <c r="Q41" s="1138"/>
      <c r="R41" s="1138" t="str">
        <f>IFERROR(INDEX('[18]Gui chi Quynh'!$E$11:$E$397,MATCH(B41,'[18]Gui chi Quynh'!$B$11:$B$397,0)),"")</f>
        <v>A2</v>
      </c>
      <c r="S41" s="1138">
        <f t="shared" si="5"/>
        <v>0.7</v>
      </c>
      <c r="T41" s="1138" t="str">
        <f>VLOOKUP(B41,'[19]Gui chi Quynh'!$B$11:$E$397,4,FALSE)</f>
        <v>A3</v>
      </c>
      <c r="U41" s="1138">
        <f t="shared" si="6"/>
        <v>0.6</v>
      </c>
      <c r="V41" s="1138" t="str">
        <f>VLOOKUP(B41,'[20]Gui chi Quynh'!$B$11:$E$396,4,FALSE)</f>
        <v>A2</v>
      </c>
      <c r="W41" s="1138">
        <f t="shared" si="7"/>
        <v>0.7</v>
      </c>
      <c r="X41" s="1138">
        <f>IFERROR(INDEX('[21]CN BC'!$J$10:$J$275,MATCH(B41,'[21]CN BC'!$H$10:$H$275,0)),"")</f>
        <v>23</v>
      </c>
      <c r="Y41" s="1138">
        <f>IFERROR(INDEX('[22]CN BC'!$J$10:$J$274,MATCH(B41,'[22]CN BC'!$H$10:$H$274,0)),"")</f>
        <v>24</v>
      </c>
      <c r="Z41" s="1138">
        <f>VLOOKUP(B41,'[23]CN BC'!$H$10:$J$275,3,FALSE)</f>
        <v>21</v>
      </c>
      <c r="AA41" s="1139">
        <f t="shared" si="8"/>
        <v>23</v>
      </c>
      <c r="AB41" s="1139">
        <f t="shared" si="9"/>
        <v>22</v>
      </c>
      <c r="AC41" s="1139">
        <f t="shared" si="10"/>
        <v>19</v>
      </c>
      <c r="AD41" s="1140"/>
      <c r="AE41" s="1141">
        <f t="shared" si="0"/>
        <v>15631200</v>
      </c>
      <c r="AF41" s="1519">
        <f t="shared" si="11"/>
        <v>6.68</v>
      </c>
      <c r="AG41" s="1224">
        <v>2340000</v>
      </c>
      <c r="AH41" s="1521">
        <f t="shared" si="12"/>
        <v>15631200</v>
      </c>
      <c r="AI41" s="1142">
        <f t="shared" si="1"/>
        <v>24</v>
      </c>
      <c r="AJ41" s="1143">
        <f>IFERROR(INDEX('[17]CN BC'!$M$10:$M$276,MATCH(B41,'[17]CN BC'!$H$10:$H$276,0)),"")</f>
        <v>0</v>
      </c>
      <c r="AK41" s="1144" t="str">
        <f>VLOOKUP(B41,TH.T4!B44:AC374,28,FALSE)</f>
        <v>TTĐT</v>
      </c>
      <c r="AL41" s="1252">
        <f>_xlfn.AGGREGATE(4,7,AL$22:AL40)+1</f>
        <v>19</v>
      </c>
      <c r="AM41" s="1252" t="s">
        <v>2229</v>
      </c>
      <c r="AN41" s="1253" t="s">
        <v>2295</v>
      </c>
      <c r="AO41" s="1254">
        <f t="shared" si="13"/>
        <v>0</v>
      </c>
      <c r="AP41" s="1146"/>
      <c r="AQ41" s="1146"/>
      <c r="AR41" s="1146"/>
      <c r="AS41" s="1146"/>
      <c r="AT41" s="1146"/>
    </row>
    <row r="42" spans="1:50" s="1148" customFormat="1" ht="26.25" customHeight="1">
      <c r="A42" s="1132">
        <f>_xlfn.AGGREGATE(4,7,A$17:A41)+1</f>
        <v>25</v>
      </c>
      <c r="B42" s="1164" t="s">
        <v>1606</v>
      </c>
      <c r="C42" s="1165" t="s">
        <v>1635</v>
      </c>
      <c r="D42" s="1180" t="s">
        <v>1604</v>
      </c>
      <c r="E42" s="1058" t="s">
        <v>2383</v>
      </c>
      <c r="F42" s="1160">
        <v>3</v>
      </c>
      <c r="G42" s="1137"/>
      <c r="H42" s="1392">
        <f t="shared" si="2"/>
        <v>0</v>
      </c>
      <c r="I42" s="1138">
        <v>0.35</v>
      </c>
      <c r="J42" s="1160">
        <v>3</v>
      </c>
      <c r="K42" s="1137"/>
      <c r="L42" s="1392">
        <f t="shared" si="3"/>
        <v>0</v>
      </c>
      <c r="M42" s="1138">
        <v>0.35</v>
      </c>
      <c r="N42" s="1160">
        <v>3</v>
      </c>
      <c r="O42" s="1137"/>
      <c r="P42" s="1393">
        <f t="shared" si="4"/>
        <v>0</v>
      </c>
      <c r="Q42" s="1138">
        <v>0.35</v>
      </c>
      <c r="R42" s="1138" t="str">
        <f>IFERROR(INDEX('[18]Gui chi Quynh'!$E$11:$E$397,MATCH(B42,'[18]Gui chi Quynh'!$B$11:$B$397,0)),"")</f>
        <v>A1</v>
      </c>
      <c r="S42" s="1138">
        <f t="shared" si="5"/>
        <v>0.8</v>
      </c>
      <c r="T42" s="1138" t="str">
        <f>VLOOKUP(B42,'[19]Gui chi Quynh'!$B$11:$E$397,4,FALSE)</f>
        <v>A1</v>
      </c>
      <c r="U42" s="1138">
        <f t="shared" si="6"/>
        <v>0.8</v>
      </c>
      <c r="V42" s="1138" t="str">
        <f>VLOOKUP(B42,'[20]Gui chi Quynh'!$B$11:$E$396,4,FALSE)</f>
        <v>A1</v>
      </c>
      <c r="W42" s="1138">
        <f t="shared" si="7"/>
        <v>0.8</v>
      </c>
      <c r="X42" s="1138">
        <f>IFERROR(INDEX('[21]CN BC'!$J$10:$J$275,MATCH(B42,'[21]CN BC'!$H$10:$H$275,0)),"")</f>
        <v>27</v>
      </c>
      <c r="Y42" s="1138">
        <f>IFERROR(INDEX('[22]CN BC'!$J$10:$J$274,MATCH(B42,'[22]CN BC'!$H$10:$H$274,0)),"")</f>
        <v>30</v>
      </c>
      <c r="Z42" s="1138">
        <f>VLOOKUP(B42,'[23]CN BC'!$H$10:$J$275,3,FALSE)</f>
        <v>23</v>
      </c>
      <c r="AA42" s="1139">
        <f t="shared" si="8"/>
        <v>23</v>
      </c>
      <c r="AB42" s="1139">
        <f t="shared" si="9"/>
        <v>22</v>
      </c>
      <c r="AC42" s="1139">
        <f t="shared" si="10"/>
        <v>19</v>
      </c>
      <c r="AD42" s="1140"/>
      <c r="AE42" s="1141">
        <f t="shared" si="0"/>
        <v>18813600</v>
      </c>
      <c r="AF42" s="1519">
        <f t="shared" si="11"/>
        <v>8.0399999999999991</v>
      </c>
      <c r="AG42" s="1224">
        <v>2340000</v>
      </c>
      <c r="AH42" s="1521">
        <f t="shared" si="12"/>
        <v>18813599.999999996</v>
      </c>
      <c r="AI42" s="1142">
        <f t="shared" si="1"/>
        <v>25</v>
      </c>
      <c r="AJ42" s="1143">
        <f>IFERROR(INDEX('[17]CN BC'!$M$10:$M$276,MATCH(B42,'[17]CN BC'!$H$10:$H$276,0)),"")</f>
        <v>0</v>
      </c>
      <c r="AK42" s="1144" t="str">
        <f>VLOOKUP(B42,TH.T4!B45:AC375,28,FALSE)</f>
        <v>TTĐT</v>
      </c>
      <c r="AL42" s="1252">
        <f>_xlfn.AGGREGATE(4,7,AL$22:AL41)+1</f>
        <v>20</v>
      </c>
      <c r="AM42" s="1252" t="s">
        <v>2222</v>
      </c>
      <c r="AN42" s="1253" t="s">
        <v>2296</v>
      </c>
      <c r="AO42" s="1254">
        <f t="shared" si="13"/>
        <v>0</v>
      </c>
    </row>
    <row r="43" spans="1:50" s="1148" customFormat="1" ht="35.25" customHeight="1">
      <c r="A43" s="1132">
        <f>_xlfn.AGGREGATE(4,7,A$17:A42)+1</f>
        <v>26</v>
      </c>
      <c r="B43" s="1164" t="s">
        <v>1843</v>
      </c>
      <c r="C43" s="1165" t="s">
        <v>1955</v>
      </c>
      <c r="D43" s="1181" t="s">
        <v>1936</v>
      </c>
      <c r="E43" s="1058" t="s">
        <v>2384</v>
      </c>
      <c r="F43" s="1136">
        <v>2.67</v>
      </c>
      <c r="G43" s="1137"/>
      <c r="H43" s="1392">
        <f t="shared" si="2"/>
        <v>0</v>
      </c>
      <c r="I43" s="1138"/>
      <c r="J43" s="1136">
        <v>2.67</v>
      </c>
      <c r="K43" s="1137"/>
      <c r="L43" s="1392">
        <f t="shared" si="3"/>
        <v>0</v>
      </c>
      <c r="M43" s="1138"/>
      <c r="N43" s="1136">
        <v>2.67</v>
      </c>
      <c r="O43" s="1137"/>
      <c r="P43" s="1393">
        <f t="shared" si="4"/>
        <v>0</v>
      </c>
      <c r="Q43" s="1138"/>
      <c r="R43" s="1138" t="str">
        <f>IFERROR(INDEX('[18]Gui chi Quynh'!$E$11:$E$397,MATCH(B43,'[18]Gui chi Quynh'!$B$11:$B$397,0)),"")</f>
        <v>A1</v>
      </c>
      <c r="S43" s="1138">
        <f t="shared" si="5"/>
        <v>0.8</v>
      </c>
      <c r="T43" s="1138" t="str">
        <f>VLOOKUP(B43,'[19]Gui chi Quynh'!$B$11:$E$397,4,FALSE)</f>
        <v>A1</v>
      </c>
      <c r="U43" s="1138">
        <f t="shared" si="6"/>
        <v>0.8</v>
      </c>
      <c r="V43" s="1138" t="str">
        <f>VLOOKUP(B43,'[20]Gui chi Quynh'!$B$11:$E$396,4,FALSE)</f>
        <v>A2</v>
      </c>
      <c r="W43" s="1138">
        <f t="shared" si="7"/>
        <v>0.7</v>
      </c>
      <c r="X43" s="1138">
        <f>IFERROR(INDEX('[21]CN BC'!$J$10:$J$275,MATCH(B43,'[21]CN BC'!$H$10:$H$275,0)),"")</f>
        <v>23</v>
      </c>
      <c r="Y43" s="1138">
        <f>IFERROR(INDEX('[22]CN BC'!$J$10:$J$274,MATCH(B43,'[22]CN BC'!$H$10:$H$274,0)),"")</f>
        <v>24</v>
      </c>
      <c r="Z43" s="1138">
        <f>VLOOKUP(B43,'[23]CN BC'!$H$10:$J$275,3,FALSE)</f>
        <v>23</v>
      </c>
      <c r="AA43" s="1139">
        <f t="shared" si="8"/>
        <v>23</v>
      </c>
      <c r="AB43" s="1139">
        <f t="shared" si="9"/>
        <v>22</v>
      </c>
      <c r="AC43" s="1139">
        <f t="shared" si="10"/>
        <v>19</v>
      </c>
      <c r="AD43" s="1140"/>
      <c r="AE43" s="1141">
        <f t="shared" si="0"/>
        <v>14369940</v>
      </c>
      <c r="AF43" s="1519">
        <f t="shared" si="11"/>
        <v>6.141</v>
      </c>
      <c r="AG43" s="1224">
        <v>2340000</v>
      </c>
      <c r="AH43" s="1521">
        <f t="shared" si="12"/>
        <v>14369940</v>
      </c>
      <c r="AI43" s="1142">
        <f t="shared" si="1"/>
        <v>26</v>
      </c>
      <c r="AJ43" s="1143">
        <f>IFERROR(INDEX('[17]CN BC'!$M$10:$M$276,MATCH(B43,'[17]CN BC'!$H$10:$H$276,0)),"")</f>
        <v>0</v>
      </c>
      <c r="AK43" s="1144" t="str">
        <f>VLOOKUP(B43,TH.T4!B46:AC376,28,FALSE)</f>
        <v>TTĐT</v>
      </c>
      <c r="AL43" s="1252">
        <f>_xlfn.AGGREGATE(4,7,AL$22:AL42)+1</f>
        <v>21</v>
      </c>
      <c r="AM43" s="1252" t="s">
        <v>2223</v>
      </c>
      <c r="AN43" s="1253" t="s">
        <v>2297</v>
      </c>
      <c r="AO43" s="1254">
        <f t="shared" si="13"/>
        <v>0</v>
      </c>
      <c r="AP43" s="1146"/>
      <c r="AQ43" s="1146"/>
      <c r="AR43" s="1146"/>
      <c r="AS43" s="1146"/>
      <c r="AT43" s="1146"/>
    </row>
    <row r="44" spans="1:50" s="1146" customFormat="1" ht="27" customHeight="1">
      <c r="A44" s="1132">
        <f>_xlfn.AGGREGATE(4,7,A$17:A43)+1</f>
        <v>27</v>
      </c>
      <c r="B44" s="1215" t="s">
        <v>1856</v>
      </c>
      <c r="C44" s="1216" t="s">
        <v>1652</v>
      </c>
      <c r="D44" s="1347" t="s">
        <v>1293</v>
      </c>
      <c r="E44" s="579" t="str">
        <f>VLOOKUP(B44,TH.T6!B49:J379,9,FALSE)</f>
        <v>Nhân viên phòng Quản trị - Dịch vụ</v>
      </c>
      <c r="F44" s="1217">
        <v>4.9800000000000004</v>
      </c>
      <c r="G44" s="1218">
        <v>0.05</v>
      </c>
      <c r="H44" s="1394">
        <f t="shared" si="2"/>
        <v>0.249</v>
      </c>
      <c r="I44" s="1219">
        <v>0.25</v>
      </c>
      <c r="J44" s="1217">
        <v>4.9800000000000004</v>
      </c>
      <c r="K44" s="1218">
        <v>0.05</v>
      </c>
      <c r="L44" s="1394">
        <f t="shared" si="3"/>
        <v>0.249</v>
      </c>
      <c r="M44" s="1219">
        <v>0.25</v>
      </c>
      <c r="N44" s="1217">
        <v>4.9800000000000004</v>
      </c>
      <c r="O44" s="1218">
        <v>0.06</v>
      </c>
      <c r="P44" s="1395">
        <f t="shared" si="4"/>
        <v>0.29899999999999999</v>
      </c>
      <c r="Q44" s="1219">
        <v>0.25</v>
      </c>
      <c r="R44" s="1219" t="str">
        <f>IFERROR(INDEX('[18]Gui chi Quynh'!$E$11:$E$397,MATCH(B44,'[18]Gui chi Quynh'!$B$11:$B$397,0)),"")</f>
        <v>A2</v>
      </c>
      <c r="S44" s="1219">
        <f t="shared" si="5"/>
        <v>0.7</v>
      </c>
      <c r="T44" s="1219" t="str">
        <f>VLOOKUP(B44,'[19]Gui chi Quynh'!$B$11:$E$397,4,FALSE)</f>
        <v>A3</v>
      </c>
      <c r="U44" s="1219">
        <f t="shared" si="6"/>
        <v>0.6</v>
      </c>
      <c r="V44" s="1219" t="str">
        <f>VLOOKUP(B44,'[20]Gui chi Quynh'!$B$11:$E$396,4,FALSE)</f>
        <v>A3</v>
      </c>
      <c r="W44" s="1219">
        <f t="shared" si="7"/>
        <v>0.6</v>
      </c>
      <c r="X44" s="1219">
        <f>IFERROR(INDEX('[21]CN BC'!$J$10:$J$275,MATCH(B44,'[21]CN BC'!$H$10:$H$275,0)),"")</f>
        <v>24</v>
      </c>
      <c r="Y44" s="1219">
        <f>IFERROR(INDEX('[22]CN BC'!$J$10:$J$274,MATCH(B44,'[22]CN BC'!$H$10:$H$274,0)),"")</f>
        <v>26</v>
      </c>
      <c r="Z44" s="1219">
        <f>VLOOKUP(B44,'[23]CN BC'!$H$10:$J$275,3,FALSE)</f>
        <v>23</v>
      </c>
      <c r="AA44" s="1348">
        <f t="shared" si="8"/>
        <v>23</v>
      </c>
      <c r="AB44" s="1348">
        <f t="shared" si="9"/>
        <v>22</v>
      </c>
      <c r="AC44" s="1348">
        <f t="shared" si="10"/>
        <v>19</v>
      </c>
      <c r="AD44" s="1220"/>
      <c r="AE44" s="1349">
        <f t="shared" si="0"/>
        <v>24429834</v>
      </c>
      <c r="AF44" s="1548">
        <f t="shared" si="11"/>
        <v>10.440099999999999</v>
      </c>
      <c r="AG44" s="1359">
        <v>2340000</v>
      </c>
      <c r="AH44" s="1549">
        <f t="shared" si="12"/>
        <v>24429834</v>
      </c>
      <c r="AI44" s="1221">
        <f t="shared" si="1"/>
        <v>27</v>
      </c>
      <c r="AJ44" s="1350" t="s">
        <v>2362</v>
      </c>
      <c r="AK44" s="1144" t="str">
        <f>VLOOKUP(B44,TH.T4!B47:AC377,28,FALSE)</f>
        <v>QTDV</v>
      </c>
      <c r="AL44" s="1252">
        <f>_xlfn.AGGREGATE(4,7,AL$22:AL43)+1</f>
        <v>22</v>
      </c>
      <c r="AM44" s="1252" t="s">
        <v>2298</v>
      </c>
      <c r="AN44" s="1253" t="s">
        <v>2299</v>
      </c>
      <c r="AO44" s="1254">
        <f t="shared" si="13"/>
        <v>0</v>
      </c>
    </row>
    <row r="45" spans="1:50" s="1148" customFormat="1" ht="30" customHeight="1">
      <c r="A45" s="1132">
        <f>_xlfn.AGGREGATE(4,7,A$17:A44)+1</f>
        <v>28</v>
      </c>
      <c r="B45" s="1133" t="s">
        <v>1462</v>
      </c>
      <c r="C45" s="1153" t="s">
        <v>1654</v>
      </c>
      <c r="D45" s="1168">
        <v>1603205182619</v>
      </c>
      <c r="E45" s="1058" t="str">
        <f>VLOOKUP(B45,TH.T6!B50:J380,9,FALSE)</f>
        <v>Nhân viên phòng Quản trị - Dịch vụ</v>
      </c>
      <c r="F45" s="1136">
        <v>3.66</v>
      </c>
      <c r="G45" s="1137"/>
      <c r="H45" s="1392">
        <f t="shared" si="2"/>
        <v>0</v>
      </c>
      <c r="I45" s="1138"/>
      <c r="J45" s="1136">
        <v>3.66</v>
      </c>
      <c r="K45" s="1137"/>
      <c r="L45" s="1392">
        <f t="shared" si="3"/>
        <v>0</v>
      </c>
      <c r="M45" s="1138"/>
      <c r="N45" s="1136">
        <v>3.66</v>
      </c>
      <c r="O45" s="1137"/>
      <c r="P45" s="1393">
        <f t="shared" si="4"/>
        <v>0</v>
      </c>
      <c r="Q45" s="1138"/>
      <c r="R45" s="1138" t="str">
        <f>IFERROR(INDEX('[18]Gui chi Quynh'!$E$11:$E$397,MATCH(B45,'[18]Gui chi Quynh'!$B$11:$B$397,0)),"")</f>
        <v>A3</v>
      </c>
      <c r="S45" s="1138">
        <f t="shared" si="5"/>
        <v>0.6</v>
      </c>
      <c r="T45" s="1138" t="str">
        <f>VLOOKUP(B45,'[19]Gui chi Quynh'!$B$11:$E$397,4,FALSE)</f>
        <v>A3</v>
      </c>
      <c r="U45" s="1138">
        <f t="shared" si="6"/>
        <v>0.6</v>
      </c>
      <c r="V45" s="1138" t="str">
        <f>VLOOKUP(B45,'[20]Gui chi Quynh'!$B$11:$E$396,4,FALSE)</f>
        <v>A3</v>
      </c>
      <c r="W45" s="1138">
        <f t="shared" si="7"/>
        <v>0.6</v>
      </c>
      <c r="X45" s="1138">
        <f>IFERROR(INDEX('[21]CN BC'!$J$10:$J$275,MATCH(B45,'[21]CN BC'!$H$10:$H$275,0)),"")</f>
        <v>27</v>
      </c>
      <c r="Y45" s="1138">
        <f>IFERROR(INDEX('[22]CN BC'!$J$10:$J$274,MATCH(B45,'[22]CN BC'!$H$10:$H$274,0)),"")</f>
        <v>24</v>
      </c>
      <c r="Z45" s="1138">
        <f>VLOOKUP(B45,'[23]CN BC'!$H$10:$J$275,3,FALSE)</f>
        <v>23</v>
      </c>
      <c r="AA45" s="1139">
        <f t="shared" si="8"/>
        <v>23</v>
      </c>
      <c r="AB45" s="1139">
        <f t="shared" si="9"/>
        <v>22</v>
      </c>
      <c r="AC45" s="1139">
        <f t="shared" si="10"/>
        <v>19</v>
      </c>
      <c r="AD45" s="1140"/>
      <c r="AE45" s="1141">
        <f t="shared" si="0"/>
        <v>15415920</v>
      </c>
      <c r="AF45" s="1519">
        <f t="shared" si="11"/>
        <v>6.5880000000000001</v>
      </c>
      <c r="AG45" s="1224">
        <v>2340000</v>
      </c>
      <c r="AH45" s="1521">
        <f t="shared" si="12"/>
        <v>15415920</v>
      </c>
      <c r="AI45" s="1142">
        <f t="shared" si="1"/>
        <v>28</v>
      </c>
      <c r="AJ45" s="1143">
        <f>IFERROR(INDEX('[17]CN BC'!$M$10:$M$276,MATCH(B45,'[17]CN BC'!$H$10:$H$276,0)),"")</f>
        <v>0</v>
      </c>
      <c r="AK45" s="1144" t="str">
        <f>VLOOKUP(B45,TH.T4!B48:AC378,28,FALSE)</f>
        <v>QTDV</v>
      </c>
      <c r="AL45" s="1252">
        <f>_xlfn.AGGREGATE(4,7,AL$22:AL44)+1</f>
        <v>23</v>
      </c>
      <c r="AM45" s="1252" t="s">
        <v>2228</v>
      </c>
      <c r="AN45" s="1253" t="s">
        <v>2300</v>
      </c>
      <c r="AO45" s="1254">
        <f t="shared" si="13"/>
        <v>0</v>
      </c>
    </row>
    <row r="46" spans="1:50" s="1148" customFormat="1" ht="27" customHeight="1">
      <c r="A46" s="1132">
        <f>_xlfn.AGGREGATE(4,7,A$17:A45)+1</f>
        <v>29</v>
      </c>
      <c r="B46" s="1215" t="s">
        <v>2012</v>
      </c>
      <c r="C46" s="1216"/>
      <c r="D46" s="1356"/>
      <c r="E46" s="579" t="str">
        <f>VLOOKUP(B46,TH.T6!B51:J381,9,FALSE)</f>
        <v>Nhân viên phòng Quản trị - Dịch vụ</v>
      </c>
      <c r="F46" s="1217">
        <v>4.0599999999999996</v>
      </c>
      <c r="G46" s="1218">
        <v>0.1</v>
      </c>
      <c r="H46" s="1394">
        <f t="shared" si="2"/>
        <v>0.40600000000000003</v>
      </c>
      <c r="I46" s="1219">
        <v>0.35</v>
      </c>
      <c r="J46" s="1217">
        <v>4.0599999999999996</v>
      </c>
      <c r="K46" s="1218">
        <v>0.1</v>
      </c>
      <c r="L46" s="1394">
        <f t="shared" si="3"/>
        <v>0.40600000000000003</v>
      </c>
      <c r="M46" s="1219">
        <v>0.35</v>
      </c>
      <c r="N46" s="1217">
        <v>4.0599999999999996</v>
      </c>
      <c r="O46" s="1218">
        <v>0.11</v>
      </c>
      <c r="P46" s="1395">
        <f t="shared" si="4"/>
        <v>0.44700000000000001</v>
      </c>
      <c r="Q46" s="1219">
        <v>0.35</v>
      </c>
      <c r="R46" s="1219" t="str">
        <f>IFERROR(INDEX('[18]Gui chi Quynh'!$E$11:$E$397,MATCH(B46,'[18]Gui chi Quynh'!$B$11:$B$397,0)),"")</f>
        <v>A1</v>
      </c>
      <c r="S46" s="1219">
        <f t="shared" si="5"/>
        <v>0.8</v>
      </c>
      <c r="T46" s="1219" t="str">
        <f>VLOOKUP(B46,'[19]Gui chi Quynh'!$B$11:$E$397,4,FALSE)</f>
        <v>A1</v>
      </c>
      <c r="U46" s="1219">
        <f t="shared" si="6"/>
        <v>0.8</v>
      </c>
      <c r="V46" s="1219" t="str">
        <f>VLOOKUP(B46,'[20]Gui chi Quynh'!$B$11:$E$396,4,FALSE)</f>
        <v>A1</v>
      </c>
      <c r="W46" s="1219">
        <f t="shared" si="7"/>
        <v>0.8</v>
      </c>
      <c r="X46" s="1219">
        <f>IFERROR(INDEX('[21]CN BC'!$J$10:$J$275,MATCH(B46,'[21]CN BC'!$H$10:$H$275,0)),"")</f>
        <v>27</v>
      </c>
      <c r="Y46" s="1219">
        <f>IFERROR(INDEX('[22]CN BC'!$J$10:$J$274,MATCH(B46,'[22]CN BC'!$H$10:$H$274,0)),"")</f>
        <v>26</v>
      </c>
      <c r="Z46" s="1219">
        <f>VLOOKUP(B46,'[23]CN BC'!$H$10:$J$275,3,FALSE)</f>
        <v>23</v>
      </c>
      <c r="AA46" s="1348">
        <f t="shared" si="8"/>
        <v>23</v>
      </c>
      <c r="AB46" s="1348">
        <f t="shared" si="9"/>
        <v>22</v>
      </c>
      <c r="AC46" s="1348">
        <f t="shared" si="10"/>
        <v>19</v>
      </c>
      <c r="AD46" s="1220"/>
      <c r="AE46" s="1349">
        <f t="shared" si="0"/>
        <v>27123408</v>
      </c>
      <c r="AF46" s="1548">
        <f t="shared" si="11"/>
        <v>11.591200000000001</v>
      </c>
      <c r="AG46" s="1359">
        <v>2340000</v>
      </c>
      <c r="AH46" s="1549">
        <f t="shared" si="12"/>
        <v>27123408</v>
      </c>
      <c r="AI46" s="1221">
        <f t="shared" si="1"/>
        <v>29</v>
      </c>
      <c r="AJ46" s="1350" t="s">
        <v>2362</v>
      </c>
      <c r="AK46" s="1144" t="str">
        <f>VLOOKUP(B46,TH.T4!B49:AC379,28,FALSE)</f>
        <v>QTDV</v>
      </c>
      <c r="AL46" s="1252">
        <f>_xlfn.AGGREGATE(4,7,AL$22:AL45)+1</f>
        <v>24</v>
      </c>
      <c r="AM46" s="1252" t="s">
        <v>2235</v>
      </c>
      <c r="AN46" s="1253" t="s">
        <v>2301</v>
      </c>
      <c r="AO46" s="1254">
        <f t="shared" si="13"/>
        <v>0</v>
      </c>
    </row>
    <row r="47" spans="1:50" s="1146" customFormat="1" ht="27" customHeight="1">
      <c r="A47" s="1132">
        <f>_xlfn.AGGREGATE(4,7,A$17:A46)+1</f>
        <v>30</v>
      </c>
      <c r="B47" s="1172" t="s">
        <v>1852</v>
      </c>
      <c r="C47" s="1149" t="s">
        <v>1636</v>
      </c>
      <c r="D47" s="1173" t="s">
        <v>1258</v>
      </c>
      <c r="E47" s="1058" t="str">
        <f>VLOOKUP(B47,TH.T6!B52:J382,9,FALSE)</f>
        <v>Trưởng TT Y tế</v>
      </c>
      <c r="F47" s="1178">
        <v>4.6500000000000004</v>
      </c>
      <c r="G47" s="1182"/>
      <c r="H47" s="1392">
        <f t="shared" si="2"/>
        <v>0</v>
      </c>
      <c r="I47" s="1176">
        <v>0.45</v>
      </c>
      <c r="J47" s="1178">
        <v>4.6500000000000004</v>
      </c>
      <c r="K47" s="1182"/>
      <c r="L47" s="1392">
        <f t="shared" si="3"/>
        <v>0</v>
      </c>
      <c r="M47" s="1176">
        <v>0.45</v>
      </c>
      <c r="N47" s="1178">
        <v>4.6500000000000004</v>
      </c>
      <c r="O47" s="1182"/>
      <c r="P47" s="1393">
        <f t="shared" si="4"/>
        <v>0</v>
      </c>
      <c r="Q47" s="1176">
        <v>0.45</v>
      </c>
      <c r="R47" s="1138" t="str">
        <f>IFERROR(INDEX('[18]Gui chi Quynh'!$E$11:$E$397,MATCH(B47,'[18]Gui chi Quynh'!$B$11:$B$397,0)),"")</f>
        <v>A2</v>
      </c>
      <c r="S47" s="1138">
        <f t="shared" si="5"/>
        <v>0.7</v>
      </c>
      <c r="T47" s="1138" t="str">
        <f>VLOOKUP(B47,'[19]Gui chi Quynh'!$B$11:$E$397,4,FALSE)</f>
        <v>A1</v>
      </c>
      <c r="U47" s="1138">
        <f t="shared" si="6"/>
        <v>0.8</v>
      </c>
      <c r="V47" s="1138" t="str">
        <f>VLOOKUP(B47,'[20]Gui chi Quynh'!$B$11:$E$396,4,FALSE)</f>
        <v>A2</v>
      </c>
      <c r="W47" s="1138">
        <f t="shared" si="7"/>
        <v>0.7</v>
      </c>
      <c r="X47" s="1138">
        <f>IFERROR(INDEX('[21]CN BC'!$J$10:$J$275,MATCH(B47,'[21]CN BC'!$H$10:$H$275,0)),"")</f>
        <v>25</v>
      </c>
      <c r="Y47" s="1138">
        <f>IFERROR(INDEX('[22]CN BC'!$J$10:$J$274,MATCH(B47,'[22]CN BC'!$H$10:$H$274,0)),"")</f>
        <v>26</v>
      </c>
      <c r="Z47" s="1138">
        <f>VLOOKUP(B47,'[23]CN BC'!$H$10:$J$275,3,FALSE)</f>
        <v>23</v>
      </c>
      <c r="AA47" s="1139">
        <f t="shared" si="8"/>
        <v>23</v>
      </c>
      <c r="AB47" s="1139">
        <f t="shared" si="9"/>
        <v>22</v>
      </c>
      <c r="AC47" s="1139">
        <f t="shared" si="10"/>
        <v>19</v>
      </c>
      <c r="AD47" s="1140"/>
      <c r="AE47" s="1141">
        <f t="shared" si="0"/>
        <v>26254800</v>
      </c>
      <c r="AF47" s="1519">
        <f t="shared" si="11"/>
        <v>11.22</v>
      </c>
      <c r="AG47" s="1224">
        <v>2340000</v>
      </c>
      <c r="AH47" s="1521">
        <f t="shared" si="12"/>
        <v>26254800</v>
      </c>
      <c r="AI47" s="1142">
        <f t="shared" si="1"/>
        <v>30</v>
      </c>
      <c r="AJ47" s="1143"/>
      <c r="AK47" s="1144" t="str">
        <f>VLOOKUP(B47,TH.T4!B50:AC380,28,FALSE)</f>
        <v>TTYT</v>
      </c>
      <c r="AL47" s="1252">
        <f>_xlfn.AGGREGATE(4,7,AL$22:AL46)+1</f>
        <v>25</v>
      </c>
      <c r="AM47" s="1255" t="s">
        <v>2225</v>
      </c>
      <c r="AN47" s="1256" t="s">
        <v>2302</v>
      </c>
      <c r="AO47" s="1257">
        <f t="shared" si="13"/>
        <v>0</v>
      </c>
    </row>
    <row r="48" spans="1:50" s="1146" customFormat="1" ht="27" customHeight="1">
      <c r="A48" s="1132">
        <f>_xlfn.AGGREGATE(4,7,A$17:A47)+1</f>
        <v>31</v>
      </c>
      <c r="B48" s="1172" t="s">
        <v>1454</v>
      </c>
      <c r="C48" s="1149" t="s">
        <v>1637</v>
      </c>
      <c r="D48" s="1177">
        <v>1603205247426</v>
      </c>
      <c r="E48" s="1058" t="str">
        <f>VLOOKUP(B48,TH.T6!B53:J383,9,FALSE)</f>
        <v>Nhân viên Trung tâm Y tế</v>
      </c>
      <c r="F48" s="1174">
        <v>3.66</v>
      </c>
      <c r="G48" s="1175"/>
      <c r="H48" s="1392">
        <f t="shared" si="2"/>
        <v>0</v>
      </c>
      <c r="I48" s="1176"/>
      <c r="J48" s="1174">
        <v>3.66</v>
      </c>
      <c r="K48" s="1175"/>
      <c r="L48" s="1392">
        <f t="shared" si="3"/>
        <v>0</v>
      </c>
      <c r="M48" s="1176"/>
      <c r="N48" s="1174">
        <v>3.66</v>
      </c>
      <c r="O48" s="1175"/>
      <c r="P48" s="1393">
        <f t="shared" si="4"/>
        <v>0</v>
      </c>
      <c r="Q48" s="1176"/>
      <c r="R48" s="1138" t="str">
        <f>IFERROR(INDEX('[18]Gui chi Quynh'!$E$11:$E$397,MATCH(B48,'[18]Gui chi Quynh'!$B$11:$B$397,0)),"")</f>
        <v>A3</v>
      </c>
      <c r="S48" s="1138">
        <f t="shared" si="5"/>
        <v>0.6</v>
      </c>
      <c r="T48" s="1138" t="str">
        <f>VLOOKUP(B48,'[19]Gui chi Quynh'!$B$11:$E$397,4,FALSE)</f>
        <v>A3</v>
      </c>
      <c r="U48" s="1138">
        <f t="shared" si="6"/>
        <v>0.6</v>
      </c>
      <c r="V48" s="1138" t="str">
        <f>VLOOKUP(B48,'[20]Gui chi Quynh'!$B$11:$E$396,4,FALSE)</f>
        <v>A3</v>
      </c>
      <c r="W48" s="1138">
        <f t="shared" si="7"/>
        <v>0.6</v>
      </c>
      <c r="X48" s="1138">
        <f>IFERROR(INDEX('[21]CN BC'!$J$10:$J$275,MATCH(B48,'[21]CN BC'!$H$10:$H$275,0)),"")</f>
        <v>27</v>
      </c>
      <c r="Y48" s="1138">
        <f>IFERROR(INDEX('[22]CN BC'!$J$10:$J$274,MATCH(B48,'[22]CN BC'!$H$10:$H$274,0)),"")</f>
        <v>26</v>
      </c>
      <c r="Z48" s="1138">
        <f>VLOOKUP(B48,'[23]CN BC'!$H$10:$J$275,3,FALSE)</f>
        <v>23</v>
      </c>
      <c r="AA48" s="1139">
        <f t="shared" si="8"/>
        <v>23</v>
      </c>
      <c r="AB48" s="1139">
        <f t="shared" si="9"/>
        <v>22</v>
      </c>
      <c r="AC48" s="1139">
        <f t="shared" si="10"/>
        <v>19</v>
      </c>
      <c r="AD48" s="1140"/>
      <c r="AE48" s="1141">
        <f t="shared" si="0"/>
        <v>15415920</v>
      </c>
      <c r="AF48" s="1519">
        <f t="shared" si="11"/>
        <v>6.5880000000000001</v>
      </c>
      <c r="AG48" s="1224">
        <v>2340000</v>
      </c>
      <c r="AH48" s="1521">
        <f t="shared" si="12"/>
        <v>15415920</v>
      </c>
      <c r="AI48" s="1142">
        <f t="shared" si="1"/>
        <v>31</v>
      </c>
      <c r="AJ48" s="1143"/>
      <c r="AK48" s="1144" t="str">
        <f>VLOOKUP(B48,TH.T4!B51:AC381,28,FALSE)</f>
        <v>TTYT</v>
      </c>
      <c r="AL48" s="1130"/>
      <c r="AN48" s="1147"/>
    </row>
    <row r="49" spans="1:50" s="1148" customFormat="1" ht="27" customHeight="1">
      <c r="A49" s="1132">
        <f>_xlfn.AGGREGATE(4,7,A$17:A48)+1</f>
        <v>32</v>
      </c>
      <c r="B49" s="1133" t="s">
        <v>1445</v>
      </c>
      <c r="C49" s="1149" t="s">
        <v>1638</v>
      </c>
      <c r="D49" s="1150" t="s">
        <v>1576</v>
      </c>
      <c r="E49" s="1058" t="str">
        <f>VLOOKUP(B49,TH.T6!B54:J384,9,FALSE)</f>
        <v>TP. Kế hoạch - Tài chính</v>
      </c>
      <c r="F49" s="1160">
        <v>4.9800000000000004</v>
      </c>
      <c r="G49" s="1137">
        <v>0.37</v>
      </c>
      <c r="H49" s="1392">
        <f t="shared" si="2"/>
        <v>1.843</v>
      </c>
      <c r="I49" s="1138">
        <v>0.45</v>
      </c>
      <c r="J49" s="1160">
        <v>4.9800000000000004</v>
      </c>
      <c r="K49" s="1137">
        <v>0.37</v>
      </c>
      <c r="L49" s="1392">
        <f t="shared" si="3"/>
        <v>1.843</v>
      </c>
      <c r="M49" s="1138">
        <v>0.45</v>
      </c>
      <c r="N49" s="1160">
        <v>4.9800000000000004</v>
      </c>
      <c r="O49" s="1137">
        <v>0.37</v>
      </c>
      <c r="P49" s="1393">
        <f t="shared" si="4"/>
        <v>1.843</v>
      </c>
      <c r="Q49" s="1138">
        <v>0.45</v>
      </c>
      <c r="R49" s="1138" t="str">
        <f>IFERROR(INDEX('[18]Gui chi Quynh'!$E$11:$E$397,MATCH(B49,'[18]Gui chi Quynh'!$B$11:$B$397,0)),"")</f>
        <v>A1</v>
      </c>
      <c r="S49" s="1138">
        <f t="shared" si="5"/>
        <v>0.8</v>
      </c>
      <c r="T49" s="1138" t="str">
        <f>VLOOKUP(B49,'[19]Gui chi Quynh'!$B$11:$E$397,4,FALSE)</f>
        <v>A1</v>
      </c>
      <c r="U49" s="1138">
        <f t="shared" si="6"/>
        <v>0.8</v>
      </c>
      <c r="V49" s="1138" t="str">
        <f>VLOOKUP(B49,'[20]Gui chi Quynh'!$B$11:$E$396,4,FALSE)</f>
        <v>A1</v>
      </c>
      <c r="W49" s="1138">
        <f t="shared" si="7"/>
        <v>0.8</v>
      </c>
      <c r="X49" s="1138">
        <f>IFERROR(INDEX('[21]CN BC'!$J$10:$J$275,MATCH(B49,'[21]CN BC'!$H$10:$H$275,0)),"")</f>
        <v>26</v>
      </c>
      <c r="Y49" s="1138">
        <f>IFERROR(INDEX('[22]CN BC'!$J$10:$J$274,MATCH(B49,'[22]CN BC'!$H$10:$H$274,0)),"")</f>
        <v>28</v>
      </c>
      <c r="Z49" s="1138">
        <f>VLOOKUP(B49,'[23]CN BC'!$H$10:$J$275,3,FALSE)</f>
        <v>24</v>
      </c>
      <c r="AA49" s="1139">
        <f t="shared" si="8"/>
        <v>23</v>
      </c>
      <c r="AB49" s="1139">
        <f t="shared" si="9"/>
        <v>22</v>
      </c>
      <c r="AC49" s="1139">
        <f t="shared" si="10"/>
        <v>19</v>
      </c>
      <c r="AD49" s="1140"/>
      <c r="AE49" s="1141">
        <f t="shared" si="0"/>
        <v>40845168</v>
      </c>
      <c r="AF49" s="1519">
        <f t="shared" si="11"/>
        <v>17.455200000000001</v>
      </c>
      <c r="AG49" s="1224">
        <v>2340000</v>
      </c>
      <c r="AH49" s="1521">
        <f t="shared" si="12"/>
        <v>40845168</v>
      </c>
      <c r="AI49" s="1142">
        <f t="shared" si="1"/>
        <v>32</v>
      </c>
      <c r="AJ49" s="1143">
        <f>IFERROR(INDEX('[17]CN BC'!$M$10:$M$276,MATCH(B49,'[17]CN BC'!$H$10:$H$276,0)),"")</f>
        <v>0</v>
      </c>
      <c r="AK49" s="1144" t="str">
        <f>VLOOKUP(B49,TH.T4!B52:AC382,28,FALSE)</f>
        <v>KHTC</v>
      </c>
      <c r="AL49" s="1130"/>
      <c r="AM49" s="1146"/>
      <c r="AN49" s="1147"/>
      <c r="AO49" s="1146"/>
      <c r="AP49" s="1146"/>
      <c r="AQ49" s="1146"/>
      <c r="AR49" s="1146"/>
      <c r="AS49" s="1146"/>
      <c r="AT49" s="1146"/>
      <c r="AU49" s="1146"/>
      <c r="AV49" s="1146"/>
      <c r="AW49" s="1146"/>
      <c r="AX49" s="1146"/>
    </row>
    <row r="50" spans="1:50" s="1146" customFormat="1" ht="26.25" customHeight="1">
      <c r="A50" s="1132">
        <f>_xlfn.AGGREGATE(4,7,A$17:A49)+1</f>
        <v>33</v>
      </c>
      <c r="B50" s="1172" t="s">
        <v>1455</v>
      </c>
      <c r="C50" s="1149" t="s">
        <v>1640</v>
      </c>
      <c r="D50" s="1173" t="s">
        <v>368</v>
      </c>
      <c r="E50" s="1058" t="str">
        <f>VLOOKUP(B50,TH.T6!B55:J385,9,FALSE)</f>
        <v>NV phòng KH-TC</v>
      </c>
      <c r="F50" s="1174">
        <v>3.99</v>
      </c>
      <c r="G50" s="1175"/>
      <c r="H50" s="1392">
        <f t="shared" si="2"/>
        <v>0</v>
      </c>
      <c r="I50" s="1176"/>
      <c r="J50" s="1174">
        <v>3.99</v>
      </c>
      <c r="K50" s="1175"/>
      <c r="L50" s="1392">
        <f t="shared" si="3"/>
        <v>0</v>
      </c>
      <c r="M50" s="1176"/>
      <c r="N50" s="1174">
        <v>3.99</v>
      </c>
      <c r="O50" s="1175"/>
      <c r="P50" s="1393">
        <f t="shared" si="4"/>
        <v>0</v>
      </c>
      <c r="Q50" s="1176"/>
      <c r="R50" s="1138" t="str">
        <f>IFERROR(INDEX('[18]Gui chi Quynh'!$E$11:$E$397,MATCH(B50,'[18]Gui chi Quynh'!$B$11:$B$397,0)),"")</f>
        <v>A1</v>
      </c>
      <c r="S50" s="1138">
        <f t="shared" si="5"/>
        <v>0.8</v>
      </c>
      <c r="T50" s="1138" t="str">
        <f>VLOOKUP(B50,'[19]Gui chi Quynh'!$B$11:$E$397,4,FALSE)</f>
        <v>A1</v>
      </c>
      <c r="U50" s="1138">
        <f t="shared" si="6"/>
        <v>0.8</v>
      </c>
      <c r="V50" s="1138" t="str">
        <f>VLOOKUP(B50,'[20]Gui chi Quynh'!$B$11:$E$396,4,FALSE)</f>
        <v>A1</v>
      </c>
      <c r="W50" s="1138">
        <f t="shared" si="7"/>
        <v>0.8</v>
      </c>
      <c r="X50" s="1138">
        <f>IFERROR(INDEX('[21]CN BC'!$J$10:$J$275,MATCH(B50,'[21]CN BC'!$H$10:$H$275,0)),"")</f>
        <v>27</v>
      </c>
      <c r="Y50" s="1138">
        <f>IFERROR(INDEX('[22]CN BC'!$J$10:$J$274,MATCH(B50,'[22]CN BC'!$H$10:$H$274,0)),"")</f>
        <v>26</v>
      </c>
      <c r="Z50" s="1138">
        <f>VLOOKUP(B50,'[23]CN BC'!$H$10:$J$275,3,FALSE)</f>
        <v>24</v>
      </c>
      <c r="AA50" s="1139">
        <f t="shared" si="8"/>
        <v>23</v>
      </c>
      <c r="AB50" s="1139">
        <f t="shared" si="9"/>
        <v>22</v>
      </c>
      <c r="AC50" s="1139">
        <f t="shared" si="10"/>
        <v>19</v>
      </c>
      <c r="AD50" s="1140"/>
      <c r="AE50" s="1141">
        <f t="shared" si="0"/>
        <v>22407840</v>
      </c>
      <c r="AF50" s="1519">
        <f t="shared" si="11"/>
        <v>9.5760000000000005</v>
      </c>
      <c r="AG50" s="1224">
        <v>2340000</v>
      </c>
      <c r="AH50" s="1521">
        <f t="shared" si="12"/>
        <v>22407840</v>
      </c>
      <c r="AI50" s="1142">
        <f t="shared" si="1"/>
        <v>33</v>
      </c>
      <c r="AJ50" s="1143">
        <f>IFERROR(INDEX('[17]CN BC'!$M$10:$M$276,MATCH(B50,'[17]CN BC'!$H$10:$H$276,0)),"")</f>
        <v>0</v>
      </c>
      <c r="AK50" s="1144" t="str">
        <f>VLOOKUP(B50,TH.T4!B53:AC383,28,FALSE)</f>
        <v>KHTC</v>
      </c>
      <c r="AL50" s="1130"/>
      <c r="AN50" s="1147"/>
    </row>
    <row r="51" spans="1:50" s="1148" customFormat="1" ht="27" customHeight="1">
      <c r="A51" s="1132">
        <f>_xlfn.AGGREGATE(4,7,A$17:A50)+1</f>
        <v>34</v>
      </c>
      <c r="B51" s="1133" t="s">
        <v>1456</v>
      </c>
      <c r="C51" s="1153" t="s">
        <v>1641</v>
      </c>
      <c r="D51" s="1168">
        <v>1603205178873</v>
      </c>
      <c r="E51" s="1058" t="str">
        <f>VLOOKUP(B51,TH.T6!B56:J386,9,FALSE)</f>
        <v>NV phòng KH-TC</v>
      </c>
      <c r="F51" s="1136">
        <v>3.66</v>
      </c>
      <c r="G51" s="1137"/>
      <c r="H51" s="1392">
        <f t="shared" si="2"/>
        <v>0</v>
      </c>
      <c r="I51" s="1138"/>
      <c r="J51" s="1136">
        <v>3.66</v>
      </c>
      <c r="K51" s="1137"/>
      <c r="L51" s="1392">
        <f t="shared" si="3"/>
        <v>0</v>
      </c>
      <c r="M51" s="1138"/>
      <c r="N51" s="1136">
        <v>3.66</v>
      </c>
      <c r="O51" s="1137"/>
      <c r="P51" s="1393">
        <f t="shared" si="4"/>
        <v>0</v>
      </c>
      <c r="Q51" s="1138"/>
      <c r="R51" s="1138" t="str">
        <f>IFERROR(INDEX('[18]Gui chi Quynh'!$E$11:$E$397,MATCH(B51,'[18]Gui chi Quynh'!$B$11:$B$397,0)),"")</f>
        <v>A1</v>
      </c>
      <c r="S51" s="1138">
        <f t="shared" si="5"/>
        <v>0.8</v>
      </c>
      <c r="T51" s="1138" t="str">
        <f>VLOOKUP(B51,'[19]Gui chi Quynh'!$B$11:$E$397,4,FALSE)</f>
        <v>A1</v>
      </c>
      <c r="U51" s="1138">
        <f t="shared" si="6"/>
        <v>0.8</v>
      </c>
      <c r="V51" s="1138" t="str">
        <f>VLOOKUP(B51,'[20]Gui chi Quynh'!$B$11:$E$396,4,FALSE)</f>
        <v>A1</v>
      </c>
      <c r="W51" s="1138">
        <f t="shared" si="7"/>
        <v>0.8</v>
      </c>
      <c r="X51" s="1138">
        <f>IFERROR(INDEX('[21]CN BC'!$J$10:$J$275,MATCH(B51,'[21]CN BC'!$H$10:$H$275,0)),"")</f>
        <v>24</v>
      </c>
      <c r="Y51" s="1138">
        <f>IFERROR(INDEX('[22]CN BC'!$J$10:$J$274,MATCH(B51,'[22]CN BC'!$H$10:$H$274,0)),"")</f>
        <v>26</v>
      </c>
      <c r="Z51" s="1138">
        <f>VLOOKUP(B51,'[23]CN BC'!$H$10:$J$275,3,FALSE)</f>
        <v>25</v>
      </c>
      <c r="AA51" s="1139">
        <f t="shared" si="8"/>
        <v>23</v>
      </c>
      <c r="AB51" s="1139">
        <f t="shared" si="9"/>
        <v>22</v>
      </c>
      <c r="AC51" s="1139">
        <f t="shared" si="10"/>
        <v>19</v>
      </c>
      <c r="AD51" s="1140"/>
      <c r="AE51" s="1141">
        <f t="shared" si="0"/>
        <v>20554560</v>
      </c>
      <c r="AF51" s="1519">
        <f t="shared" si="11"/>
        <v>8.7840000000000007</v>
      </c>
      <c r="AG51" s="1224">
        <v>2340000</v>
      </c>
      <c r="AH51" s="1521">
        <f t="shared" si="12"/>
        <v>20554560</v>
      </c>
      <c r="AI51" s="1142">
        <f t="shared" si="1"/>
        <v>34</v>
      </c>
      <c r="AJ51" s="1143"/>
      <c r="AK51" s="1144" t="str">
        <f>VLOOKUP(B51,TH.T4!B54:AC384,28,FALSE)</f>
        <v>KHTC</v>
      </c>
      <c r="AL51" s="1130"/>
      <c r="AM51" s="1146"/>
      <c r="AN51" s="1147"/>
      <c r="AO51" s="1146"/>
      <c r="AP51" s="1146"/>
      <c r="AQ51" s="1146"/>
      <c r="AR51" s="1146"/>
      <c r="AS51" s="1146"/>
      <c r="AT51" s="1146"/>
    </row>
    <row r="52" spans="1:50" s="1148" customFormat="1" ht="27" customHeight="1">
      <c r="A52" s="1132">
        <f>_xlfn.AGGREGATE(4,7,A$17:A51)+1</f>
        <v>35</v>
      </c>
      <c r="B52" s="1133" t="s">
        <v>1457</v>
      </c>
      <c r="C52" s="1153" t="s">
        <v>1642</v>
      </c>
      <c r="D52" s="1166">
        <v>1603205372861</v>
      </c>
      <c r="E52" s="1058" t="str">
        <f>VLOOKUP(B52,TH.T6!B57:J387,9,FALSE)</f>
        <v>NV phòng KH-TC</v>
      </c>
      <c r="F52" s="1160">
        <v>3</v>
      </c>
      <c r="G52" s="1137"/>
      <c r="H52" s="1392">
        <f t="shared" si="2"/>
        <v>0</v>
      </c>
      <c r="I52" s="1138"/>
      <c r="J52" s="1160">
        <v>3</v>
      </c>
      <c r="K52" s="1137"/>
      <c r="L52" s="1392">
        <f t="shared" si="3"/>
        <v>0</v>
      </c>
      <c r="M52" s="1138"/>
      <c r="N52" s="1160">
        <v>3</v>
      </c>
      <c r="O52" s="1137"/>
      <c r="P52" s="1393">
        <f t="shared" si="4"/>
        <v>0</v>
      </c>
      <c r="Q52" s="1138"/>
      <c r="R52" s="1138" t="str">
        <f>IFERROR(INDEX('[18]Gui chi Quynh'!$E$11:$E$397,MATCH(B52,'[18]Gui chi Quynh'!$B$11:$B$397,0)),"")</f>
        <v>A2</v>
      </c>
      <c r="S52" s="1138">
        <f t="shared" si="5"/>
        <v>0.7</v>
      </c>
      <c r="T52" s="1138" t="str">
        <f>VLOOKUP(B52,'[19]Gui chi Quynh'!$B$11:$E$397,4,FALSE)</f>
        <v>A2</v>
      </c>
      <c r="U52" s="1138">
        <f t="shared" si="6"/>
        <v>0.7</v>
      </c>
      <c r="V52" s="1138" t="str">
        <f>VLOOKUP(B52,'[20]Gui chi Quynh'!$B$11:$E$396,4,FALSE)</f>
        <v>A2</v>
      </c>
      <c r="W52" s="1138">
        <f t="shared" si="7"/>
        <v>0.7</v>
      </c>
      <c r="X52" s="1138">
        <f>IFERROR(INDEX('[21]CN BC'!$J$10:$J$275,MATCH(B52,'[21]CN BC'!$H$10:$H$275,0)),"")</f>
        <v>26</v>
      </c>
      <c r="Y52" s="1138">
        <f>IFERROR(INDEX('[22]CN BC'!$J$10:$J$274,MATCH(B52,'[22]CN BC'!$H$10:$H$274,0)),"")</f>
        <v>25</v>
      </c>
      <c r="Z52" s="1138">
        <f>VLOOKUP(B52,'[23]CN BC'!$H$10:$J$275,3,FALSE)</f>
        <v>23</v>
      </c>
      <c r="AA52" s="1139">
        <f t="shared" si="8"/>
        <v>23</v>
      </c>
      <c r="AB52" s="1139">
        <f t="shared" si="9"/>
        <v>22</v>
      </c>
      <c r="AC52" s="1139">
        <f t="shared" si="10"/>
        <v>19</v>
      </c>
      <c r="AD52" s="1140"/>
      <c r="AE52" s="1141">
        <f t="shared" si="0"/>
        <v>14742000</v>
      </c>
      <c r="AF52" s="1519">
        <f t="shared" si="11"/>
        <v>6.3</v>
      </c>
      <c r="AG52" s="1224">
        <v>2340000</v>
      </c>
      <c r="AH52" s="1521">
        <f t="shared" si="12"/>
        <v>14742000</v>
      </c>
      <c r="AI52" s="1142">
        <f t="shared" si="1"/>
        <v>35</v>
      </c>
      <c r="AJ52" s="1143"/>
      <c r="AK52" s="1144" t="str">
        <f>VLOOKUP(B52,TH.T4!B55:AC385,28,FALSE)</f>
        <v>KHTC</v>
      </c>
      <c r="AL52" s="1130"/>
      <c r="AM52" s="1146"/>
      <c r="AN52" s="1147"/>
      <c r="AO52" s="1146"/>
      <c r="AP52" s="1146"/>
      <c r="AQ52" s="1146"/>
      <c r="AR52" s="1146"/>
      <c r="AS52" s="1146"/>
      <c r="AT52" s="1146"/>
    </row>
    <row r="53" spans="1:50" s="1148" customFormat="1" ht="27" customHeight="1">
      <c r="A53" s="1132">
        <f>_xlfn.AGGREGATE(4,7,A$17:A52)+1</f>
        <v>36</v>
      </c>
      <c r="B53" s="1133" t="s">
        <v>1859</v>
      </c>
      <c r="C53" s="1153" t="s">
        <v>1665</v>
      </c>
      <c r="D53" s="1179">
        <v>1603205185357</v>
      </c>
      <c r="E53" s="1058" t="str">
        <f>VLOOKUP(B53,TH.T6!B58:J388,9,FALSE)</f>
        <v>NV Phòng KH-TC</v>
      </c>
      <c r="F53" s="1160">
        <v>3.66</v>
      </c>
      <c r="G53" s="1137"/>
      <c r="H53" s="1392">
        <f t="shared" si="2"/>
        <v>0</v>
      </c>
      <c r="I53" s="1138"/>
      <c r="J53" s="1160">
        <v>3.66</v>
      </c>
      <c r="K53" s="1137"/>
      <c r="L53" s="1392">
        <f t="shared" si="3"/>
        <v>0</v>
      </c>
      <c r="M53" s="1138"/>
      <c r="N53" s="1160">
        <v>3.66</v>
      </c>
      <c r="O53" s="1137"/>
      <c r="P53" s="1393">
        <f t="shared" si="4"/>
        <v>0</v>
      </c>
      <c r="Q53" s="1138"/>
      <c r="R53" s="1138" t="str">
        <f>IFERROR(INDEX('[18]Gui chi Quynh'!$E$11:$E$397,MATCH(B53,'[18]Gui chi Quynh'!$B$11:$B$397,0)),"")</f>
        <v>A1</v>
      </c>
      <c r="S53" s="1138">
        <f t="shared" si="5"/>
        <v>0.8</v>
      </c>
      <c r="T53" s="1138" t="str">
        <f>VLOOKUP(B53,'[19]Gui chi Quynh'!$B$11:$E$397,4,FALSE)</f>
        <v>A1</v>
      </c>
      <c r="U53" s="1138">
        <f t="shared" si="6"/>
        <v>0.8</v>
      </c>
      <c r="V53" s="1138" t="str">
        <f>VLOOKUP(B53,'[20]Gui chi Quynh'!$B$11:$E$396,4,FALSE)</f>
        <v>A1</v>
      </c>
      <c r="W53" s="1138">
        <f t="shared" si="7"/>
        <v>0.8</v>
      </c>
      <c r="X53" s="1138">
        <f>IFERROR(INDEX('[21]CN BC'!$J$10:$J$275,MATCH(B53,'[21]CN BC'!$H$10:$H$275,0)),"")</f>
        <v>27</v>
      </c>
      <c r="Y53" s="1138">
        <f>IFERROR(INDEX('[22]CN BC'!$J$10:$J$274,MATCH(B53,'[22]CN BC'!$H$10:$H$274,0)),"")</f>
        <v>27</v>
      </c>
      <c r="Z53" s="1138">
        <f>VLOOKUP(B53,'[23]CN BC'!$H$10:$J$275,3,FALSE)</f>
        <v>24</v>
      </c>
      <c r="AA53" s="1139">
        <f t="shared" si="8"/>
        <v>23</v>
      </c>
      <c r="AB53" s="1139">
        <f t="shared" si="9"/>
        <v>22</v>
      </c>
      <c r="AC53" s="1139">
        <f t="shared" si="10"/>
        <v>19</v>
      </c>
      <c r="AD53" s="1140"/>
      <c r="AE53" s="1141">
        <f t="shared" si="0"/>
        <v>20554560</v>
      </c>
      <c r="AF53" s="1519">
        <f t="shared" si="11"/>
        <v>8.7840000000000007</v>
      </c>
      <c r="AG53" s="1224">
        <v>2340000</v>
      </c>
      <c r="AH53" s="1521">
        <f t="shared" si="12"/>
        <v>20554560</v>
      </c>
      <c r="AI53" s="1142">
        <f t="shared" si="1"/>
        <v>36</v>
      </c>
      <c r="AJ53" s="1143"/>
      <c r="AK53" s="1144" t="str">
        <f>VLOOKUP(B53,TH.T4!B56:AC386,28,FALSE)</f>
        <v>KHTC</v>
      </c>
      <c r="AL53" s="1171"/>
      <c r="AN53" s="1158"/>
    </row>
    <row r="54" spans="1:50" s="1148" customFormat="1" ht="30.75" customHeight="1">
      <c r="A54" s="1132">
        <f>_xlfn.AGGREGATE(4,7,A$17:A53)+1</f>
        <v>37</v>
      </c>
      <c r="B54" s="1133" t="s">
        <v>1459</v>
      </c>
      <c r="C54" s="1153" t="s">
        <v>1645</v>
      </c>
      <c r="D54" s="1166" t="s">
        <v>1578</v>
      </c>
      <c r="E54" s="1058" t="str">
        <f>VLOOKUP(B54,TH.T6!B59:J389,9,FALSE)</f>
        <v>Trưởng phòng Thanh tra GD - Quan hệ DN</v>
      </c>
      <c r="F54" s="1136">
        <v>4.32</v>
      </c>
      <c r="G54" s="1137"/>
      <c r="H54" s="1392">
        <f t="shared" si="2"/>
        <v>0</v>
      </c>
      <c r="I54" s="1138">
        <v>0.45</v>
      </c>
      <c r="J54" s="1136">
        <v>4.32</v>
      </c>
      <c r="K54" s="1137"/>
      <c r="L54" s="1392">
        <f t="shared" si="3"/>
        <v>0</v>
      </c>
      <c r="M54" s="1138">
        <v>0.45</v>
      </c>
      <c r="N54" s="1136">
        <v>4.32</v>
      </c>
      <c r="O54" s="1137"/>
      <c r="P54" s="1393">
        <f t="shared" si="4"/>
        <v>0</v>
      </c>
      <c r="Q54" s="1138">
        <v>0.45</v>
      </c>
      <c r="R54" s="1138" t="str">
        <f>IFERROR(INDEX('[18]Gui chi Quynh'!$E$11:$E$397,MATCH(B54,'[18]Gui chi Quynh'!$B$11:$B$397,0)),"")</f>
        <v>A2</v>
      </c>
      <c r="S54" s="1138">
        <f t="shared" si="5"/>
        <v>0.7</v>
      </c>
      <c r="T54" s="1138" t="str">
        <f>VLOOKUP(B54,'[19]Gui chi Quynh'!$B$11:$E$397,4,FALSE)</f>
        <v>A2</v>
      </c>
      <c r="U54" s="1138">
        <f t="shared" si="6"/>
        <v>0.7</v>
      </c>
      <c r="V54" s="1138" t="str">
        <f>VLOOKUP(B54,'[20]Gui chi Quynh'!$B$11:$E$396,4,FALSE)</f>
        <v>A2</v>
      </c>
      <c r="W54" s="1138">
        <f t="shared" si="7"/>
        <v>0.7</v>
      </c>
      <c r="X54" s="1138">
        <f>IFERROR(INDEX('[21]CN BC'!$J$10:$J$275,MATCH(B54,'[21]CN BC'!$H$10:$H$275,0)),"")</f>
        <v>27</v>
      </c>
      <c r="Y54" s="1138">
        <f>IFERROR(INDEX('[22]CN BC'!$J$10:$J$274,MATCH(B54,'[22]CN BC'!$H$10:$H$274,0)),"")</f>
        <v>26</v>
      </c>
      <c r="Z54" s="1138">
        <f>VLOOKUP(B54,'[23]CN BC'!$H$10:$J$275,3,FALSE)</f>
        <v>23</v>
      </c>
      <c r="AA54" s="1139">
        <f t="shared" si="8"/>
        <v>23</v>
      </c>
      <c r="AB54" s="1139">
        <f t="shared" si="9"/>
        <v>22</v>
      </c>
      <c r="AC54" s="1139">
        <f t="shared" si="10"/>
        <v>19</v>
      </c>
      <c r="AD54" s="1140"/>
      <c r="AE54" s="1141">
        <f t="shared" si="0"/>
        <v>23439780</v>
      </c>
      <c r="AF54" s="1519">
        <f t="shared" si="11"/>
        <v>10.016999999999999</v>
      </c>
      <c r="AG54" s="1224">
        <v>2340000</v>
      </c>
      <c r="AH54" s="1521">
        <f t="shared" si="12"/>
        <v>23439780</v>
      </c>
      <c r="AI54" s="1142">
        <f t="shared" si="1"/>
        <v>37</v>
      </c>
      <c r="AJ54" s="1143"/>
      <c r="AK54" s="1144" t="str">
        <f>VLOOKUP(B54,TH.T4!B57:AC387,28,FALSE)</f>
        <v>TTrGD</v>
      </c>
      <c r="AL54" s="1130"/>
      <c r="AM54" s="1146"/>
      <c r="AN54" s="1147"/>
    </row>
    <row r="55" spans="1:50" s="1148" customFormat="1" ht="30.75" customHeight="1">
      <c r="A55" s="1132">
        <f>_xlfn.AGGREGATE(4,7,A$17:A54)+1</f>
        <v>38</v>
      </c>
      <c r="B55" s="1215" t="s">
        <v>1541</v>
      </c>
      <c r="C55" s="1216" t="s">
        <v>1802</v>
      </c>
      <c r="D55" s="1370">
        <v>1603205356140</v>
      </c>
      <c r="E55" s="579" t="str">
        <f>VLOOKUP(B55,TH.T6!B60:J390,9,FALSE)</f>
        <v>Nhân viên phòng Thanh tra GD - Quan hệ DN</v>
      </c>
      <c r="F55" s="1217">
        <v>3.99</v>
      </c>
      <c r="G55" s="1218"/>
      <c r="H55" s="1394">
        <f t="shared" si="2"/>
        <v>0</v>
      </c>
      <c r="I55" s="1219"/>
      <c r="J55" s="1217">
        <v>3.99</v>
      </c>
      <c r="K55" s="1218"/>
      <c r="L55" s="1394">
        <f t="shared" si="3"/>
        <v>0</v>
      </c>
      <c r="M55" s="1219"/>
      <c r="N55" s="1217">
        <v>4.32</v>
      </c>
      <c r="O55" s="1218"/>
      <c r="P55" s="1395">
        <f t="shared" si="4"/>
        <v>0</v>
      </c>
      <c r="Q55" s="1219"/>
      <c r="R55" s="1219" t="str">
        <f>IFERROR(INDEX('[18]Gui chi Quynh'!$E$11:$E$397,MATCH(B55,'[18]Gui chi Quynh'!$B$11:$B$397,0)),"")</f>
        <v>A3</v>
      </c>
      <c r="S55" s="1219">
        <f t="shared" si="5"/>
        <v>0.6</v>
      </c>
      <c r="T55" s="1219" t="str">
        <f>VLOOKUP(B55,'[19]Gui chi Quynh'!$B$11:$E$397,4,FALSE)</f>
        <v>A4</v>
      </c>
      <c r="U55" s="1219">
        <f t="shared" si="6"/>
        <v>0.5</v>
      </c>
      <c r="V55" s="1219" t="str">
        <f>VLOOKUP(B55,'[20]Gui chi Quynh'!$B$11:$E$396,4,FALSE)</f>
        <v>A3</v>
      </c>
      <c r="W55" s="1219">
        <f t="shared" si="7"/>
        <v>0.6</v>
      </c>
      <c r="X55" s="1219">
        <f>IFERROR(INDEX('[21]CN BC'!$J$10:$J$275,MATCH(B55,'[21]CN BC'!$H$10:$H$275,0)),"")</f>
        <v>23</v>
      </c>
      <c r="Y55" s="1219">
        <f>IFERROR(INDEX('[22]CN BC'!$J$10:$J$274,MATCH(B55,'[22]CN BC'!$H$10:$H$274,0)),"")</f>
        <v>22</v>
      </c>
      <c r="Z55" s="1219">
        <f>VLOOKUP(B55,'[23]CN BC'!$H$10:$J$275,3,FALSE)</f>
        <v>19</v>
      </c>
      <c r="AA55" s="1348">
        <f t="shared" si="8"/>
        <v>23</v>
      </c>
      <c r="AB55" s="1348">
        <f t="shared" si="9"/>
        <v>22</v>
      </c>
      <c r="AC55" s="1348">
        <f t="shared" si="10"/>
        <v>19</v>
      </c>
      <c r="AD55" s="1220"/>
      <c r="AE55" s="1349">
        <f t="shared" si="0"/>
        <v>16335540</v>
      </c>
      <c r="AF55" s="1548">
        <f t="shared" si="11"/>
        <v>6.9809999999999999</v>
      </c>
      <c r="AG55" s="1359">
        <v>2340000</v>
      </c>
      <c r="AH55" s="1549">
        <f t="shared" si="12"/>
        <v>16335540</v>
      </c>
      <c r="AI55" s="1221">
        <f t="shared" si="1"/>
        <v>38</v>
      </c>
      <c r="AJ55" s="1350" t="s">
        <v>2363</v>
      </c>
      <c r="AK55" s="1144" t="str">
        <f>VLOOKUP(B55,TH.T4!B58:AC388,28,FALSE)</f>
        <v>TTrGD</v>
      </c>
      <c r="AL55" s="1171"/>
      <c r="AN55" s="1158"/>
    </row>
    <row r="56" spans="1:50" s="1148" customFormat="1" ht="30.75" customHeight="1">
      <c r="A56" s="1132">
        <f>_xlfn.AGGREGATE(4,7,A$17:A55)+1</f>
        <v>39</v>
      </c>
      <c r="B56" s="1183" t="s">
        <v>1556</v>
      </c>
      <c r="C56" s="1153" t="s">
        <v>1648</v>
      </c>
      <c r="D56" s="1179">
        <v>1603205182727</v>
      </c>
      <c r="E56" s="1058" t="str">
        <f>VLOOKUP(B56,TH.T6!B61:J391,9,FALSE)</f>
        <v>Nhân viên phòng Thanh tra GD - Quan hệ DN</v>
      </c>
      <c r="F56" s="1160">
        <v>4.6500000000000004</v>
      </c>
      <c r="G56" s="1184"/>
      <c r="H56" s="1392">
        <f t="shared" si="2"/>
        <v>0</v>
      </c>
      <c r="I56" s="1136"/>
      <c r="J56" s="1160">
        <v>4.6500000000000004</v>
      </c>
      <c r="K56" s="1184"/>
      <c r="L56" s="1392">
        <f t="shared" si="3"/>
        <v>0</v>
      </c>
      <c r="M56" s="1136"/>
      <c r="N56" s="1160">
        <v>4.6500000000000004</v>
      </c>
      <c r="O56" s="1184"/>
      <c r="P56" s="1393">
        <f t="shared" si="4"/>
        <v>0</v>
      </c>
      <c r="Q56" s="1136"/>
      <c r="R56" s="1138" t="str">
        <f>IFERROR(INDEX('[18]Gui chi Quynh'!$E$11:$E$397,MATCH(B56,'[18]Gui chi Quynh'!$B$11:$B$397,0)),"")</f>
        <v>A3</v>
      </c>
      <c r="S56" s="1138">
        <f t="shared" si="5"/>
        <v>0.6</v>
      </c>
      <c r="T56" s="1138" t="str">
        <f>VLOOKUP(B56,'[19]Gui chi Quynh'!$B$11:$E$397,4,FALSE)</f>
        <v>A3</v>
      </c>
      <c r="U56" s="1138">
        <f t="shared" si="6"/>
        <v>0.6</v>
      </c>
      <c r="V56" s="1138" t="str">
        <f>VLOOKUP(B56,'[20]Gui chi Quynh'!$B$11:$E$396,4,FALSE)</f>
        <v>A3</v>
      </c>
      <c r="W56" s="1138">
        <f t="shared" si="7"/>
        <v>0.6</v>
      </c>
      <c r="X56" s="1138">
        <f>IFERROR(INDEX('[21]CN BC'!$J$10:$J$275,MATCH(B56,'[21]CN BC'!$H$10:$H$275,0)),"")</f>
        <v>22.5</v>
      </c>
      <c r="Y56" s="1138">
        <f>IFERROR(INDEX('[22]CN BC'!$J$10:$J$274,MATCH(B56,'[22]CN BC'!$H$10:$H$274,0)),"")</f>
        <v>23.5</v>
      </c>
      <c r="Z56" s="1138">
        <f>VLOOKUP(B56,'[23]CN BC'!$H$10:$J$275,3,FALSE)</f>
        <v>19.5</v>
      </c>
      <c r="AA56" s="1139">
        <f t="shared" si="8"/>
        <v>22.5</v>
      </c>
      <c r="AB56" s="1139">
        <f t="shared" si="9"/>
        <v>22</v>
      </c>
      <c r="AC56" s="1139">
        <f t="shared" si="10"/>
        <v>19</v>
      </c>
      <c r="AD56" s="1140"/>
      <c r="AE56" s="1141">
        <f t="shared" si="0"/>
        <v>19443874</v>
      </c>
      <c r="AF56" s="1519">
        <f t="shared" si="11"/>
        <v>8.3093478632478632</v>
      </c>
      <c r="AG56" s="1224">
        <v>2340000</v>
      </c>
      <c r="AH56" s="1521">
        <f t="shared" si="12"/>
        <v>19443874</v>
      </c>
      <c r="AI56" s="1142">
        <f t="shared" si="1"/>
        <v>39</v>
      </c>
      <c r="AJ56" s="1143"/>
      <c r="AK56" s="1144" t="str">
        <f>VLOOKUP(B56,TH.T4!B59:AC389,28,FALSE)</f>
        <v>TTrGD</v>
      </c>
      <c r="AL56" s="1130"/>
      <c r="AM56" s="1146"/>
      <c r="AN56" s="1147"/>
      <c r="AO56" s="1146"/>
      <c r="AP56" s="1146"/>
      <c r="AQ56" s="1146"/>
      <c r="AR56" s="1146"/>
      <c r="AS56" s="1146"/>
      <c r="AT56" s="1146"/>
    </row>
    <row r="57" spans="1:50" s="1148" customFormat="1" ht="50.25" customHeight="1">
      <c r="A57" s="1132">
        <f>_xlfn.AGGREGATE(4,7,A$17:A56)+1</f>
        <v>40</v>
      </c>
      <c r="B57" s="1215" t="s">
        <v>1854</v>
      </c>
      <c r="C57" s="1216" t="s">
        <v>1616</v>
      </c>
      <c r="D57" s="1347" t="s">
        <v>1260</v>
      </c>
      <c r="E57" s="579" t="str">
        <f>VLOOKUP(B57,TH.T6!B62:J392,9,FALSE)</f>
        <v>Nhân viên phòng Thanh tra GD - Quan hệ DN</v>
      </c>
      <c r="F57" s="1217">
        <v>4.9800000000000004</v>
      </c>
      <c r="G57" s="1218">
        <v>7.0000000000000007E-2</v>
      </c>
      <c r="H57" s="1394">
        <f t="shared" si="2"/>
        <v>0.34899999999999998</v>
      </c>
      <c r="I57" s="1219">
        <v>0.45</v>
      </c>
      <c r="J57" s="1217">
        <v>4.9800000000000004</v>
      </c>
      <c r="K57" s="1218">
        <v>7.0000000000000007E-2</v>
      </c>
      <c r="L57" s="1394">
        <f t="shared" si="3"/>
        <v>0.34899999999999998</v>
      </c>
      <c r="M57" s="1219">
        <v>0.45</v>
      </c>
      <c r="N57" s="1217">
        <v>4.9800000000000004</v>
      </c>
      <c r="O57" s="1218">
        <v>0.08</v>
      </c>
      <c r="P57" s="1395">
        <f t="shared" si="4"/>
        <v>0.39800000000000002</v>
      </c>
      <c r="Q57" s="1219"/>
      <c r="R57" s="1219" t="str">
        <f>IFERROR(INDEX('[18]Gui chi Quynh'!$E$11:$E$397,MATCH(B57,'[18]Gui chi Quynh'!$B$11:$B$397,0)),"")</f>
        <v>A1</v>
      </c>
      <c r="S57" s="1219">
        <f t="shared" si="5"/>
        <v>0.8</v>
      </c>
      <c r="T57" s="1219" t="str">
        <f>VLOOKUP(B57,'[19]Gui chi Quynh'!$B$11:$E$397,4,FALSE)</f>
        <v>A3</v>
      </c>
      <c r="U57" s="1219">
        <f t="shared" si="6"/>
        <v>0.6</v>
      </c>
      <c r="V57" s="1219" t="str">
        <f>VLOOKUP(B57,'[20]Gui chi Quynh'!$B$11:$E$396,4,FALSE)</f>
        <v>A3</v>
      </c>
      <c r="W57" s="1219">
        <f t="shared" si="7"/>
        <v>0.6</v>
      </c>
      <c r="X57" s="1219">
        <f>IFERROR(INDEX('[21]CN BC'!$J$10:$J$275,MATCH(B57,'[21]CN BC'!$H$10:$H$275,0)),"")</f>
        <v>25</v>
      </c>
      <c r="Y57" s="1219">
        <f>IFERROR(INDEX('[22]CN BC'!$J$10:$J$274,MATCH(B57,'[22]CN BC'!$H$10:$H$274,0)),"")</f>
        <v>23</v>
      </c>
      <c r="Z57" s="1219">
        <f>VLOOKUP(B57,'[23]CN BC'!$H$10:$J$275,3,FALSE)</f>
        <v>19</v>
      </c>
      <c r="AA57" s="1348">
        <f t="shared" si="8"/>
        <v>23</v>
      </c>
      <c r="AB57" s="1348">
        <f t="shared" si="9"/>
        <v>22</v>
      </c>
      <c r="AC57" s="1348">
        <f t="shared" si="10"/>
        <v>19</v>
      </c>
      <c r="AD57" s="1220"/>
      <c r="AE57" s="1349">
        <f t="shared" si="0"/>
        <v>26482716</v>
      </c>
      <c r="AF57" s="1548">
        <f t="shared" si="11"/>
        <v>11.317399999999999</v>
      </c>
      <c r="AG57" s="1359">
        <v>2340000</v>
      </c>
      <c r="AH57" s="1549">
        <f t="shared" si="12"/>
        <v>26482716</v>
      </c>
      <c r="AI57" s="1221">
        <f t="shared" si="1"/>
        <v>40</v>
      </c>
      <c r="AJ57" s="1350" t="s">
        <v>2360</v>
      </c>
      <c r="AK57" s="1144" t="str">
        <f>VLOOKUP(B57,TH.T4!B60:AC390,28,FALSE)</f>
        <v>TTrGD</v>
      </c>
      <c r="AL57" s="1131"/>
      <c r="AM57" s="1147"/>
      <c r="AN57" s="1147">
        <v>5000000</v>
      </c>
      <c r="AO57" s="1146"/>
      <c r="AP57" s="1146"/>
      <c r="AQ57" s="1146"/>
      <c r="AR57" s="1146"/>
      <c r="AS57" s="1146"/>
      <c r="AT57" s="1146"/>
      <c r="AU57" s="1146"/>
      <c r="AV57" s="1146"/>
      <c r="AW57" s="1146"/>
      <c r="AX57" s="1146"/>
    </row>
    <row r="58" spans="1:50" s="1148" customFormat="1" ht="36.75" customHeight="1">
      <c r="A58" s="1132">
        <f>_xlfn.AGGREGATE(4,7,A$17:A57)+1</f>
        <v>41</v>
      </c>
      <c r="B58" s="1133" t="s">
        <v>1460</v>
      </c>
      <c r="C58" s="1153" t="s">
        <v>1650</v>
      </c>
      <c r="D58" s="1168">
        <v>1603205189653</v>
      </c>
      <c r="E58" s="1058" t="str">
        <f>VLOOKUP(B58,TH.T6!B63:J393,9,FALSE)</f>
        <v>Nhân viên phòng Thanh tra GD - Quan hệ DN</v>
      </c>
      <c r="F58" s="1136">
        <v>3.99</v>
      </c>
      <c r="G58" s="1137"/>
      <c r="H58" s="1392">
        <f t="shared" si="2"/>
        <v>0</v>
      </c>
      <c r="I58" s="1138"/>
      <c r="J58" s="1136">
        <v>3.99</v>
      </c>
      <c r="K58" s="1137"/>
      <c r="L58" s="1392">
        <f t="shared" si="3"/>
        <v>0</v>
      </c>
      <c r="M58" s="1138"/>
      <c r="N58" s="1136">
        <v>3.99</v>
      </c>
      <c r="O58" s="1137"/>
      <c r="P58" s="1393">
        <f t="shared" si="4"/>
        <v>0</v>
      </c>
      <c r="Q58" s="1138"/>
      <c r="R58" s="1138" t="str">
        <f>IFERROR(INDEX('[18]Gui chi Quynh'!$E$11:$E$397,MATCH(B58,'[18]Gui chi Quynh'!$B$11:$B$397,0)),"")</f>
        <v>A3</v>
      </c>
      <c r="S58" s="1138">
        <f t="shared" si="5"/>
        <v>0.6</v>
      </c>
      <c r="T58" s="1138" t="str">
        <f>VLOOKUP(B58,'[19]Gui chi Quynh'!$B$11:$E$397,4,FALSE)</f>
        <v>A3</v>
      </c>
      <c r="U58" s="1138">
        <f t="shared" si="6"/>
        <v>0.6</v>
      </c>
      <c r="V58" s="1138" t="str">
        <f>VLOOKUP(B58,'[20]Gui chi Quynh'!$B$11:$E$396,4,FALSE)</f>
        <v>A3</v>
      </c>
      <c r="W58" s="1138">
        <f t="shared" si="7"/>
        <v>0.6</v>
      </c>
      <c r="X58" s="1138">
        <f>IFERROR(INDEX('[21]CN BC'!$J$10:$J$275,MATCH(B58,'[21]CN BC'!$H$10:$H$275,0)),"")</f>
        <v>19</v>
      </c>
      <c r="Y58" s="1138">
        <f>IFERROR(INDEX('[22]CN BC'!$J$10:$J$274,MATCH(B58,'[22]CN BC'!$H$10:$H$274,0)),"")</f>
        <v>22</v>
      </c>
      <c r="Z58" s="1138">
        <f>VLOOKUP(B58,'[23]CN BC'!$H$10:$J$275,3,FALSE)</f>
        <v>20</v>
      </c>
      <c r="AA58" s="1139">
        <f t="shared" si="8"/>
        <v>19</v>
      </c>
      <c r="AB58" s="1139">
        <f t="shared" si="9"/>
        <v>22</v>
      </c>
      <c r="AC58" s="1139">
        <f t="shared" si="10"/>
        <v>19</v>
      </c>
      <c r="AD58" s="1140"/>
      <c r="AE58" s="1141">
        <f t="shared" si="0"/>
        <v>15831626</v>
      </c>
      <c r="AF58" s="1519">
        <f t="shared" si="11"/>
        <v>6.7656521367521369</v>
      </c>
      <c r="AG58" s="1224">
        <v>2340000</v>
      </c>
      <c r="AH58" s="1521">
        <f t="shared" si="12"/>
        <v>15831626</v>
      </c>
      <c r="AI58" s="1142">
        <f t="shared" si="1"/>
        <v>41</v>
      </c>
      <c r="AJ58" s="1143"/>
      <c r="AK58" s="1144" t="str">
        <f>VLOOKUP(B58,TH.T4!B61:AC391,28,FALSE)</f>
        <v>TTrGD</v>
      </c>
      <c r="AL58" s="1171"/>
      <c r="AN58" s="1158"/>
    </row>
    <row r="59" spans="1:50" s="1148" customFormat="1" ht="36.75" customHeight="1">
      <c r="A59" s="1132">
        <f>_xlfn.AGGREGATE(4,7,A$17:A58)+1</f>
        <v>42</v>
      </c>
      <c r="B59" s="1133" t="s">
        <v>1461</v>
      </c>
      <c r="C59" s="1153" t="s">
        <v>1653</v>
      </c>
      <c r="D59" s="1154" t="s">
        <v>370</v>
      </c>
      <c r="E59" s="1058" t="str">
        <f>VLOOKUP(B59,TH.T6!B64:J394,9,FALSE)</f>
        <v>Nhân viên phòng Thanh tra GD - Quan hệ DN</v>
      </c>
      <c r="F59" s="1160">
        <v>3.66</v>
      </c>
      <c r="G59" s="1137"/>
      <c r="H59" s="1392">
        <f t="shared" si="2"/>
        <v>0</v>
      </c>
      <c r="I59" s="1138"/>
      <c r="J59" s="1160">
        <v>3.66</v>
      </c>
      <c r="K59" s="1137"/>
      <c r="L59" s="1392">
        <f t="shared" si="3"/>
        <v>0</v>
      </c>
      <c r="M59" s="1138"/>
      <c r="N59" s="1160">
        <v>3.66</v>
      </c>
      <c r="O59" s="1137"/>
      <c r="P59" s="1393">
        <f t="shared" si="4"/>
        <v>0</v>
      </c>
      <c r="Q59" s="1138"/>
      <c r="R59" s="1138" t="str">
        <f>IFERROR(INDEX('[18]Gui chi Quynh'!$E$11:$E$397,MATCH(B59,'[18]Gui chi Quynh'!$B$11:$B$397,0)),"")</f>
        <v>A4</v>
      </c>
      <c r="S59" s="1138">
        <f t="shared" si="5"/>
        <v>0.5</v>
      </c>
      <c r="T59" s="1138" t="str">
        <f>VLOOKUP(B59,'[19]Gui chi Quynh'!$B$11:$E$397,4,FALSE)</f>
        <v>A4</v>
      </c>
      <c r="U59" s="1138">
        <f t="shared" si="6"/>
        <v>0.5</v>
      </c>
      <c r="V59" s="1138" t="str">
        <f>VLOOKUP(B59,'[20]Gui chi Quynh'!$B$11:$E$396,4,FALSE)</f>
        <v>A3</v>
      </c>
      <c r="W59" s="1138">
        <f t="shared" si="7"/>
        <v>0.6</v>
      </c>
      <c r="X59" s="1138">
        <f>IFERROR(INDEX('[21]CN BC'!$J$10:$J$275,MATCH(B59,'[21]CN BC'!$H$10:$H$275,0)),"")</f>
        <v>21</v>
      </c>
      <c r="Y59" s="1138">
        <f>IFERROR(INDEX('[22]CN BC'!$J$10:$J$274,MATCH(B59,'[22]CN BC'!$H$10:$H$274,0)),"")</f>
        <v>21</v>
      </c>
      <c r="Z59" s="1138">
        <f>VLOOKUP(B59,'[23]CN BC'!$H$10:$J$275,3,FALSE)</f>
        <v>20</v>
      </c>
      <c r="AA59" s="1139">
        <f t="shared" si="8"/>
        <v>21</v>
      </c>
      <c r="AB59" s="1139">
        <f t="shared" si="9"/>
        <v>21</v>
      </c>
      <c r="AC59" s="1139">
        <f t="shared" si="10"/>
        <v>19</v>
      </c>
      <c r="AD59" s="1140"/>
      <c r="AE59" s="1141">
        <f t="shared" si="0"/>
        <v>13136029</v>
      </c>
      <c r="AF59" s="1519">
        <f t="shared" si="11"/>
        <v>5.6136876068376065</v>
      </c>
      <c r="AG59" s="1224">
        <v>2340000</v>
      </c>
      <c r="AH59" s="1521">
        <f t="shared" si="12"/>
        <v>13136029</v>
      </c>
      <c r="AI59" s="1142">
        <f t="shared" si="1"/>
        <v>42</v>
      </c>
      <c r="AJ59" s="1143"/>
      <c r="AK59" s="1144" t="str">
        <f>VLOOKUP(B59,TH.T4!B62:AC392,28,FALSE)</f>
        <v>TTrGD</v>
      </c>
      <c r="AL59" s="1130"/>
      <c r="AM59" s="1146"/>
      <c r="AN59" s="1147"/>
      <c r="AO59" s="1146"/>
      <c r="AP59" s="1146"/>
      <c r="AQ59" s="1146"/>
      <c r="AR59" s="1146"/>
      <c r="AS59" s="1146"/>
      <c r="AT59" s="1146"/>
    </row>
    <row r="60" spans="1:50" s="1148" customFormat="1" ht="36.75" customHeight="1">
      <c r="A60" s="1132">
        <f>_xlfn.AGGREGATE(4,7,A$17:A59)+1</f>
        <v>43</v>
      </c>
      <c r="B60" s="1133" t="s">
        <v>848</v>
      </c>
      <c r="C60" s="1153" t="s">
        <v>1655</v>
      </c>
      <c r="D60" s="1154" t="s">
        <v>1263</v>
      </c>
      <c r="E60" s="1058" t="str">
        <f>VLOOKUP(B60,TH.T6!B65:J395,9,FALSE)</f>
        <v>Nhân viên phòng Thanh tra GD - Quan hệ DN</v>
      </c>
      <c r="F60" s="1136">
        <v>4.32</v>
      </c>
      <c r="G60" s="1137"/>
      <c r="H60" s="1392">
        <f t="shared" si="2"/>
        <v>0</v>
      </c>
      <c r="I60" s="1138"/>
      <c r="J60" s="1136">
        <v>4.32</v>
      </c>
      <c r="K60" s="1137"/>
      <c r="L60" s="1392">
        <f t="shared" si="3"/>
        <v>0</v>
      </c>
      <c r="M60" s="1138"/>
      <c r="N60" s="1136">
        <v>4.32</v>
      </c>
      <c r="O60" s="1137"/>
      <c r="P60" s="1393">
        <f t="shared" si="4"/>
        <v>0</v>
      </c>
      <c r="Q60" s="1138"/>
      <c r="R60" s="1138" t="str">
        <f>IFERROR(INDEX('[18]Gui chi Quynh'!$E$11:$E$397,MATCH(B60,'[18]Gui chi Quynh'!$B$11:$B$397,0)),"")</f>
        <v>A3</v>
      </c>
      <c r="S60" s="1138">
        <f t="shared" si="5"/>
        <v>0.6</v>
      </c>
      <c r="T60" s="1138" t="str">
        <f>VLOOKUP(B60,'[19]Gui chi Quynh'!$B$11:$E$397,4,FALSE)</f>
        <v>A3</v>
      </c>
      <c r="U60" s="1138">
        <f t="shared" si="6"/>
        <v>0.6</v>
      </c>
      <c r="V60" s="1138" t="str">
        <f>VLOOKUP(B60,'[20]Gui chi Quynh'!$B$11:$E$396,4,FALSE)</f>
        <v>A2</v>
      </c>
      <c r="W60" s="1138">
        <f t="shared" si="7"/>
        <v>0.7</v>
      </c>
      <c r="X60" s="1138">
        <f>IFERROR(INDEX('[21]CN BC'!$J$10:$J$275,MATCH(B60,'[21]CN BC'!$H$10:$H$275,0)),"")</f>
        <v>24</v>
      </c>
      <c r="Y60" s="1138">
        <f>IFERROR(INDEX('[22]CN BC'!$J$10:$J$274,MATCH(B60,'[22]CN BC'!$H$10:$H$274,0)),"")</f>
        <v>22</v>
      </c>
      <c r="Z60" s="1138">
        <f>VLOOKUP(B60,'[23]CN BC'!$H$10:$J$275,3,FALSE)</f>
        <v>21</v>
      </c>
      <c r="AA60" s="1139">
        <f t="shared" si="8"/>
        <v>23</v>
      </c>
      <c r="AB60" s="1139">
        <f t="shared" si="9"/>
        <v>22</v>
      </c>
      <c r="AC60" s="1139">
        <f t="shared" si="10"/>
        <v>19</v>
      </c>
      <c r="AD60" s="1140"/>
      <c r="AE60" s="1141">
        <f t="shared" si="0"/>
        <v>19206720</v>
      </c>
      <c r="AF60" s="1519">
        <f t="shared" si="11"/>
        <v>8.2080000000000002</v>
      </c>
      <c r="AG60" s="1224">
        <v>2340000</v>
      </c>
      <c r="AH60" s="1521">
        <f t="shared" si="12"/>
        <v>19206720</v>
      </c>
      <c r="AI60" s="1142">
        <f t="shared" si="1"/>
        <v>43</v>
      </c>
      <c r="AJ60" s="1143"/>
      <c r="AK60" s="1144" t="str">
        <f>VLOOKUP(B60,TH.T4!B63:AC393,28,FALSE)</f>
        <v>TTrGD</v>
      </c>
      <c r="AL60" s="1130"/>
      <c r="AM60" s="1146"/>
      <c r="AN60" s="1147"/>
      <c r="AO60" s="1146"/>
      <c r="AP60" s="1146"/>
      <c r="AQ60" s="1146"/>
      <c r="AR60" s="1146"/>
      <c r="AS60" s="1146"/>
      <c r="AT60" s="1146"/>
    </row>
    <row r="61" spans="1:50" s="1148" customFormat="1" ht="36.75" customHeight="1">
      <c r="A61" s="1132">
        <f>_xlfn.AGGREGATE(4,7,A$17:A60)+1</f>
        <v>44</v>
      </c>
      <c r="B61" s="1133" t="s">
        <v>1857</v>
      </c>
      <c r="C61" s="1153" t="s">
        <v>1656</v>
      </c>
      <c r="D61" s="1168" t="s">
        <v>1358</v>
      </c>
      <c r="E61" s="1058" t="str">
        <f>VLOOKUP(B61,TH.T6!B66:J396,9,FALSE)</f>
        <v>Nhân viên phòng Thanh tra GD - Quan hệ DN</v>
      </c>
      <c r="F61" s="1136">
        <v>4.32</v>
      </c>
      <c r="G61" s="1137"/>
      <c r="H61" s="1392">
        <f t="shared" si="2"/>
        <v>0</v>
      </c>
      <c r="I61" s="1138"/>
      <c r="J61" s="1136">
        <v>4.32</v>
      </c>
      <c r="K61" s="1137"/>
      <c r="L61" s="1392">
        <f t="shared" si="3"/>
        <v>0</v>
      </c>
      <c r="M61" s="1138"/>
      <c r="N61" s="1136">
        <v>4.32</v>
      </c>
      <c r="O61" s="1137"/>
      <c r="P61" s="1393">
        <f t="shared" si="4"/>
        <v>0</v>
      </c>
      <c r="Q61" s="1138"/>
      <c r="R61" s="1138" t="str">
        <f>IFERROR(INDEX('[18]Gui chi Quynh'!$E$11:$E$397,MATCH(B61,'[18]Gui chi Quynh'!$B$11:$B$397,0)),"")</f>
        <v>A4</v>
      </c>
      <c r="S61" s="1138">
        <f t="shared" si="5"/>
        <v>0.5</v>
      </c>
      <c r="T61" s="1138" t="str">
        <f>VLOOKUP(B61,'[19]Gui chi Quynh'!$B$11:$E$397,4,FALSE)</f>
        <v>A3</v>
      </c>
      <c r="U61" s="1138">
        <f t="shared" si="6"/>
        <v>0.6</v>
      </c>
      <c r="V61" s="1138" t="str">
        <f>VLOOKUP(B61,'[20]Gui chi Quynh'!$B$11:$E$396,4,FALSE)</f>
        <v>A4</v>
      </c>
      <c r="W61" s="1138">
        <f t="shared" si="7"/>
        <v>0.5</v>
      </c>
      <c r="X61" s="1138">
        <f>IFERROR(INDEX('[21]CN BC'!$J$10:$J$275,MATCH(B61,'[21]CN BC'!$H$10:$H$275,0)),"")</f>
        <v>24</v>
      </c>
      <c r="Y61" s="1138">
        <f>IFERROR(INDEX('[22]CN BC'!$J$10:$J$274,MATCH(B61,'[22]CN BC'!$H$10:$H$274,0)),"")</f>
        <v>22</v>
      </c>
      <c r="Z61" s="1138">
        <f>VLOOKUP(B61,'[23]CN BC'!$H$10:$J$275,3,FALSE)</f>
        <v>19</v>
      </c>
      <c r="AA61" s="1139">
        <f t="shared" si="8"/>
        <v>23</v>
      </c>
      <c r="AB61" s="1139">
        <f t="shared" si="9"/>
        <v>22</v>
      </c>
      <c r="AC61" s="1139">
        <f t="shared" si="10"/>
        <v>19</v>
      </c>
      <c r="AD61" s="1140"/>
      <c r="AE61" s="1141">
        <f t="shared" si="0"/>
        <v>16174080</v>
      </c>
      <c r="AF61" s="1519">
        <f t="shared" si="11"/>
        <v>6.9119999999999999</v>
      </c>
      <c r="AG61" s="1224">
        <v>2340000</v>
      </c>
      <c r="AH61" s="1521">
        <f t="shared" si="12"/>
        <v>16174080</v>
      </c>
      <c r="AI61" s="1142">
        <f t="shared" si="1"/>
        <v>44</v>
      </c>
      <c r="AJ61" s="1143"/>
      <c r="AK61" s="1144" t="str">
        <f>VLOOKUP(B61,TH.T4!B64:AC394,28,FALSE)</f>
        <v>TTrGD</v>
      </c>
      <c r="AL61" s="1130"/>
      <c r="AM61" s="1146"/>
      <c r="AN61" s="1147"/>
      <c r="AO61" s="1146"/>
      <c r="AP61" s="1146"/>
      <c r="AQ61" s="1146"/>
      <c r="AR61" s="1146"/>
      <c r="AS61" s="1146"/>
      <c r="AT61" s="1146"/>
    </row>
    <row r="62" spans="1:50" s="1148" customFormat="1" ht="36.75" customHeight="1">
      <c r="A62" s="1132">
        <f>_xlfn.AGGREGATE(4,7,A$17:A61)+1</f>
        <v>45</v>
      </c>
      <c r="B62" s="1133" t="s">
        <v>1851</v>
      </c>
      <c r="C62" s="1149" t="s">
        <v>1632</v>
      </c>
      <c r="D62" s="1185" t="s">
        <v>1575</v>
      </c>
      <c r="E62" s="1058" t="str">
        <f>VLOOKUP(B62,TH.T6!B67:J397,9,FALSE)</f>
        <v>Nhân viên phòng Thanh tra GD - Quan hệ DN</v>
      </c>
      <c r="F62" s="1160">
        <v>3.66</v>
      </c>
      <c r="G62" s="1137"/>
      <c r="H62" s="1392">
        <f t="shared" si="2"/>
        <v>0</v>
      </c>
      <c r="I62" s="1138"/>
      <c r="J62" s="1160">
        <v>3.66</v>
      </c>
      <c r="K62" s="1137"/>
      <c r="L62" s="1392">
        <f t="shared" si="3"/>
        <v>0</v>
      </c>
      <c r="M62" s="1138"/>
      <c r="N62" s="1160">
        <v>3.66</v>
      </c>
      <c r="O62" s="1137"/>
      <c r="P62" s="1393">
        <f t="shared" si="4"/>
        <v>0</v>
      </c>
      <c r="Q62" s="1138"/>
      <c r="R62" s="1138" t="str">
        <f>IFERROR(INDEX('[18]Gui chi Quynh'!$E$11:$E$397,MATCH(B62,'[18]Gui chi Quynh'!$B$11:$B$397,0)),"")</f>
        <v>A4</v>
      </c>
      <c r="S62" s="1138">
        <f t="shared" si="5"/>
        <v>0.5</v>
      </c>
      <c r="T62" s="1138" t="str">
        <f>VLOOKUP(B62,'[19]Gui chi Quynh'!$B$11:$E$397,4,FALSE)</f>
        <v>A4</v>
      </c>
      <c r="U62" s="1138">
        <f t="shared" si="6"/>
        <v>0.5</v>
      </c>
      <c r="V62" s="1138" t="str">
        <f>VLOOKUP(B62,'[20]Gui chi Quynh'!$B$11:$E$396,4,FALSE)</f>
        <v>A3</v>
      </c>
      <c r="W62" s="1138">
        <f t="shared" si="7"/>
        <v>0.6</v>
      </c>
      <c r="X62" s="1138">
        <f>IFERROR(INDEX('[21]CN BC'!$J$10:$J$275,MATCH(B62,'[21]CN BC'!$H$10:$H$275,0)),"")</f>
        <v>24</v>
      </c>
      <c r="Y62" s="1138">
        <f>IFERROR(INDEX('[22]CN BC'!$J$10:$J$274,MATCH(B62,'[22]CN BC'!$H$10:$H$274,0)),"")</f>
        <v>19</v>
      </c>
      <c r="Z62" s="1138">
        <f>VLOOKUP(B62,'[23]CN BC'!$H$10:$J$275,3,FALSE)</f>
        <v>20</v>
      </c>
      <c r="AA62" s="1139">
        <f t="shared" si="8"/>
        <v>23</v>
      </c>
      <c r="AB62" s="1139">
        <f t="shared" si="9"/>
        <v>19</v>
      </c>
      <c r="AC62" s="1139">
        <f t="shared" si="10"/>
        <v>19</v>
      </c>
      <c r="AD62" s="1140"/>
      <c r="AE62" s="1141">
        <f t="shared" si="0"/>
        <v>13119104</v>
      </c>
      <c r="AF62" s="1519">
        <f t="shared" si="11"/>
        <v>5.6064547008547008</v>
      </c>
      <c r="AG62" s="1224">
        <v>2340000</v>
      </c>
      <c r="AH62" s="1521">
        <f t="shared" si="12"/>
        <v>13119104</v>
      </c>
      <c r="AI62" s="1142">
        <f t="shared" si="1"/>
        <v>45</v>
      </c>
      <c r="AJ62" s="1143"/>
      <c r="AK62" s="1144" t="str">
        <f>VLOOKUP(B62,TH.T4!B65:AC395,28,FALSE)</f>
        <v>TTrGD</v>
      </c>
      <c r="AL62" s="1130"/>
      <c r="AM62" s="1146"/>
      <c r="AN62" s="1147"/>
      <c r="AO62" s="1146"/>
      <c r="AP62" s="1146"/>
      <c r="AQ62" s="1146"/>
      <c r="AR62" s="1146"/>
      <c r="AS62" s="1146"/>
      <c r="AT62" s="1146"/>
      <c r="AU62" s="1146"/>
      <c r="AV62" s="1146"/>
      <c r="AW62" s="1146"/>
      <c r="AX62" s="1146"/>
    </row>
    <row r="63" spans="1:50" s="1148" customFormat="1" ht="36.75" customHeight="1">
      <c r="A63" s="1132">
        <f>_xlfn.AGGREGATE(4,7,A$17:A62)+1</f>
        <v>46</v>
      </c>
      <c r="B63" s="1133" t="s">
        <v>1561</v>
      </c>
      <c r="C63" s="1153" t="s">
        <v>1657</v>
      </c>
      <c r="D63" s="1150" t="s">
        <v>1562</v>
      </c>
      <c r="E63" s="1058" t="str">
        <f>VLOOKUP(B63,TH.T6!B68:J398,9,FALSE)</f>
        <v>Nhân viên phòng Tuyển sinh - Đào tạo</v>
      </c>
      <c r="F63" s="1160">
        <v>3.66</v>
      </c>
      <c r="G63" s="1137"/>
      <c r="H63" s="1392">
        <f t="shared" si="2"/>
        <v>0</v>
      </c>
      <c r="I63" s="1138"/>
      <c r="J63" s="1160">
        <v>3.66</v>
      </c>
      <c r="K63" s="1137"/>
      <c r="L63" s="1392">
        <f t="shared" si="3"/>
        <v>0</v>
      </c>
      <c r="M63" s="1138"/>
      <c r="N63" s="1160">
        <v>3.66</v>
      </c>
      <c r="O63" s="1137"/>
      <c r="P63" s="1393">
        <f t="shared" si="4"/>
        <v>0</v>
      </c>
      <c r="Q63" s="1138"/>
      <c r="R63" s="1138" t="str">
        <f>IFERROR(INDEX('[18]Gui chi Quynh'!$E$11:$E$397,MATCH(B63,'[18]Gui chi Quynh'!$B$11:$B$397,0)),"")</f>
        <v>A2</v>
      </c>
      <c r="S63" s="1138">
        <f t="shared" si="5"/>
        <v>0.7</v>
      </c>
      <c r="T63" s="1138" t="str">
        <f>VLOOKUP(B63,'[19]Gui chi Quynh'!$B$11:$E$397,4,FALSE)</f>
        <v>A3</v>
      </c>
      <c r="U63" s="1138">
        <f t="shared" si="6"/>
        <v>0.6</v>
      </c>
      <c r="V63" s="1138" t="str">
        <f>VLOOKUP(B63,'[20]Gui chi Quynh'!$B$11:$E$396,4,FALSE)</f>
        <v>A3</v>
      </c>
      <c r="W63" s="1138">
        <f t="shared" si="7"/>
        <v>0.6</v>
      </c>
      <c r="X63" s="1138">
        <f>IFERROR(INDEX('[21]CN BC'!$J$10:$J$275,MATCH(B63,'[21]CN BC'!$H$10:$H$275,0)),"")</f>
        <v>20.5</v>
      </c>
      <c r="Y63" s="1138">
        <f>IFERROR(INDEX('[22]CN BC'!$J$10:$J$274,MATCH(B63,'[22]CN BC'!$H$10:$H$274,0)),"")</f>
        <v>22.5</v>
      </c>
      <c r="Z63" s="1138">
        <f>VLOOKUP(B63,'[23]CN BC'!$H$10:$J$275,3,FALSE)</f>
        <v>19</v>
      </c>
      <c r="AA63" s="1139">
        <f t="shared" si="8"/>
        <v>20.5</v>
      </c>
      <c r="AB63" s="1139">
        <f t="shared" si="9"/>
        <v>22</v>
      </c>
      <c r="AC63" s="1139">
        <f t="shared" si="10"/>
        <v>19</v>
      </c>
      <c r="AD63" s="1140"/>
      <c r="AE63" s="1141">
        <f t="shared" si="0"/>
        <v>15620721</v>
      </c>
      <c r="AF63" s="1519">
        <f t="shared" si="11"/>
        <v>6.6755217948717949</v>
      </c>
      <c r="AG63" s="1224">
        <v>2340000</v>
      </c>
      <c r="AH63" s="1521">
        <f t="shared" si="12"/>
        <v>15620721</v>
      </c>
      <c r="AI63" s="1142">
        <f t="shared" si="1"/>
        <v>46</v>
      </c>
      <c r="AJ63" s="1143"/>
      <c r="AK63" s="1144" t="str">
        <f>VLOOKUP(B63,TH.T4!B66:AC396,28,FALSE)</f>
        <v>TSĐT</v>
      </c>
      <c r="AL63" s="1130"/>
      <c r="AM63" s="1146"/>
      <c r="AN63" s="1158"/>
    </row>
    <row r="64" spans="1:50" s="1148" customFormat="1" ht="32.25" customHeight="1">
      <c r="A64" s="1132">
        <f>_xlfn.AGGREGATE(4,7,A$17:A63)+1</f>
        <v>47</v>
      </c>
      <c r="B64" s="1133" t="s">
        <v>1463</v>
      </c>
      <c r="C64" s="1153" t="s">
        <v>1617</v>
      </c>
      <c r="D64" s="1154" t="s">
        <v>1573</v>
      </c>
      <c r="E64" s="1058" t="str">
        <f>VLOOKUP(B64,TH.T6!B69:J399,9,FALSE)</f>
        <v>Trưởng phòng Tuyển sinh - Đào tạo</v>
      </c>
      <c r="F64" s="1160">
        <v>4.74</v>
      </c>
      <c r="G64" s="1137"/>
      <c r="H64" s="1392">
        <f t="shared" si="2"/>
        <v>0</v>
      </c>
      <c r="I64" s="1138">
        <v>0.45</v>
      </c>
      <c r="J64" s="1160">
        <v>4.74</v>
      </c>
      <c r="K64" s="1137"/>
      <c r="L64" s="1392">
        <f t="shared" si="3"/>
        <v>0</v>
      </c>
      <c r="M64" s="1138">
        <v>0.45</v>
      </c>
      <c r="N64" s="1160">
        <v>4.74</v>
      </c>
      <c r="O64" s="1137"/>
      <c r="P64" s="1393">
        <f t="shared" si="4"/>
        <v>0</v>
      </c>
      <c r="Q64" s="1138">
        <v>0.45</v>
      </c>
      <c r="R64" s="1138" t="str">
        <f>IFERROR(INDEX('[18]Gui chi Quynh'!$E$11:$E$397,MATCH(B64,'[18]Gui chi Quynh'!$B$11:$B$397,0)),"")</f>
        <v>A1</v>
      </c>
      <c r="S64" s="1138">
        <f t="shared" si="5"/>
        <v>0.8</v>
      </c>
      <c r="T64" s="1138" t="str">
        <f>VLOOKUP(B64,'[19]Gui chi Quynh'!$B$11:$E$397,4,FALSE)</f>
        <v>A1</v>
      </c>
      <c r="U64" s="1138">
        <f t="shared" si="6"/>
        <v>0.8</v>
      </c>
      <c r="V64" s="1138" t="str">
        <f>VLOOKUP(B64,'[20]Gui chi Quynh'!$B$11:$E$396,4,FALSE)</f>
        <v>A1</v>
      </c>
      <c r="W64" s="1138">
        <f t="shared" si="7"/>
        <v>0.8</v>
      </c>
      <c r="X64" s="1138">
        <f>IFERROR(INDEX('[21]CN BC'!$J$10:$J$275,MATCH(B64,'[21]CN BC'!$H$10:$H$275,0)),"")</f>
        <v>25</v>
      </c>
      <c r="Y64" s="1138">
        <f>IFERROR(INDEX('[22]CN BC'!$J$10:$J$274,MATCH(B64,'[22]CN BC'!$H$10:$H$274,0)),"")</f>
        <v>24</v>
      </c>
      <c r="Z64" s="1138">
        <f>VLOOKUP(B64,'[23]CN BC'!$H$10:$J$275,3,FALSE)</f>
        <v>23.5</v>
      </c>
      <c r="AA64" s="1139">
        <f t="shared" si="8"/>
        <v>23</v>
      </c>
      <c r="AB64" s="1139">
        <f t="shared" si="9"/>
        <v>22</v>
      </c>
      <c r="AC64" s="1139">
        <f t="shared" si="10"/>
        <v>19</v>
      </c>
      <c r="AD64" s="1140"/>
      <c r="AE64" s="1141">
        <f t="shared" si="0"/>
        <v>29147040</v>
      </c>
      <c r="AF64" s="1519">
        <f t="shared" si="11"/>
        <v>12.456</v>
      </c>
      <c r="AG64" s="1224">
        <v>2340000</v>
      </c>
      <c r="AH64" s="1521">
        <f t="shared" si="12"/>
        <v>29147040</v>
      </c>
      <c r="AI64" s="1142">
        <f t="shared" si="1"/>
        <v>47</v>
      </c>
      <c r="AJ64" s="1143">
        <f>IFERROR(INDEX('[17]CN BC'!$M$10:$M$276,MATCH(B64,'[17]CN BC'!$H$10:$H$276,0)),"")</f>
        <v>0</v>
      </c>
      <c r="AK64" s="1144" t="str">
        <f>VLOOKUP(B64,TH.T4!B67:AC397,28,FALSE)</f>
        <v>TSĐT</v>
      </c>
      <c r="AL64" s="1131"/>
      <c r="AM64" s="1146"/>
      <c r="AN64" s="1147"/>
      <c r="AO64" s="1146"/>
      <c r="AP64" s="1146"/>
      <c r="AQ64" s="1146"/>
      <c r="AR64" s="1146"/>
      <c r="AS64" s="1146"/>
      <c r="AT64" s="1146"/>
    </row>
    <row r="65" spans="1:50" s="1146" customFormat="1" ht="32.25" customHeight="1">
      <c r="A65" s="1132">
        <f>_xlfn.AGGREGATE(4,7,A$17:A64)+1</f>
        <v>48</v>
      </c>
      <c r="B65" s="1172" t="s">
        <v>1902</v>
      </c>
      <c r="C65" s="1149" t="s">
        <v>1785</v>
      </c>
      <c r="D65" s="1173" t="s">
        <v>1391</v>
      </c>
      <c r="E65" s="1058" t="str">
        <f>VLOOKUP(B65,TH.T6!B70:J400,9,FALSE)</f>
        <v>Phó TP. Tuyể sinh - Đào tạo</v>
      </c>
      <c r="F65" s="1174">
        <v>4.32</v>
      </c>
      <c r="G65" s="1175"/>
      <c r="H65" s="1392">
        <f t="shared" si="2"/>
        <v>0</v>
      </c>
      <c r="I65" s="1176">
        <v>0.35</v>
      </c>
      <c r="J65" s="1174">
        <v>4.32</v>
      </c>
      <c r="K65" s="1175"/>
      <c r="L65" s="1392">
        <f t="shared" si="3"/>
        <v>0</v>
      </c>
      <c r="M65" s="1176">
        <v>0.35</v>
      </c>
      <c r="N65" s="1174">
        <v>4.32</v>
      </c>
      <c r="O65" s="1175"/>
      <c r="P65" s="1393">
        <f t="shared" si="4"/>
        <v>0</v>
      </c>
      <c r="Q65" s="1176">
        <v>0.35</v>
      </c>
      <c r="R65" s="1138" t="str">
        <f>IFERROR(INDEX('[18]Gui chi Quynh'!$E$11:$E$397,MATCH(B65,'[18]Gui chi Quynh'!$B$11:$B$397,0)),"")</f>
        <v>A2</v>
      </c>
      <c r="S65" s="1138">
        <f t="shared" si="5"/>
        <v>0.7</v>
      </c>
      <c r="T65" s="1138" t="str">
        <f>VLOOKUP(B65,'[19]Gui chi Quynh'!$B$11:$E$397,4,FALSE)</f>
        <v>A1</v>
      </c>
      <c r="U65" s="1138">
        <f t="shared" si="6"/>
        <v>0.8</v>
      </c>
      <c r="V65" s="1138" t="str">
        <f>VLOOKUP(B65,'[20]Gui chi Quynh'!$B$11:$E$396,4,FALSE)</f>
        <v>A2</v>
      </c>
      <c r="W65" s="1138">
        <f t="shared" si="7"/>
        <v>0.7</v>
      </c>
      <c r="X65" s="1138">
        <f>IFERROR(INDEX('[21]CN BC'!$J$10:$J$275,MATCH(B65,'[21]CN BC'!$H$10:$H$275,0)),"")</f>
        <v>20.5</v>
      </c>
      <c r="Y65" s="1138">
        <f>IFERROR(INDEX('[22]CN BC'!$J$10:$J$274,MATCH(B65,'[22]CN BC'!$H$10:$H$274,0)),"")</f>
        <v>23</v>
      </c>
      <c r="Z65" s="1138">
        <f>VLOOKUP(B65,'[23]CN BC'!$H$10:$J$275,3,FALSE)</f>
        <v>18</v>
      </c>
      <c r="AA65" s="1139">
        <f t="shared" si="8"/>
        <v>20.5</v>
      </c>
      <c r="AB65" s="1139">
        <f t="shared" si="9"/>
        <v>22</v>
      </c>
      <c r="AC65" s="1139">
        <f t="shared" si="10"/>
        <v>18</v>
      </c>
      <c r="AD65" s="1140"/>
      <c r="AE65" s="1141">
        <f t="shared" si="0"/>
        <v>22807094</v>
      </c>
      <c r="AF65" s="1519">
        <f t="shared" si="11"/>
        <v>9.7466213675213673</v>
      </c>
      <c r="AG65" s="1224">
        <v>2340000</v>
      </c>
      <c r="AH65" s="1521">
        <f t="shared" si="12"/>
        <v>22807094</v>
      </c>
      <c r="AI65" s="1142">
        <f t="shared" si="1"/>
        <v>48</v>
      </c>
      <c r="AJ65" s="1143">
        <f>IFERROR(INDEX('[17]CN BC'!$M$10:$M$276,MATCH(B65,'[17]CN BC'!$H$10:$H$276,0)),"")</f>
        <v>0</v>
      </c>
      <c r="AK65" s="1144" t="str">
        <f>VLOOKUP(B65,TH.T4!B68:AC398,28,FALSE)</f>
        <v>TSĐT</v>
      </c>
      <c r="AL65" s="1130"/>
      <c r="AN65" s="1147"/>
    </row>
    <row r="66" spans="1:50" s="1148" customFormat="1" ht="32.25" customHeight="1">
      <c r="A66" s="1132">
        <f>_xlfn.AGGREGATE(4,7,A$17:A65)+1</f>
        <v>49</v>
      </c>
      <c r="B66" s="1133" t="s">
        <v>1858</v>
      </c>
      <c r="C66" s="1153" t="s">
        <v>1659</v>
      </c>
      <c r="D66" s="1154" t="s">
        <v>1285</v>
      </c>
      <c r="E66" s="1058" t="str">
        <f>VLOOKUP(B66,TH.T6!B71:J401,9,FALSE)</f>
        <v>Nhân viên phòng TS - Đào tạo</v>
      </c>
      <c r="F66" s="1136">
        <v>4.6500000000000004</v>
      </c>
      <c r="G66" s="1137"/>
      <c r="H66" s="1392">
        <f t="shared" si="2"/>
        <v>0</v>
      </c>
      <c r="I66" s="1138"/>
      <c r="J66" s="1136">
        <v>4.6500000000000004</v>
      </c>
      <c r="K66" s="1137"/>
      <c r="L66" s="1392">
        <f t="shared" si="3"/>
        <v>0</v>
      </c>
      <c r="M66" s="1138"/>
      <c r="N66" s="1136">
        <v>4.6500000000000004</v>
      </c>
      <c r="O66" s="1137"/>
      <c r="P66" s="1393">
        <f t="shared" si="4"/>
        <v>0</v>
      </c>
      <c r="Q66" s="1138"/>
      <c r="R66" s="1138" t="str">
        <f>IFERROR(INDEX('[18]Gui chi Quynh'!$E$11:$E$397,MATCH(B66,'[18]Gui chi Quynh'!$B$11:$B$397,0)),"")</f>
        <v>A3</v>
      </c>
      <c r="S66" s="1138">
        <f t="shared" si="5"/>
        <v>0.6</v>
      </c>
      <c r="T66" s="1138" t="str">
        <f>VLOOKUP(B66,'[19]Gui chi Quynh'!$B$11:$E$397,4,FALSE)</f>
        <v>A2</v>
      </c>
      <c r="U66" s="1138">
        <f t="shared" si="6"/>
        <v>0.7</v>
      </c>
      <c r="V66" s="1138" t="str">
        <f>VLOOKUP(B66,'[20]Gui chi Quynh'!$B$11:$E$396,4,FALSE)</f>
        <v>A2</v>
      </c>
      <c r="W66" s="1138">
        <f t="shared" si="7"/>
        <v>0.7</v>
      </c>
      <c r="X66" s="1138">
        <f>IFERROR(INDEX('[21]CN BC'!$J$10:$J$275,MATCH(B66,'[21]CN BC'!$H$10:$H$275,0)),"")</f>
        <v>21.5</v>
      </c>
      <c r="Y66" s="1138">
        <f>IFERROR(INDEX('[22]CN BC'!$J$10:$J$274,MATCH(B66,'[22]CN BC'!$H$10:$H$274,0)),"")</f>
        <v>23</v>
      </c>
      <c r="Z66" s="1138">
        <f>VLOOKUP(B66,'[23]CN BC'!$H$10:$J$275,3,FALSE)</f>
        <v>20.5</v>
      </c>
      <c r="AA66" s="1139">
        <f t="shared" si="8"/>
        <v>21.5</v>
      </c>
      <c r="AB66" s="1139">
        <f t="shared" si="9"/>
        <v>22</v>
      </c>
      <c r="AC66" s="1139">
        <f t="shared" si="10"/>
        <v>19</v>
      </c>
      <c r="AD66" s="1140"/>
      <c r="AE66" s="1141">
        <f t="shared" si="0"/>
        <v>21336222</v>
      </c>
      <c r="AF66" s="1519">
        <f t="shared" si="11"/>
        <v>9.1180435897435892</v>
      </c>
      <c r="AG66" s="1224">
        <v>2340000</v>
      </c>
      <c r="AH66" s="1521">
        <f t="shared" si="12"/>
        <v>21336222</v>
      </c>
      <c r="AI66" s="1142">
        <f t="shared" si="1"/>
        <v>49</v>
      </c>
      <c r="AJ66" s="1143">
        <f>IFERROR(INDEX('[17]CN BC'!$M$10:$M$276,MATCH(B66,'[17]CN BC'!$H$10:$H$276,0)),"")</f>
        <v>0</v>
      </c>
      <c r="AK66" s="1144" t="str">
        <f>VLOOKUP(B66,TH.T4!B69:AC399,28,FALSE)</f>
        <v>TSĐT</v>
      </c>
      <c r="AL66" s="1130"/>
      <c r="AM66" s="1146"/>
      <c r="AN66" s="1147"/>
      <c r="AO66" s="1146"/>
      <c r="AP66" s="1146"/>
      <c r="AQ66" s="1146"/>
      <c r="AR66" s="1146"/>
      <c r="AS66" s="1146"/>
      <c r="AT66" s="1146"/>
    </row>
    <row r="67" spans="1:50" s="1148" customFormat="1" ht="32.25" customHeight="1">
      <c r="A67" s="1132">
        <f>_xlfn.AGGREGATE(4,7,A$17:A66)+1</f>
        <v>50</v>
      </c>
      <c r="B67" s="1133" t="s">
        <v>1465</v>
      </c>
      <c r="C67" s="1153" t="s">
        <v>1661</v>
      </c>
      <c r="D67" s="1168">
        <v>1603205182394</v>
      </c>
      <c r="E67" s="1058" t="str">
        <f>VLOOKUP(B67,TH.T6!B72:J402,9,FALSE)</f>
        <v>Nhân viên phòng TS - Đào tạo</v>
      </c>
      <c r="F67" s="1136">
        <v>3.99</v>
      </c>
      <c r="G67" s="1137"/>
      <c r="H67" s="1392">
        <f t="shared" si="2"/>
        <v>0</v>
      </c>
      <c r="I67" s="1138"/>
      <c r="J67" s="1136">
        <v>3.99</v>
      </c>
      <c r="K67" s="1137"/>
      <c r="L67" s="1392">
        <f t="shared" si="3"/>
        <v>0</v>
      </c>
      <c r="M67" s="1138"/>
      <c r="N67" s="1136">
        <v>3.99</v>
      </c>
      <c r="O67" s="1137"/>
      <c r="P67" s="1393">
        <f t="shared" si="4"/>
        <v>0</v>
      </c>
      <c r="Q67" s="1138"/>
      <c r="R67" s="1138" t="str">
        <f>IFERROR(INDEX('[18]Gui chi Quynh'!$E$11:$E$397,MATCH(B67,'[18]Gui chi Quynh'!$B$11:$B$397,0)),"")</f>
        <v>A2</v>
      </c>
      <c r="S67" s="1138">
        <f t="shared" si="5"/>
        <v>0.7</v>
      </c>
      <c r="T67" s="1138" t="str">
        <f>VLOOKUP(B67,'[19]Gui chi Quynh'!$B$11:$E$397,4,FALSE)</f>
        <v>A2</v>
      </c>
      <c r="U67" s="1138">
        <f t="shared" si="6"/>
        <v>0.7</v>
      </c>
      <c r="V67" s="1138" t="str">
        <f>VLOOKUP(B67,'[20]Gui chi Quynh'!$B$11:$E$396,4,FALSE)</f>
        <v>A2</v>
      </c>
      <c r="W67" s="1138">
        <f t="shared" si="7"/>
        <v>0.7</v>
      </c>
      <c r="X67" s="1138">
        <f>IFERROR(INDEX('[21]CN BC'!$J$10:$J$275,MATCH(B67,'[21]CN BC'!$H$10:$H$275,0)),"")</f>
        <v>23</v>
      </c>
      <c r="Y67" s="1138">
        <f>IFERROR(INDEX('[22]CN BC'!$J$10:$J$274,MATCH(B67,'[22]CN BC'!$H$10:$H$274,0)),"")</f>
        <v>23.5</v>
      </c>
      <c r="Z67" s="1138">
        <f>VLOOKUP(B67,'[23]CN BC'!$H$10:$J$275,3,FALSE)</f>
        <v>19.5</v>
      </c>
      <c r="AA67" s="1139">
        <f t="shared" si="8"/>
        <v>23</v>
      </c>
      <c r="AB67" s="1139">
        <f t="shared" si="9"/>
        <v>22</v>
      </c>
      <c r="AC67" s="1139">
        <f t="shared" si="10"/>
        <v>19</v>
      </c>
      <c r="AD67" s="1140"/>
      <c r="AE67" s="1141">
        <f t="shared" si="0"/>
        <v>19606860</v>
      </c>
      <c r="AF67" s="1519">
        <f t="shared" si="11"/>
        <v>8.3789999999999996</v>
      </c>
      <c r="AG67" s="1224">
        <v>2340000</v>
      </c>
      <c r="AH67" s="1521">
        <f t="shared" si="12"/>
        <v>19606860</v>
      </c>
      <c r="AI67" s="1142">
        <f t="shared" si="1"/>
        <v>50</v>
      </c>
      <c r="AJ67" s="1143">
        <f>IFERROR(INDEX('[17]CN BC'!$M$10:$M$276,MATCH(B67,'[17]CN BC'!$H$10:$H$276,0)),"")</f>
        <v>0</v>
      </c>
      <c r="AK67" s="1144" t="str">
        <f>VLOOKUP(B67,TH.T4!B70:AC400,28,FALSE)</f>
        <v>TSĐT</v>
      </c>
      <c r="AL67" s="1130"/>
      <c r="AM67" s="1146"/>
      <c r="AN67" s="1147"/>
      <c r="AO67" s="1146"/>
      <c r="AP67" s="1146"/>
      <c r="AQ67" s="1146"/>
      <c r="AR67" s="1146"/>
      <c r="AS67" s="1146"/>
      <c r="AT67" s="1146"/>
    </row>
    <row r="68" spans="1:50" s="1148" customFormat="1" ht="32.25" customHeight="1">
      <c r="A68" s="1132">
        <f>_xlfn.AGGREGATE(4,7,A$17:A67)+1</f>
        <v>51</v>
      </c>
      <c r="B68" s="1133" t="s">
        <v>844</v>
      </c>
      <c r="C68" s="1153" t="s">
        <v>1662</v>
      </c>
      <c r="D68" s="1168" t="s">
        <v>369</v>
      </c>
      <c r="E68" s="1058" t="str">
        <f>VLOOKUP(B68,TH.T6!B73:J403,9,FALSE)</f>
        <v>Nhân viên phòng TS - Đào tạo</v>
      </c>
      <c r="F68" s="1136">
        <v>3.66</v>
      </c>
      <c r="G68" s="1137"/>
      <c r="H68" s="1392">
        <f t="shared" si="2"/>
        <v>0</v>
      </c>
      <c r="I68" s="1138"/>
      <c r="J68" s="1136">
        <v>3.66</v>
      </c>
      <c r="K68" s="1137"/>
      <c r="L68" s="1392">
        <f t="shared" si="3"/>
        <v>0</v>
      </c>
      <c r="M68" s="1138"/>
      <c r="N68" s="1136">
        <v>3.66</v>
      </c>
      <c r="O68" s="1137"/>
      <c r="P68" s="1393">
        <f t="shared" si="4"/>
        <v>0</v>
      </c>
      <c r="Q68" s="1138"/>
      <c r="R68" s="1138" t="str">
        <f>IFERROR(INDEX('[18]Gui chi Quynh'!$E$11:$E$397,MATCH(B68,'[18]Gui chi Quynh'!$B$11:$B$397,0)),"")</f>
        <v>A3</v>
      </c>
      <c r="S68" s="1138">
        <f t="shared" si="5"/>
        <v>0.6</v>
      </c>
      <c r="T68" s="1138" t="str">
        <f>VLOOKUP(B68,'[19]Gui chi Quynh'!$B$11:$E$397,4,FALSE)</f>
        <v>A2</v>
      </c>
      <c r="U68" s="1138">
        <f t="shared" si="6"/>
        <v>0.7</v>
      </c>
      <c r="V68" s="1138" t="str">
        <f>VLOOKUP(B68,'[20]Gui chi Quynh'!$B$11:$E$396,4,FALSE)</f>
        <v>A3</v>
      </c>
      <c r="W68" s="1138">
        <f t="shared" si="7"/>
        <v>0.6</v>
      </c>
      <c r="X68" s="1138">
        <f>IFERROR(INDEX('[21]CN BC'!$J$10:$J$275,MATCH(B68,'[21]CN BC'!$H$10:$H$275,0)),"")</f>
        <v>24.5</v>
      </c>
      <c r="Y68" s="1138">
        <f>IFERROR(INDEX('[22]CN BC'!$J$10:$J$274,MATCH(B68,'[22]CN BC'!$H$10:$H$274,0)),"")</f>
        <v>23</v>
      </c>
      <c r="Z68" s="1138">
        <f>VLOOKUP(B68,'[23]CN BC'!$H$10:$J$275,3,FALSE)</f>
        <v>19.5</v>
      </c>
      <c r="AA68" s="1139">
        <f t="shared" si="8"/>
        <v>23</v>
      </c>
      <c r="AB68" s="1139">
        <f t="shared" si="9"/>
        <v>22</v>
      </c>
      <c r="AC68" s="1139">
        <f t="shared" si="10"/>
        <v>19</v>
      </c>
      <c r="AD68" s="1140"/>
      <c r="AE68" s="1141">
        <f t="shared" si="0"/>
        <v>16272360</v>
      </c>
      <c r="AF68" s="1519">
        <f t="shared" si="11"/>
        <v>6.9539999999999997</v>
      </c>
      <c r="AG68" s="1224">
        <v>2340000</v>
      </c>
      <c r="AH68" s="1521">
        <f t="shared" si="12"/>
        <v>16272360</v>
      </c>
      <c r="AI68" s="1142">
        <f t="shared" si="1"/>
        <v>51</v>
      </c>
      <c r="AJ68" s="1143">
        <f>IFERROR(INDEX('[17]CN BC'!$M$10:$M$276,MATCH(B68,'[17]CN BC'!$H$10:$H$276,0)),"")</f>
        <v>0</v>
      </c>
      <c r="AK68" s="1144" t="str">
        <f>VLOOKUP(B68,TH.T4!B71:AC401,28,FALSE)</f>
        <v>TSĐT</v>
      </c>
      <c r="AL68" s="1130"/>
      <c r="AM68" s="1146"/>
      <c r="AN68" s="1147"/>
      <c r="AO68" s="1146"/>
      <c r="AP68" s="1146"/>
      <c r="AQ68" s="1146"/>
      <c r="AR68" s="1146"/>
      <c r="AS68" s="1146"/>
      <c r="AT68" s="1146"/>
    </row>
    <row r="69" spans="1:50" s="1148" customFormat="1" ht="32.25" customHeight="1">
      <c r="A69" s="1132">
        <f>_xlfn.AGGREGATE(4,7,A$17:A68)+1</f>
        <v>52</v>
      </c>
      <c r="B69" s="1183" t="s">
        <v>1557</v>
      </c>
      <c r="C69" s="1153" t="s">
        <v>1664</v>
      </c>
      <c r="D69" s="1179">
        <v>1603205182762</v>
      </c>
      <c r="E69" s="1058" t="str">
        <f>VLOOKUP(B69,TH.T6!B74:J404,9,FALSE)</f>
        <v>Nhân viên phòng TS - Đào tạo</v>
      </c>
      <c r="F69" s="1160">
        <v>3.96</v>
      </c>
      <c r="G69" s="1184"/>
      <c r="H69" s="1392">
        <f t="shared" si="2"/>
        <v>0</v>
      </c>
      <c r="I69" s="1136"/>
      <c r="J69" s="1160">
        <v>3.96</v>
      </c>
      <c r="K69" s="1184"/>
      <c r="L69" s="1392">
        <f t="shared" si="3"/>
        <v>0</v>
      </c>
      <c r="M69" s="1136"/>
      <c r="N69" s="1160">
        <v>3.96</v>
      </c>
      <c r="O69" s="1184"/>
      <c r="P69" s="1393">
        <f t="shared" si="4"/>
        <v>0</v>
      </c>
      <c r="Q69" s="1136"/>
      <c r="R69" s="1138" t="str">
        <f>IFERROR(INDEX('[18]Gui chi Quynh'!$E$11:$E$397,MATCH(B69,'[18]Gui chi Quynh'!$B$11:$B$397,0)),"")</f>
        <v>A1</v>
      </c>
      <c r="S69" s="1138">
        <f t="shared" si="5"/>
        <v>0.8</v>
      </c>
      <c r="T69" s="1138" t="str">
        <f>VLOOKUP(B69,'[19]Gui chi Quynh'!$B$11:$E$397,4,FALSE)</f>
        <v>A1</v>
      </c>
      <c r="U69" s="1138">
        <f t="shared" si="6"/>
        <v>0.8</v>
      </c>
      <c r="V69" s="1138" t="str">
        <f>VLOOKUP(B69,'[20]Gui chi Quynh'!$B$11:$E$396,4,FALSE)</f>
        <v>A1</v>
      </c>
      <c r="W69" s="1138">
        <f t="shared" si="7"/>
        <v>0.8</v>
      </c>
      <c r="X69" s="1138">
        <f>IFERROR(INDEX('[21]CN BC'!$J$10:$J$275,MATCH(B69,'[21]CN BC'!$H$10:$H$275,0)),"")</f>
        <v>25</v>
      </c>
      <c r="Y69" s="1138">
        <f>IFERROR(INDEX('[22]CN BC'!$J$10:$J$274,MATCH(B69,'[22]CN BC'!$H$10:$H$274,0)),"")</f>
        <v>24</v>
      </c>
      <c r="Z69" s="1138">
        <f>VLOOKUP(B69,'[23]CN BC'!$H$10:$J$275,3,FALSE)</f>
        <v>22</v>
      </c>
      <c r="AA69" s="1139">
        <f t="shared" si="8"/>
        <v>23</v>
      </c>
      <c r="AB69" s="1139">
        <f t="shared" si="9"/>
        <v>22</v>
      </c>
      <c r="AC69" s="1139">
        <f t="shared" si="10"/>
        <v>19</v>
      </c>
      <c r="AD69" s="1140"/>
      <c r="AE69" s="1141">
        <f t="shared" si="0"/>
        <v>22239360</v>
      </c>
      <c r="AF69" s="1519">
        <f t="shared" si="11"/>
        <v>9.5039999999999996</v>
      </c>
      <c r="AG69" s="1224">
        <v>2340000</v>
      </c>
      <c r="AH69" s="1521">
        <f t="shared" si="12"/>
        <v>22239360</v>
      </c>
      <c r="AI69" s="1142">
        <f t="shared" si="1"/>
        <v>52</v>
      </c>
      <c r="AJ69" s="1143">
        <f>IFERROR(INDEX('[17]CN BC'!$M$10:$M$276,MATCH(B69,'[17]CN BC'!$H$10:$H$276,0)),"")</f>
        <v>0</v>
      </c>
      <c r="AK69" s="1144" t="str">
        <f>VLOOKUP(B69,TH.T4!B72:AC402,28,FALSE)</f>
        <v>TSĐT</v>
      </c>
      <c r="AL69" s="1130"/>
      <c r="AM69" s="1146"/>
      <c r="AN69" s="1147"/>
      <c r="AO69" s="1146"/>
      <c r="AP69" s="1146"/>
      <c r="AQ69" s="1146"/>
      <c r="AR69" s="1146"/>
      <c r="AS69" s="1146"/>
      <c r="AT69" s="1146"/>
    </row>
    <row r="70" spans="1:50" s="1148" customFormat="1" ht="32.25" customHeight="1">
      <c r="A70" s="1132">
        <f>_xlfn.AGGREGATE(4,7,A$17:A69)+1</f>
        <v>53</v>
      </c>
      <c r="B70" s="1133" t="s">
        <v>1524</v>
      </c>
      <c r="C70" s="1153" t="s">
        <v>1666</v>
      </c>
      <c r="D70" s="1168">
        <v>1603205182178</v>
      </c>
      <c r="E70" s="1058" t="str">
        <f>VLOOKUP(B70,TH.T6!B75:J405,9,FALSE)</f>
        <v>Nhân viên phòng TS - Đào tạo</v>
      </c>
      <c r="F70" s="1136">
        <v>3.66</v>
      </c>
      <c r="G70" s="1137"/>
      <c r="H70" s="1392">
        <f t="shared" si="2"/>
        <v>0</v>
      </c>
      <c r="I70" s="1138"/>
      <c r="J70" s="1136">
        <v>3.66</v>
      </c>
      <c r="K70" s="1137"/>
      <c r="L70" s="1392">
        <f t="shared" si="3"/>
        <v>0</v>
      </c>
      <c r="M70" s="1138"/>
      <c r="N70" s="1136">
        <v>3.66</v>
      </c>
      <c r="O70" s="1137"/>
      <c r="P70" s="1393">
        <f t="shared" si="4"/>
        <v>0</v>
      </c>
      <c r="Q70" s="1138"/>
      <c r="R70" s="1138" t="str">
        <f>IFERROR(INDEX('[18]Gui chi Quynh'!$E$11:$E$397,MATCH(B70,'[18]Gui chi Quynh'!$B$11:$B$397,0)),"")</f>
        <v>A3</v>
      </c>
      <c r="S70" s="1138">
        <f t="shared" si="5"/>
        <v>0.6</v>
      </c>
      <c r="T70" s="1138" t="str">
        <f>VLOOKUP(B70,'[19]Gui chi Quynh'!$B$11:$E$397,4,FALSE)</f>
        <v>A2</v>
      </c>
      <c r="U70" s="1138">
        <f t="shared" si="6"/>
        <v>0.7</v>
      </c>
      <c r="V70" s="1138" t="str">
        <f>VLOOKUP(B70,'[20]Gui chi Quynh'!$B$11:$E$396,4,FALSE)</f>
        <v>A2</v>
      </c>
      <c r="W70" s="1138">
        <f t="shared" si="7"/>
        <v>0.7</v>
      </c>
      <c r="X70" s="1138">
        <f>IFERROR(INDEX('[21]CN BC'!$J$10:$J$275,MATCH(B70,'[21]CN BC'!$H$10:$H$275,0)),"")</f>
        <v>21</v>
      </c>
      <c r="Y70" s="1138">
        <f>IFERROR(INDEX('[22]CN BC'!$J$10:$J$274,MATCH(B70,'[22]CN BC'!$H$10:$H$274,0)),"")</f>
        <v>23</v>
      </c>
      <c r="Z70" s="1138">
        <f>VLOOKUP(B70,'[23]CN BC'!$H$10:$J$275,3,FALSE)</f>
        <v>21.5</v>
      </c>
      <c r="AA70" s="1139">
        <f t="shared" si="8"/>
        <v>21</v>
      </c>
      <c r="AB70" s="1139">
        <f t="shared" si="9"/>
        <v>22</v>
      </c>
      <c r="AC70" s="1139">
        <f t="shared" si="10"/>
        <v>19</v>
      </c>
      <c r="AD70" s="1140"/>
      <c r="AE70" s="1141">
        <f t="shared" si="0"/>
        <v>16681962</v>
      </c>
      <c r="AF70" s="1519">
        <f t="shared" si="11"/>
        <v>7.1290435897435893</v>
      </c>
      <c r="AG70" s="1224">
        <v>2340000</v>
      </c>
      <c r="AH70" s="1521">
        <f t="shared" si="12"/>
        <v>16681961.999999998</v>
      </c>
      <c r="AI70" s="1142">
        <f t="shared" si="1"/>
        <v>53</v>
      </c>
      <c r="AJ70" s="1143">
        <f>IFERROR(INDEX('[17]CN BC'!$M$10:$M$276,MATCH(B70,'[17]CN BC'!$H$10:$H$276,0)),"")</f>
        <v>0</v>
      </c>
      <c r="AK70" s="1144" t="str">
        <f>VLOOKUP(B70,TH.T4!B73:AC403,28,FALSE)</f>
        <v>TSĐT</v>
      </c>
      <c r="AL70" s="1130"/>
      <c r="AM70" s="1146"/>
      <c r="AN70" s="1147"/>
    </row>
    <row r="71" spans="1:50" s="1148" customFormat="1" ht="32.25" customHeight="1">
      <c r="A71" s="1132">
        <f>_xlfn.AGGREGATE(4,7,A$17:A70)+1</f>
        <v>54</v>
      </c>
      <c r="B71" s="1372" t="s">
        <v>1860</v>
      </c>
      <c r="C71" s="1373" t="s">
        <v>1667</v>
      </c>
      <c r="D71" s="1370">
        <v>1603205351697</v>
      </c>
      <c r="E71" s="579" t="str">
        <f>VLOOKUP(B71,TH.T6!B76:J406,9,FALSE)</f>
        <v>Nhân viên phòng TS - Đào tạo</v>
      </c>
      <c r="F71" s="1358">
        <v>3.33</v>
      </c>
      <c r="G71" s="1218"/>
      <c r="H71" s="1394">
        <f t="shared" si="2"/>
        <v>0</v>
      </c>
      <c r="I71" s="1219"/>
      <c r="J71" s="1358">
        <v>3.33</v>
      </c>
      <c r="K71" s="1218"/>
      <c r="L71" s="1394">
        <f t="shared" si="3"/>
        <v>0</v>
      </c>
      <c r="M71" s="1219"/>
      <c r="N71" s="1358">
        <v>3.66</v>
      </c>
      <c r="O71" s="1218"/>
      <c r="P71" s="1395">
        <f t="shared" si="4"/>
        <v>0</v>
      </c>
      <c r="Q71" s="1219"/>
      <c r="R71" s="1219" t="str">
        <f>IFERROR(INDEX('[18]Gui chi Quynh'!$E$11:$E$397,MATCH(B71,'[18]Gui chi Quynh'!$B$11:$B$397,0)),"")</f>
        <v>A2</v>
      </c>
      <c r="S71" s="1219">
        <f t="shared" si="5"/>
        <v>0.7</v>
      </c>
      <c r="T71" s="1219" t="str">
        <f>VLOOKUP(B71,'[19]Gui chi Quynh'!$B$11:$E$397,4,FALSE)</f>
        <v>A1</v>
      </c>
      <c r="U71" s="1219">
        <f t="shared" si="6"/>
        <v>0.8</v>
      </c>
      <c r="V71" s="1219" t="str">
        <f>VLOOKUP(B71,'[20]Gui chi Quynh'!$B$11:$E$396,4,FALSE)</f>
        <v>A2</v>
      </c>
      <c r="W71" s="1219">
        <f t="shared" si="7"/>
        <v>0.7</v>
      </c>
      <c r="X71" s="1219">
        <f>IFERROR(INDEX('[21]CN BC'!$J$10:$J$275,MATCH(B71,'[21]CN BC'!$H$10:$H$275,0)),"")</f>
        <v>24</v>
      </c>
      <c r="Y71" s="1219">
        <f>IFERROR(INDEX('[22]CN BC'!$J$10:$J$274,MATCH(B71,'[22]CN BC'!$H$10:$H$274,0)),"")</f>
        <v>22.5</v>
      </c>
      <c r="Z71" s="1219">
        <f>VLOOKUP(B71,'[23]CN BC'!$H$10:$J$275,3,FALSE)</f>
        <v>19.5</v>
      </c>
      <c r="AA71" s="1348">
        <f t="shared" si="8"/>
        <v>23</v>
      </c>
      <c r="AB71" s="1348">
        <f t="shared" si="9"/>
        <v>22</v>
      </c>
      <c r="AC71" s="1348">
        <f t="shared" si="10"/>
        <v>19</v>
      </c>
      <c r="AD71" s="1220"/>
      <c r="AE71" s="1349">
        <f t="shared" si="0"/>
        <v>17683380</v>
      </c>
      <c r="AF71" s="1548">
        <f t="shared" si="11"/>
        <v>7.5570000000000004</v>
      </c>
      <c r="AG71" s="1359">
        <v>2340000</v>
      </c>
      <c r="AH71" s="1549">
        <f t="shared" si="12"/>
        <v>17683380</v>
      </c>
      <c r="AI71" s="1221">
        <f t="shared" si="1"/>
        <v>54</v>
      </c>
      <c r="AJ71" s="1350" t="s">
        <v>2363</v>
      </c>
      <c r="AK71" s="1144" t="str">
        <f>VLOOKUP(B71,TH.T4!B74:AC404,28,FALSE)</f>
        <v>TSĐT</v>
      </c>
      <c r="AL71" s="1167"/>
      <c r="AM71" s="1146"/>
      <c r="AN71" s="1147"/>
      <c r="AO71" s="1146"/>
      <c r="AP71" s="1146"/>
      <c r="AQ71" s="1146"/>
      <c r="AR71" s="1146"/>
      <c r="AS71" s="1146"/>
      <c r="AT71" s="1146"/>
    </row>
    <row r="72" spans="1:50" s="1148" customFormat="1" ht="32.25" customHeight="1">
      <c r="A72" s="1132">
        <f>_xlfn.AGGREGATE(4,7,A$17:A71)+1</f>
        <v>55</v>
      </c>
      <c r="B72" s="1133" t="s">
        <v>1484</v>
      </c>
      <c r="C72" s="1153" t="s">
        <v>1649</v>
      </c>
      <c r="D72" s="1166">
        <v>1603205357194</v>
      </c>
      <c r="E72" s="1058" t="str">
        <f>VLOOKUP(B72,TH.T6!B77:J407,9,FALSE)</f>
        <v>Nhân viên phòng Tuyển sinh - Đào tạo</v>
      </c>
      <c r="F72" s="1186">
        <v>3.33</v>
      </c>
      <c r="G72" s="1137"/>
      <c r="H72" s="1392">
        <f t="shared" si="2"/>
        <v>0</v>
      </c>
      <c r="I72" s="1138"/>
      <c r="J72" s="1186">
        <v>3.33</v>
      </c>
      <c r="K72" s="1137"/>
      <c r="L72" s="1392">
        <f t="shared" si="3"/>
        <v>0</v>
      </c>
      <c r="M72" s="1138"/>
      <c r="N72" s="1186">
        <v>3.33</v>
      </c>
      <c r="O72" s="1137"/>
      <c r="P72" s="1393">
        <f t="shared" si="4"/>
        <v>0</v>
      </c>
      <c r="Q72" s="1138"/>
      <c r="R72" s="1138" t="str">
        <f>IFERROR(INDEX('[18]Gui chi Quynh'!$E$11:$E$397,MATCH(B72,'[18]Gui chi Quynh'!$B$11:$B$397,0)),"")</f>
        <v>A3</v>
      </c>
      <c r="S72" s="1138">
        <f t="shared" si="5"/>
        <v>0.6</v>
      </c>
      <c r="T72" s="1138" t="str">
        <f>VLOOKUP(B72,'[19]Gui chi Quynh'!$B$11:$E$397,4,FALSE)</f>
        <v>A1</v>
      </c>
      <c r="U72" s="1138">
        <f t="shared" si="6"/>
        <v>0.8</v>
      </c>
      <c r="V72" s="1138" t="str">
        <f>VLOOKUP(B72,'[20]Gui chi Quynh'!$B$11:$E$396,4,FALSE)</f>
        <v>A2</v>
      </c>
      <c r="W72" s="1138">
        <f t="shared" si="7"/>
        <v>0.7</v>
      </c>
      <c r="X72" s="1138">
        <f>IFERROR(INDEX('[21]CN BC'!$J$10:$J$275,MATCH(B72,'[21]CN BC'!$H$10:$H$275,0)),"")</f>
        <v>23</v>
      </c>
      <c r="Y72" s="1138">
        <f>IFERROR(INDEX('[22]CN BC'!$J$10:$J$274,MATCH(B72,'[22]CN BC'!$H$10:$H$274,0)),"")</f>
        <v>24</v>
      </c>
      <c r="Z72" s="1138">
        <f>VLOOKUP(B72,'[23]CN BC'!$H$10:$J$275,3,FALSE)</f>
        <v>21</v>
      </c>
      <c r="AA72" s="1139">
        <f t="shared" si="8"/>
        <v>23</v>
      </c>
      <c r="AB72" s="1139">
        <f t="shared" si="9"/>
        <v>22</v>
      </c>
      <c r="AC72" s="1139">
        <f t="shared" si="10"/>
        <v>19</v>
      </c>
      <c r="AD72" s="1140"/>
      <c r="AE72" s="1141">
        <f t="shared" si="0"/>
        <v>16363620</v>
      </c>
      <c r="AF72" s="1519">
        <f t="shared" si="11"/>
        <v>6.9930000000000003</v>
      </c>
      <c r="AG72" s="1224">
        <v>2340000</v>
      </c>
      <c r="AH72" s="1521">
        <f t="shared" si="12"/>
        <v>16363620</v>
      </c>
      <c r="AI72" s="1142">
        <f t="shared" si="1"/>
        <v>55</v>
      </c>
      <c r="AJ72" s="1143">
        <f>IFERROR(INDEX('[17]CN BC'!$M$10:$M$276,MATCH(B72,'[17]CN BC'!$H$10:$H$276,0)),"")</f>
        <v>0</v>
      </c>
      <c r="AK72" s="1144" t="str">
        <f>VLOOKUP(B72,TH.T4!B75:AC405,28,FALSE)</f>
        <v>KTĐBCL</v>
      </c>
      <c r="AL72" s="1130"/>
      <c r="AM72" s="1146"/>
      <c r="AN72" s="1147"/>
    </row>
    <row r="73" spans="1:50" s="1146" customFormat="1" ht="32.25" customHeight="1">
      <c r="A73" s="1132">
        <f>_xlfn.AGGREGATE(4,7,A$17:A72)+1</f>
        <v>56</v>
      </c>
      <c r="B73" s="1172" t="s">
        <v>1861</v>
      </c>
      <c r="C73" s="1149" t="s">
        <v>1668</v>
      </c>
      <c r="D73" s="1173" t="s">
        <v>1361</v>
      </c>
      <c r="E73" s="1058" t="str">
        <f>VLOOKUP(B73,TH.T6!B78:J408,9,FALSE)</f>
        <v>Trưởng phòng Khảo thí và ĐBCL</v>
      </c>
      <c r="F73" s="1174">
        <v>4.6500000000000004</v>
      </c>
      <c r="G73" s="1175"/>
      <c r="H73" s="1392">
        <f t="shared" si="2"/>
        <v>0</v>
      </c>
      <c r="I73" s="1138">
        <v>0.45</v>
      </c>
      <c r="J73" s="1174">
        <v>4.6500000000000004</v>
      </c>
      <c r="K73" s="1175"/>
      <c r="L73" s="1392">
        <f t="shared" si="3"/>
        <v>0</v>
      </c>
      <c r="M73" s="1138">
        <v>0.45</v>
      </c>
      <c r="N73" s="1174">
        <v>4.6500000000000004</v>
      </c>
      <c r="O73" s="1175"/>
      <c r="P73" s="1393">
        <f t="shared" si="4"/>
        <v>0</v>
      </c>
      <c r="Q73" s="1138">
        <v>0.45</v>
      </c>
      <c r="R73" s="1138" t="str">
        <f>IFERROR(INDEX('[18]Gui chi Quynh'!$E$11:$E$397,MATCH(B73,'[18]Gui chi Quynh'!$B$11:$B$397,0)),"")</f>
        <v>A2</v>
      </c>
      <c r="S73" s="1138">
        <f t="shared" si="5"/>
        <v>0.7</v>
      </c>
      <c r="T73" s="1138" t="str">
        <f>VLOOKUP(B73,'[19]Gui chi Quynh'!$B$11:$E$397,4,FALSE)</f>
        <v>A4</v>
      </c>
      <c r="U73" s="1138">
        <f t="shared" si="6"/>
        <v>0.5</v>
      </c>
      <c r="V73" s="1138" t="str">
        <f>VLOOKUP(B73,'[20]Gui chi Quynh'!$B$11:$E$396,4,FALSE)</f>
        <v>A2</v>
      </c>
      <c r="W73" s="1138">
        <f t="shared" si="7"/>
        <v>0.7</v>
      </c>
      <c r="X73" s="1138">
        <f>IFERROR(INDEX('[21]CN BC'!$J$10:$J$275,MATCH(B73,'[21]CN BC'!$H$10:$H$275,0)),"")</f>
        <v>27</v>
      </c>
      <c r="Y73" s="1138">
        <f>IFERROR(INDEX('[22]CN BC'!$J$10:$J$274,MATCH(B73,'[22]CN BC'!$H$10:$H$274,0)),"")</f>
        <v>20</v>
      </c>
      <c r="Z73" s="1138">
        <f>VLOOKUP(B73,'[23]CN BC'!$H$10:$J$275,3,FALSE)</f>
        <v>22</v>
      </c>
      <c r="AA73" s="1139">
        <f t="shared" si="8"/>
        <v>23</v>
      </c>
      <c r="AB73" s="1139">
        <f t="shared" si="9"/>
        <v>20</v>
      </c>
      <c r="AC73" s="1139">
        <f t="shared" si="10"/>
        <v>19</v>
      </c>
      <c r="AD73" s="1140"/>
      <c r="AE73" s="1141">
        <f t="shared" si="0"/>
        <v>22132145</v>
      </c>
      <c r="AF73" s="1519">
        <f t="shared" si="11"/>
        <v>9.4581816239316243</v>
      </c>
      <c r="AG73" s="1224">
        <v>2340000</v>
      </c>
      <c r="AH73" s="1521">
        <f t="shared" si="12"/>
        <v>22132145</v>
      </c>
      <c r="AI73" s="1142">
        <f t="shared" si="1"/>
        <v>56</v>
      </c>
      <c r="AJ73" s="1143">
        <f>IFERROR(INDEX('[17]CN BC'!$M$10:$M$276,MATCH(B73,'[17]CN BC'!$H$10:$H$276,0)),"")</f>
        <v>0</v>
      </c>
      <c r="AK73" s="1144" t="str">
        <f>VLOOKUP(B73,TH.T4!B76:AC406,28,FALSE)</f>
        <v>KTĐBCL</v>
      </c>
      <c r="AL73" s="1130"/>
      <c r="AN73" s="1147"/>
    </row>
    <row r="74" spans="1:50" s="1146" customFormat="1" ht="32.25" customHeight="1">
      <c r="A74" s="1132">
        <f>_xlfn.AGGREGATE(4,7,A$17:A73)+1</f>
        <v>57</v>
      </c>
      <c r="B74" s="1172" t="s">
        <v>1853</v>
      </c>
      <c r="C74" s="1149" t="s">
        <v>1639</v>
      </c>
      <c r="D74" s="1173" t="s">
        <v>1271</v>
      </c>
      <c r="E74" s="1058" t="str">
        <f>VLOOKUP(B74,TH.T6!B79:J409,9,FALSE)</f>
        <v>Phó TP. Kế hoạch - Tài chính</v>
      </c>
      <c r="F74" s="1136">
        <v>4.32</v>
      </c>
      <c r="G74" s="1175"/>
      <c r="H74" s="1392">
        <f t="shared" si="2"/>
        <v>0</v>
      </c>
      <c r="I74" s="1176">
        <v>0.35</v>
      </c>
      <c r="J74" s="1136">
        <v>4.32</v>
      </c>
      <c r="K74" s="1175"/>
      <c r="L74" s="1392">
        <f t="shared" si="3"/>
        <v>0</v>
      </c>
      <c r="M74" s="1176">
        <v>0.35</v>
      </c>
      <c r="N74" s="1136">
        <v>4.32</v>
      </c>
      <c r="O74" s="1175"/>
      <c r="P74" s="1393">
        <f t="shared" si="4"/>
        <v>0</v>
      </c>
      <c r="Q74" s="1176">
        <v>0.35</v>
      </c>
      <c r="R74" s="1138" t="str">
        <f>IFERROR(INDEX('[18]Gui chi Quynh'!$E$11:$E$397,MATCH(B74,'[18]Gui chi Quynh'!$B$11:$B$397,0)),"")</f>
        <v>A3</v>
      </c>
      <c r="S74" s="1138">
        <f t="shared" si="5"/>
        <v>0.6</v>
      </c>
      <c r="T74" s="1138" t="str">
        <f>VLOOKUP(B74,'[19]Gui chi Quynh'!$B$11:$E$397,4,FALSE)</f>
        <v>A2</v>
      </c>
      <c r="U74" s="1138">
        <f t="shared" si="6"/>
        <v>0.7</v>
      </c>
      <c r="V74" s="1138" t="str">
        <f>VLOOKUP(B74,'[20]Gui chi Quynh'!$B$11:$E$396,4,FALSE)</f>
        <v>A3</v>
      </c>
      <c r="W74" s="1138">
        <f t="shared" si="7"/>
        <v>0.6</v>
      </c>
      <c r="X74" s="1138">
        <f>IFERROR(INDEX('[21]CN BC'!$J$10:$J$275,MATCH(B74,'[21]CN BC'!$H$10:$H$275,0)),"")</f>
        <v>23</v>
      </c>
      <c r="Y74" s="1138">
        <f>IFERROR(INDEX('[22]CN BC'!$J$10:$J$274,MATCH(B74,'[22]CN BC'!$H$10:$H$274,0)),"")</f>
        <v>22</v>
      </c>
      <c r="Z74" s="1138">
        <f>VLOOKUP(B74,'[23]CN BC'!$H$10:$J$275,3,FALSE)</f>
        <v>21</v>
      </c>
      <c r="AA74" s="1139">
        <f t="shared" si="8"/>
        <v>23</v>
      </c>
      <c r="AB74" s="1139">
        <f t="shared" si="9"/>
        <v>22</v>
      </c>
      <c r="AC74" s="1139">
        <f t="shared" si="10"/>
        <v>19</v>
      </c>
      <c r="AD74" s="1140"/>
      <c r="AE74" s="1141">
        <f t="shared" si="0"/>
        <v>20762820</v>
      </c>
      <c r="AF74" s="1519">
        <f t="shared" si="11"/>
        <v>8.8729999999999993</v>
      </c>
      <c r="AG74" s="1224">
        <v>2340000</v>
      </c>
      <c r="AH74" s="1521">
        <f t="shared" si="12"/>
        <v>20762820</v>
      </c>
      <c r="AI74" s="1142">
        <f t="shared" si="1"/>
        <v>57</v>
      </c>
      <c r="AJ74" s="1143">
        <f>IFERROR(INDEX('[17]CN BC'!$M$10:$M$276,MATCH(B74,'[17]CN BC'!$H$10:$H$276,0)),"")</f>
        <v>0</v>
      </c>
      <c r="AK74" s="1144" t="str">
        <f>VLOOKUP(B74,TH.T4!B77:AC407,28,FALSE)</f>
        <v>KTĐBCL</v>
      </c>
      <c r="AL74" s="1129"/>
      <c r="AN74" s="1147"/>
    </row>
    <row r="75" spans="1:50" s="1148" customFormat="1" ht="32.25" customHeight="1">
      <c r="A75" s="1132">
        <f>_xlfn.AGGREGATE(4,7,A$17:A74)+1</f>
        <v>58</v>
      </c>
      <c r="B75" s="1133" t="s">
        <v>1862</v>
      </c>
      <c r="C75" s="1153" t="s">
        <v>1669</v>
      </c>
      <c r="D75" s="1154" t="s">
        <v>497</v>
      </c>
      <c r="E75" s="1058" t="str">
        <f>VLOOKUP(B75,TH.T6!B80:J410,9,FALSE)</f>
        <v>Nhân viên phòng Khảo thí và ĐBCL</v>
      </c>
      <c r="F75" s="1136">
        <v>4.9800000000000004</v>
      </c>
      <c r="G75" s="1170">
        <v>0.2</v>
      </c>
      <c r="H75" s="1392">
        <f t="shared" si="2"/>
        <v>0.996</v>
      </c>
      <c r="I75" s="1138"/>
      <c r="J75" s="1136">
        <v>4.9800000000000004</v>
      </c>
      <c r="K75" s="1170">
        <v>0.2</v>
      </c>
      <c r="L75" s="1392">
        <f t="shared" si="3"/>
        <v>0.996</v>
      </c>
      <c r="M75" s="1138"/>
      <c r="N75" s="1136">
        <v>4.9800000000000004</v>
      </c>
      <c r="O75" s="1170">
        <v>0.2</v>
      </c>
      <c r="P75" s="1393">
        <f t="shared" si="4"/>
        <v>0.996</v>
      </c>
      <c r="Q75" s="1138"/>
      <c r="R75" s="1138" t="str">
        <f>IFERROR(INDEX('[18]Gui chi Quynh'!$E$11:$E$397,MATCH(B75,'[18]Gui chi Quynh'!$B$11:$B$397,0)),"")</f>
        <v>A3</v>
      </c>
      <c r="S75" s="1138">
        <f t="shared" si="5"/>
        <v>0.6</v>
      </c>
      <c r="T75" s="1138" t="str">
        <f>VLOOKUP(B75,'[19]Gui chi Quynh'!$B$11:$E$397,4,FALSE)</f>
        <v>A3</v>
      </c>
      <c r="U75" s="1138">
        <f t="shared" si="6"/>
        <v>0.6</v>
      </c>
      <c r="V75" s="1138" t="str">
        <f>VLOOKUP(B75,'[20]Gui chi Quynh'!$B$11:$E$396,4,FALSE)</f>
        <v>A3</v>
      </c>
      <c r="W75" s="1138">
        <f t="shared" si="7"/>
        <v>0.6</v>
      </c>
      <c r="X75" s="1138">
        <f>IFERROR(INDEX('[21]CN BC'!$J$10:$J$275,MATCH(B75,'[21]CN BC'!$H$10:$H$275,0)),"")</f>
        <v>23</v>
      </c>
      <c r="Y75" s="1138">
        <f>IFERROR(INDEX('[22]CN BC'!$J$10:$J$274,MATCH(B75,'[22]CN BC'!$H$10:$H$274,0)),"")</f>
        <v>23</v>
      </c>
      <c r="Z75" s="1138">
        <f>VLOOKUP(B75,'[23]CN BC'!$H$10:$J$275,3,FALSE)</f>
        <v>18</v>
      </c>
      <c r="AA75" s="1139">
        <f t="shared" si="8"/>
        <v>23</v>
      </c>
      <c r="AB75" s="1139">
        <f t="shared" si="9"/>
        <v>22</v>
      </c>
      <c r="AC75" s="1139">
        <f t="shared" si="10"/>
        <v>18</v>
      </c>
      <c r="AD75" s="1140"/>
      <c r="AE75" s="1141">
        <f t="shared" si="0"/>
        <v>24729317</v>
      </c>
      <c r="AF75" s="1519">
        <f t="shared" si="11"/>
        <v>10.568084188034188</v>
      </c>
      <c r="AG75" s="1224">
        <v>2340000</v>
      </c>
      <c r="AH75" s="1521">
        <f t="shared" si="12"/>
        <v>24729317</v>
      </c>
      <c r="AI75" s="1142">
        <f t="shared" si="1"/>
        <v>58</v>
      </c>
      <c r="AJ75" s="1143">
        <f>IFERROR(INDEX('[17]CN BC'!$M$10:$M$276,MATCH(B75,'[17]CN BC'!$H$10:$H$276,0)),"")</f>
        <v>0</v>
      </c>
      <c r="AK75" s="1144" t="str">
        <f>VLOOKUP(B75,TH.T4!B78:AC408,28,FALSE)</f>
        <v>KTĐBCL</v>
      </c>
      <c r="AL75" s="1171"/>
      <c r="AN75" s="1158"/>
    </row>
    <row r="76" spans="1:50" s="1148" customFormat="1" ht="32.25" customHeight="1">
      <c r="A76" s="1132">
        <f>_xlfn.AGGREGATE(4,7,A$17:A75)+1</f>
        <v>59</v>
      </c>
      <c r="B76" s="1133" t="s">
        <v>842</v>
      </c>
      <c r="C76" s="1153" t="s">
        <v>1671</v>
      </c>
      <c r="D76" s="1154" t="s">
        <v>396</v>
      </c>
      <c r="E76" s="1058" t="str">
        <f>VLOOKUP(B76,TH.T6!B81:J411,9,FALSE)</f>
        <v>Nhân viên phòng Khảo thí và ĐBCL</v>
      </c>
      <c r="F76" s="1136">
        <v>3.66</v>
      </c>
      <c r="G76" s="1137"/>
      <c r="H76" s="1392">
        <f t="shared" si="2"/>
        <v>0</v>
      </c>
      <c r="I76" s="1138"/>
      <c r="J76" s="1136">
        <v>3.66</v>
      </c>
      <c r="K76" s="1137"/>
      <c r="L76" s="1392">
        <f t="shared" si="3"/>
        <v>0</v>
      </c>
      <c r="M76" s="1138"/>
      <c r="N76" s="1136">
        <v>3.66</v>
      </c>
      <c r="O76" s="1137"/>
      <c r="P76" s="1393">
        <f t="shared" si="4"/>
        <v>0</v>
      </c>
      <c r="Q76" s="1138"/>
      <c r="R76" s="1138" t="str">
        <f>IFERROR(INDEX('[18]Gui chi Quynh'!$E$11:$E$397,MATCH(B76,'[18]Gui chi Quynh'!$B$11:$B$397,0)),"")</f>
        <v>A3</v>
      </c>
      <c r="S76" s="1138">
        <f t="shared" si="5"/>
        <v>0.6</v>
      </c>
      <c r="T76" s="1138" t="str">
        <f>VLOOKUP(B76,'[19]Gui chi Quynh'!$B$11:$E$397,4,FALSE)</f>
        <v>A1</v>
      </c>
      <c r="U76" s="1138">
        <f t="shared" si="6"/>
        <v>0.8</v>
      </c>
      <c r="V76" s="1138" t="str">
        <f>VLOOKUP(B76,'[20]Gui chi Quynh'!$B$11:$E$396,4,FALSE)</f>
        <v>A3</v>
      </c>
      <c r="W76" s="1138">
        <f t="shared" si="7"/>
        <v>0.6</v>
      </c>
      <c r="X76" s="1138">
        <f>IFERROR(INDEX('[21]CN BC'!$J$10:$J$275,MATCH(B76,'[21]CN BC'!$H$10:$H$275,0)),"")</f>
        <v>23</v>
      </c>
      <c r="Y76" s="1138">
        <f>IFERROR(INDEX('[22]CN BC'!$J$10:$J$274,MATCH(B76,'[22]CN BC'!$H$10:$H$274,0)),"")</f>
        <v>22</v>
      </c>
      <c r="Z76" s="1138">
        <f>VLOOKUP(B76,'[23]CN BC'!$H$10:$J$275,3,FALSE)</f>
        <v>20</v>
      </c>
      <c r="AA76" s="1139">
        <f t="shared" si="8"/>
        <v>23</v>
      </c>
      <c r="AB76" s="1139">
        <f t="shared" si="9"/>
        <v>22</v>
      </c>
      <c r="AC76" s="1139">
        <f t="shared" si="10"/>
        <v>19</v>
      </c>
      <c r="AD76" s="1140"/>
      <c r="AE76" s="1141">
        <f t="shared" si="0"/>
        <v>17128800</v>
      </c>
      <c r="AF76" s="1519">
        <f t="shared" si="11"/>
        <v>7.32</v>
      </c>
      <c r="AG76" s="1224">
        <v>2340000</v>
      </c>
      <c r="AH76" s="1521">
        <f t="shared" si="12"/>
        <v>17128800</v>
      </c>
      <c r="AI76" s="1142">
        <f t="shared" si="1"/>
        <v>59</v>
      </c>
      <c r="AJ76" s="1143">
        <f>IFERROR(INDEX('[17]CN BC'!$M$10:$M$276,MATCH(B76,'[17]CN BC'!$H$10:$H$276,0)),"")</f>
        <v>0</v>
      </c>
      <c r="AK76" s="1144" t="str">
        <f>VLOOKUP(B76,TH.T4!B79:AC409,28,FALSE)</f>
        <v>KTĐBCL</v>
      </c>
      <c r="AL76" s="1130"/>
      <c r="AM76" s="1146"/>
      <c r="AN76" s="1147"/>
      <c r="AO76" s="1146"/>
      <c r="AP76" s="1146"/>
      <c r="AQ76" s="1146"/>
      <c r="AR76" s="1146"/>
      <c r="AS76" s="1146"/>
      <c r="AT76" s="1146"/>
    </row>
    <row r="77" spans="1:50" s="1148" customFormat="1" ht="32.25" customHeight="1">
      <c r="A77" s="1132">
        <f>_xlfn.AGGREGATE(4,7,A$17:A76)+1</f>
        <v>60</v>
      </c>
      <c r="B77" s="1133" t="s">
        <v>1551</v>
      </c>
      <c r="C77" s="1149" t="s">
        <v>1672</v>
      </c>
      <c r="D77" s="1179">
        <v>1603205182756</v>
      </c>
      <c r="E77" s="1058" t="str">
        <f>VLOOKUP(B77,TH.T6!B82:J412,9,FALSE)</f>
        <v>Nhân viên phòng Khảo thí và ĐBCL</v>
      </c>
      <c r="F77" s="1136">
        <v>3.66</v>
      </c>
      <c r="G77" s="1137"/>
      <c r="H77" s="1392">
        <f t="shared" si="2"/>
        <v>0</v>
      </c>
      <c r="I77" s="1138"/>
      <c r="J77" s="1136">
        <v>3.66</v>
      </c>
      <c r="K77" s="1137"/>
      <c r="L77" s="1392">
        <f t="shared" si="3"/>
        <v>0</v>
      </c>
      <c r="M77" s="1138"/>
      <c r="N77" s="1136">
        <v>3.66</v>
      </c>
      <c r="O77" s="1137"/>
      <c r="P77" s="1393">
        <f t="shared" si="4"/>
        <v>0</v>
      </c>
      <c r="Q77" s="1138"/>
      <c r="R77" s="1138" t="str">
        <f>IFERROR(INDEX('[18]Gui chi Quynh'!$E$11:$E$397,MATCH(B77,'[18]Gui chi Quynh'!$B$11:$B$397,0)),"")</f>
        <v>A3</v>
      </c>
      <c r="S77" s="1138">
        <f t="shared" si="5"/>
        <v>0.6</v>
      </c>
      <c r="T77" s="1138" t="str">
        <f>VLOOKUP(B77,'[19]Gui chi Quynh'!$B$11:$E$397,4,FALSE)</f>
        <v>A3</v>
      </c>
      <c r="U77" s="1138">
        <f t="shared" si="6"/>
        <v>0.6</v>
      </c>
      <c r="V77" s="1138" t="str">
        <f>VLOOKUP(B77,'[20]Gui chi Quynh'!$B$11:$E$396,4,FALSE)</f>
        <v>A2</v>
      </c>
      <c r="W77" s="1138">
        <f t="shared" si="7"/>
        <v>0.7</v>
      </c>
      <c r="X77" s="1138">
        <f>IFERROR(INDEX('[21]CN BC'!$J$10:$J$275,MATCH(B77,'[21]CN BC'!$H$10:$H$275,0)),"")</f>
        <v>22</v>
      </c>
      <c r="Y77" s="1138">
        <f>IFERROR(INDEX('[22]CN BC'!$J$10:$J$274,MATCH(B77,'[22]CN BC'!$H$10:$H$274,0)),"")</f>
        <v>21</v>
      </c>
      <c r="Z77" s="1138">
        <f>VLOOKUP(B77,'[23]CN BC'!$H$10:$J$275,3,FALSE)</f>
        <v>21</v>
      </c>
      <c r="AA77" s="1139">
        <f t="shared" si="8"/>
        <v>22</v>
      </c>
      <c r="AB77" s="1139">
        <f t="shared" si="9"/>
        <v>21</v>
      </c>
      <c r="AC77" s="1139">
        <f t="shared" si="10"/>
        <v>19</v>
      </c>
      <c r="AD77" s="1140"/>
      <c r="AE77" s="1141">
        <f t="shared" si="0"/>
        <v>15815366</v>
      </c>
      <c r="AF77" s="1519">
        <f t="shared" si="11"/>
        <v>6.7587034188034192</v>
      </c>
      <c r="AG77" s="1224">
        <v>2340000</v>
      </c>
      <c r="AH77" s="1521">
        <f t="shared" si="12"/>
        <v>15815366</v>
      </c>
      <c r="AI77" s="1142">
        <f t="shared" si="1"/>
        <v>60</v>
      </c>
      <c r="AJ77" s="1143">
        <f>IFERROR(INDEX('[17]CN BC'!$M$10:$M$276,MATCH(B77,'[17]CN BC'!$H$10:$H$276,0)),"")</f>
        <v>0</v>
      </c>
      <c r="AK77" s="1144" t="str">
        <f>VLOOKUP(B77,TH.T4!B80:AC410,28,FALSE)</f>
        <v>KTĐBCL</v>
      </c>
      <c r="AL77" s="1130"/>
      <c r="AM77" s="1364"/>
      <c r="AN77" s="1147"/>
      <c r="AO77" s="1146"/>
      <c r="AP77" s="1146"/>
      <c r="AQ77" s="1146"/>
      <c r="AR77" s="1146"/>
      <c r="AS77" s="1146"/>
      <c r="AT77" s="1146"/>
      <c r="AU77" s="1146"/>
      <c r="AV77" s="1146"/>
      <c r="AW77" s="1146"/>
      <c r="AX77" s="1146"/>
    </row>
    <row r="78" spans="1:50" s="1148" customFormat="1" ht="32.25" customHeight="1">
      <c r="A78" s="1132">
        <f>_xlfn.AGGREGATE(4,7,A$17:A77)+1</f>
        <v>61</v>
      </c>
      <c r="B78" s="1133" t="s">
        <v>1521</v>
      </c>
      <c r="C78" s="1149" t="s">
        <v>1673</v>
      </c>
      <c r="D78" s="1185">
        <v>1603205286752</v>
      </c>
      <c r="E78" s="1058" t="str">
        <f>VLOOKUP(B78,TH.T6!B83:J413,9,FALSE)</f>
        <v>Nhân viên phòng Khảo thí và ĐBCL</v>
      </c>
      <c r="F78" s="1160">
        <v>3.66</v>
      </c>
      <c r="G78" s="1137"/>
      <c r="H78" s="1392">
        <f t="shared" si="2"/>
        <v>0</v>
      </c>
      <c r="I78" s="1138"/>
      <c r="J78" s="1160">
        <v>3.66</v>
      </c>
      <c r="K78" s="1137"/>
      <c r="L78" s="1392">
        <f t="shared" si="3"/>
        <v>0</v>
      </c>
      <c r="M78" s="1138"/>
      <c r="N78" s="1160">
        <v>3.66</v>
      </c>
      <c r="O78" s="1137"/>
      <c r="P78" s="1393">
        <f t="shared" si="4"/>
        <v>0</v>
      </c>
      <c r="Q78" s="1138"/>
      <c r="R78" s="1138" t="str">
        <f>IFERROR(INDEX('[18]Gui chi Quynh'!$E$11:$E$397,MATCH(B78,'[18]Gui chi Quynh'!$B$11:$B$397,0)),"")</f>
        <v>A3</v>
      </c>
      <c r="S78" s="1138">
        <f t="shared" si="5"/>
        <v>0.6</v>
      </c>
      <c r="T78" s="1138" t="str">
        <f>VLOOKUP(B78,'[19]Gui chi Quynh'!$B$11:$E$397,4,FALSE)</f>
        <v>A3</v>
      </c>
      <c r="U78" s="1138">
        <f t="shared" si="6"/>
        <v>0.6</v>
      </c>
      <c r="V78" s="1138" t="str">
        <f>VLOOKUP(B78,'[20]Gui chi Quynh'!$B$11:$E$396,4,FALSE)</f>
        <v>A2</v>
      </c>
      <c r="W78" s="1138">
        <f t="shared" si="7"/>
        <v>0.7</v>
      </c>
      <c r="X78" s="1138">
        <f>IFERROR(INDEX('[21]CN BC'!$J$10:$J$275,MATCH(B78,'[21]CN BC'!$H$10:$H$275,0)),"")</f>
        <v>23</v>
      </c>
      <c r="Y78" s="1138">
        <f>IFERROR(INDEX('[22]CN BC'!$J$10:$J$274,MATCH(B78,'[22]CN BC'!$H$10:$H$274,0)),"")</f>
        <v>23</v>
      </c>
      <c r="Z78" s="1138">
        <f>VLOOKUP(B78,'[23]CN BC'!$H$10:$J$275,3,FALSE)</f>
        <v>21</v>
      </c>
      <c r="AA78" s="1139">
        <f t="shared" si="8"/>
        <v>23</v>
      </c>
      <c r="AB78" s="1139">
        <f t="shared" si="9"/>
        <v>22</v>
      </c>
      <c r="AC78" s="1139">
        <f t="shared" si="10"/>
        <v>19</v>
      </c>
      <c r="AD78" s="1140"/>
      <c r="AE78" s="1141">
        <f t="shared" si="0"/>
        <v>16272360</v>
      </c>
      <c r="AF78" s="1519">
        <f t="shared" si="11"/>
        <v>6.9539999999999997</v>
      </c>
      <c r="AG78" s="1224">
        <v>2340000</v>
      </c>
      <c r="AH78" s="1521">
        <f t="shared" si="12"/>
        <v>16272360</v>
      </c>
      <c r="AI78" s="1142">
        <f t="shared" si="1"/>
        <v>61</v>
      </c>
      <c r="AJ78" s="1143">
        <f>IFERROR(INDEX('[17]CN BC'!$M$10:$M$276,MATCH(B78,'[17]CN BC'!$H$10:$H$276,0)),"")</f>
        <v>0</v>
      </c>
      <c r="AK78" s="1144" t="str">
        <f>VLOOKUP(B78,TH.T4!B81:AC411,28,FALSE)</f>
        <v>KTĐBCL</v>
      </c>
      <c r="AL78" s="1130"/>
      <c r="AM78" s="1146"/>
      <c r="AN78" s="1187"/>
      <c r="AO78" s="1146"/>
      <c r="AP78" s="1146"/>
      <c r="AQ78" s="1146"/>
      <c r="AR78" s="1146"/>
      <c r="AS78" s="1146"/>
      <c r="AT78" s="1146"/>
      <c r="AU78" s="1146"/>
      <c r="AV78" s="1146"/>
      <c r="AW78" s="1146"/>
      <c r="AX78" s="1146"/>
    </row>
    <row r="79" spans="1:50" s="1148" customFormat="1" ht="32.25" customHeight="1">
      <c r="A79" s="1132">
        <f>_xlfn.AGGREGATE(4,7,A$17:A78)+1</f>
        <v>62</v>
      </c>
      <c r="B79" s="1133" t="s">
        <v>1841</v>
      </c>
      <c r="C79" s="1153" t="s">
        <v>1956</v>
      </c>
      <c r="D79" s="1188" t="s">
        <v>1931</v>
      </c>
      <c r="E79" s="1058" t="str">
        <f>VLOOKUP(B79,TH.T6!B84:J414,9,FALSE)</f>
        <v>Nhân viên phòng Khảo thí và ĐBCL</v>
      </c>
      <c r="F79" s="1160">
        <v>3</v>
      </c>
      <c r="G79" s="1137"/>
      <c r="H79" s="1392">
        <f t="shared" si="2"/>
        <v>0</v>
      </c>
      <c r="I79" s="1138">
        <v>0.35</v>
      </c>
      <c r="J79" s="1160">
        <v>3</v>
      </c>
      <c r="K79" s="1137"/>
      <c r="L79" s="1392">
        <f t="shared" si="3"/>
        <v>0</v>
      </c>
      <c r="M79" s="1138">
        <v>0.35</v>
      </c>
      <c r="N79" s="1160">
        <v>3</v>
      </c>
      <c r="O79" s="1137"/>
      <c r="P79" s="1393">
        <f t="shared" si="4"/>
        <v>0</v>
      </c>
      <c r="Q79" s="1138">
        <v>0.35</v>
      </c>
      <c r="R79" s="1138" t="str">
        <f>IFERROR(INDEX('[18]Gui chi Quynh'!$E$11:$E$397,MATCH(B79,'[18]Gui chi Quynh'!$B$11:$B$397,0)),"")</f>
        <v>A1</v>
      </c>
      <c r="S79" s="1138">
        <f t="shared" si="5"/>
        <v>0.8</v>
      </c>
      <c r="T79" s="1138" t="str">
        <f>VLOOKUP(B79,'[19]Gui chi Quynh'!$B$11:$E$397,4,FALSE)</f>
        <v>A1</v>
      </c>
      <c r="U79" s="1138">
        <f t="shared" si="6"/>
        <v>0.8</v>
      </c>
      <c r="V79" s="1138" t="str">
        <f>VLOOKUP(B79,'[20]Gui chi Quynh'!$B$11:$E$396,4,FALSE)</f>
        <v>A1</v>
      </c>
      <c r="W79" s="1138">
        <f t="shared" si="7"/>
        <v>0.8</v>
      </c>
      <c r="X79" s="1138">
        <f>IFERROR(INDEX('[21]CN BC'!$J$10:$J$275,MATCH(B79,'[21]CN BC'!$H$10:$H$275,0)),"")</f>
        <v>24</v>
      </c>
      <c r="Y79" s="1138">
        <f>IFERROR(INDEX('[22]CN BC'!$J$10:$J$274,MATCH(B79,'[22]CN BC'!$H$10:$H$274,0)),"")</f>
        <v>26</v>
      </c>
      <c r="Z79" s="1138">
        <f>VLOOKUP(B79,'[23]CN BC'!$H$10:$J$275,3,FALSE)</f>
        <v>23</v>
      </c>
      <c r="AA79" s="1139">
        <f t="shared" si="8"/>
        <v>23</v>
      </c>
      <c r="AB79" s="1139">
        <f t="shared" si="9"/>
        <v>22</v>
      </c>
      <c r="AC79" s="1139">
        <f t="shared" si="10"/>
        <v>19</v>
      </c>
      <c r="AD79" s="1140"/>
      <c r="AE79" s="1141">
        <f t="shared" si="0"/>
        <v>18813600</v>
      </c>
      <c r="AF79" s="1519">
        <f t="shared" si="11"/>
        <v>8.0399999999999991</v>
      </c>
      <c r="AG79" s="1224">
        <v>2340000</v>
      </c>
      <c r="AH79" s="1521">
        <f t="shared" si="12"/>
        <v>18813599.999999996</v>
      </c>
      <c r="AI79" s="1142">
        <f t="shared" si="1"/>
        <v>62</v>
      </c>
      <c r="AJ79" s="1143"/>
      <c r="AK79" s="1144" t="str">
        <f>VLOOKUP(B79,TH.T4!B82:AC412,28,FALSE)</f>
        <v>TTĐHDL</v>
      </c>
      <c r="AL79" s="1130"/>
      <c r="AM79" s="1146"/>
      <c r="AN79" s="1147"/>
      <c r="AO79" s="1146"/>
      <c r="AP79" s="1146"/>
      <c r="AQ79" s="1146"/>
      <c r="AR79" s="1146"/>
      <c r="AS79" s="1146"/>
      <c r="AT79" s="1146"/>
    </row>
    <row r="80" spans="1:50" s="1146" customFormat="1" ht="32.25" customHeight="1">
      <c r="A80" s="1132">
        <f>_xlfn.AGGREGATE(4,7,A$17:A79)+1</f>
        <v>63</v>
      </c>
      <c r="B80" s="1172" t="s">
        <v>1863</v>
      </c>
      <c r="C80" s="1149" t="s">
        <v>1675</v>
      </c>
      <c r="D80" s="1173" t="s">
        <v>1357</v>
      </c>
      <c r="E80" s="1058" t="str">
        <f>VLOOKUP(B80,TH.T6!B85:J415,9,FALSE)</f>
        <v>Trưởng TT Điều hành và QLDL</v>
      </c>
      <c r="F80" s="1178">
        <v>3.66</v>
      </c>
      <c r="G80" s="1175"/>
      <c r="H80" s="1392">
        <f t="shared" si="2"/>
        <v>0</v>
      </c>
      <c r="I80" s="1176">
        <v>0.45</v>
      </c>
      <c r="J80" s="1178">
        <v>3.66</v>
      </c>
      <c r="K80" s="1175"/>
      <c r="L80" s="1392">
        <f t="shared" si="3"/>
        <v>0</v>
      </c>
      <c r="M80" s="1176">
        <v>0.45</v>
      </c>
      <c r="N80" s="1178">
        <v>3.66</v>
      </c>
      <c r="O80" s="1175"/>
      <c r="P80" s="1393">
        <f t="shared" si="4"/>
        <v>0</v>
      </c>
      <c r="Q80" s="1176">
        <v>0.45</v>
      </c>
      <c r="R80" s="1138" t="str">
        <f>IFERROR(INDEX('[18]Gui chi Quynh'!$E$11:$E$397,MATCH(B80,'[18]Gui chi Quynh'!$B$11:$B$397,0)),"")</f>
        <v>A1</v>
      </c>
      <c r="S80" s="1138">
        <f t="shared" si="5"/>
        <v>0.8</v>
      </c>
      <c r="T80" s="1138" t="str">
        <f>VLOOKUP(B80,'[19]Gui chi Quynh'!$B$11:$E$397,4,FALSE)</f>
        <v>A1</v>
      </c>
      <c r="U80" s="1138">
        <f t="shared" si="6"/>
        <v>0.8</v>
      </c>
      <c r="V80" s="1138" t="str">
        <f>VLOOKUP(B80,'[20]Gui chi Quynh'!$B$11:$E$396,4,FALSE)</f>
        <v>A1</v>
      </c>
      <c r="W80" s="1138">
        <f t="shared" si="7"/>
        <v>0.8</v>
      </c>
      <c r="X80" s="1138">
        <f>IFERROR(INDEX('[21]CN BC'!$J$10:$J$275,MATCH(B80,'[21]CN BC'!$H$10:$H$275,0)),"")</f>
        <v>27</v>
      </c>
      <c r="Y80" s="1138">
        <f>IFERROR(INDEX('[22]CN BC'!$J$10:$J$274,MATCH(B80,'[22]CN BC'!$H$10:$H$274,0)),"")</f>
        <v>25</v>
      </c>
      <c r="Z80" s="1138">
        <f>VLOOKUP(B80,'[23]CN BC'!$H$10:$J$275,3,FALSE)</f>
        <v>23</v>
      </c>
      <c r="AA80" s="1139">
        <f t="shared" si="8"/>
        <v>23</v>
      </c>
      <c r="AB80" s="1139">
        <f t="shared" si="9"/>
        <v>22</v>
      </c>
      <c r="AC80" s="1139">
        <f t="shared" si="10"/>
        <v>19</v>
      </c>
      <c r="AD80" s="1140"/>
      <c r="AE80" s="1141">
        <f t="shared" si="0"/>
        <v>23081760</v>
      </c>
      <c r="AF80" s="1519">
        <f t="shared" si="11"/>
        <v>9.8640000000000008</v>
      </c>
      <c r="AG80" s="1224">
        <v>2340000</v>
      </c>
      <c r="AH80" s="1521">
        <f t="shared" si="12"/>
        <v>23081760</v>
      </c>
      <c r="AI80" s="1142">
        <f t="shared" si="1"/>
        <v>63</v>
      </c>
      <c r="AJ80" s="1143"/>
      <c r="AK80" s="1144" t="str">
        <f>VLOOKUP(B80,TH.T4!B83:AC413,28,FALSE)</f>
        <v>TTĐHDL</v>
      </c>
      <c r="AL80" s="1130"/>
      <c r="AN80" s="1147"/>
    </row>
    <row r="81" spans="1:50" s="1148" customFormat="1" ht="32.25" customHeight="1">
      <c r="A81" s="1132">
        <f>_xlfn.AGGREGATE(4,7,A$17:A80)+1</f>
        <v>64</v>
      </c>
      <c r="B81" s="1133" t="s">
        <v>1470</v>
      </c>
      <c r="C81" s="1149" t="s">
        <v>1679</v>
      </c>
      <c r="D81" s="1166" t="s">
        <v>1438</v>
      </c>
      <c r="E81" s="1058" t="str">
        <f>VLOOKUP(B81,TH.T6!B86:J416,9,FALSE)</f>
        <v>NV Trung tâm ĐH và QLDL</v>
      </c>
      <c r="F81" s="1136">
        <v>3.66</v>
      </c>
      <c r="G81" s="1137"/>
      <c r="H81" s="1392">
        <f t="shared" si="2"/>
        <v>0</v>
      </c>
      <c r="I81" s="1138"/>
      <c r="J81" s="1136">
        <v>3.66</v>
      </c>
      <c r="K81" s="1137"/>
      <c r="L81" s="1392">
        <f t="shared" si="3"/>
        <v>0</v>
      </c>
      <c r="M81" s="1138"/>
      <c r="N81" s="1136">
        <v>3.66</v>
      </c>
      <c r="O81" s="1137"/>
      <c r="P81" s="1393">
        <f t="shared" si="4"/>
        <v>0</v>
      </c>
      <c r="Q81" s="1138"/>
      <c r="R81" s="1138" t="str">
        <f>IFERROR(INDEX('[18]Gui chi Quynh'!$E$11:$E$397,MATCH(B81,'[18]Gui chi Quynh'!$B$11:$B$397,0)),"")</f>
        <v>A1</v>
      </c>
      <c r="S81" s="1138">
        <f t="shared" si="5"/>
        <v>0.8</v>
      </c>
      <c r="T81" s="1138" t="str">
        <f>VLOOKUP(B81,'[19]Gui chi Quynh'!$B$11:$E$397,4,FALSE)</f>
        <v>A1</v>
      </c>
      <c r="U81" s="1138">
        <f t="shared" si="6"/>
        <v>0.8</v>
      </c>
      <c r="V81" s="1138" t="str">
        <f>VLOOKUP(B81,'[20]Gui chi Quynh'!$B$11:$E$396,4,FALSE)</f>
        <v>A2</v>
      </c>
      <c r="W81" s="1138">
        <f t="shared" si="7"/>
        <v>0.7</v>
      </c>
      <c r="X81" s="1138">
        <f>IFERROR(INDEX('[21]CN BC'!$J$10:$J$275,MATCH(B81,'[21]CN BC'!$H$10:$H$275,0)),"")</f>
        <v>22</v>
      </c>
      <c r="Y81" s="1138">
        <f>IFERROR(INDEX('[22]CN BC'!$J$10:$J$274,MATCH(B81,'[22]CN BC'!$H$10:$H$274,0)),"")</f>
        <v>25</v>
      </c>
      <c r="Z81" s="1138">
        <f>VLOOKUP(B81,'[23]CN BC'!$H$10:$J$275,3,FALSE)</f>
        <v>19</v>
      </c>
      <c r="AA81" s="1139">
        <f t="shared" si="8"/>
        <v>22</v>
      </c>
      <c r="AB81" s="1139">
        <f t="shared" si="9"/>
        <v>22</v>
      </c>
      <c r="AC81" s="1139">
        <f t="shared" si="10"/>
        <v>19</v>
      </c>
      <c r="AD81" s="1140"/>
      <c r="AE81" s="1141">
        <f t="shared" si="0"/>
        <v>19400228</v>
      </c>
      <c r="AF81" s="1519">
        <f t="shared" si="11"/>
        <v>8.2906957264957271</v>
      </c>
      <c r="AG81" s="1224">
        <v>2340000</v>
      </c>
      <c r="AH81" s="1521">
        <f t="shared" si="12"/>
        <v>19400228</v>
      </c>
      <c r="AI81" s="1142">
        <f t="shared" si="1"/>
        <v>64</v>
      </c>
      <c r="AJ81" s="1143"/>
      <c r="AK81" s="1144" t="str">
        <f>VLOOKUP(B81,TH.T4!B84:AC414,28,FALSE)</f>
        <v>TTĐHDL</v>
      </c>
      <c r="AL81" s="1129"/>
      <c r="AM81" s="1146"/>
      <c r="AN81" s="1187"/>
      <c r="AO81" s="1146"/>
      <c r="AP81" s="1146"/>
      <c r="AQ81" s="1146"/>
      <c r="AR81" s="1146"/>
      <c r="AS81" s="1146"/>
      <c r="AT81" s="1146"/>
      <c r="AU81" s="1146"/>
      <c r="AV81" s="1146"/>
      <c r="AW81" s="1146"/>
      <c r="AX81" s="1146"/>
    </row>
    <row r="82" spans="1:50" s="1148" customFormat="1" ht="32.25" customHeight="1">
      <c r="A82" s="1132">
        <f>_xlfn.AGGREGATE(4,7,A$17:A81)+1</f>
        <v>65</v>
      </c>
      <c r="B82" s="1133" t="s">
        <v>1466</v>
      </c>
      <c r="C82" s="1153" t="s">
        <v>1663</v>
      </c>
      <c r="D82" s="1166" t="s">
        <v>1579</v>
      </c>
      <c r="E82" s="1058" t="str">
        <f>VLOOKUP(B82,TH.T6!B87:J417,9,FALSE)</f>
        <v>Nhân viên TT Điều hành và QLDL</v>
      </c>
      <c r="F82" s="1136">
        <v>3.26</v>
      </c>
      <c r="G82" s="1137"/>
      <c r="H82" s="1392">
        <f t="shared" si="2"/>
        <v>0</v>
      </c>
      <c r="I82" s="1138"/>
      <c r="J82" s="1136">
        <v>3.26</v>
      </c>
      <c r="K82" s="1137"/>
      <c r="L82" s="1392">
        <f t="shared" si="3"/>
        <v>0</v>
      </c>
      <c r="M82" s="1138"/>
      <c r="N82" s="1136">
        <v>3.26</v>
      </c>
      <c r="O82" s="1137"/>
      <c r="P82" s="1393">
        <f t="shared" si="4"/>
        <v>0</v>
      </c>
      <c r="Q82" s="1138"/>
      <c r="R82" s="1138" t="str">
        <f>IFERROR(INDEX('[18]Gui chi Quynh'!$E$11:$E$397,MATCH(B82,'[18]Gui chi Quynh'!$B$11:$B$397,0)),"")</f>
        <v>A1</v>
      </c>
      <c r="S82" s="1138">
        <f t="shared" si="5"/>
        <v>0.8</v>
      </c>
      <c r="T82" s="1138" t="str">
        <f>VLOOKUP(B82,'[19]Gui chi Quynh'!$B$11:$E$397,4,FALSE)</f>
        <v>A1</v>
      </c>
      <c r="U82" s="1138">
        <f t="shared" si="6"/>
        <v>0.8</v>
      </c>
      <c r="V82" s="1138" t="str">
        <f>VLOOKUP(B82,'[20]Gui chi Quynh'!$B$11:$E$396,4,FALSE)</f>
        <v>A1</v>
      </c>
      <c r="W82" s="1138">
        <f t="shared" si="7"/>
        <v>0.8</v>
      </c>
      <c r="X82" s="1138">
        <f>IFERROR(INDEX('[21]CN BC'!$J$10:$J$275,MATCH(B82,'[21]CN BC'!$H$10:$H$275,0)),"")</f>
        <v>25</v>
      </c>
      <c r="Y82" s="1138">
        <f>IFERROR(INDEX('[22]CN BC'!$J$10:$J$274,MATCH(B82,'[22]CN BC'!$H$10:$H$274,0)),"")</f>
        <v>22</v>
      </c>
      <c r="Z82" s="1138">
        <f>VLOOKUP(B82,'[23]CN BC'!$H$10:$J$275,3,FALSE)</f>
        <v>20</v>
      </c>
      <c r="AA82" s="1139">
        <f t="shared" si="8"/>
        <v>23</v>
      </c>
      <c r="AB82" s="1139">
        <f t="shared" si="9"/>
        <v>22</v>
      </c>
      <c r="AC82" s="1139">
        <f t="shared" si="10"/>
        <v>19</v>
      </c>
      <c r="AD82" s="1140"/>
      <c r="AE82" s="1141">
        <f t="shared" si="0"/>
        <v>18308160</v>
      </c>
      <c r="AF82" s="1519">
        <f t="shared" si="11"/>
        <v>7.8239999999999998</v>
      </c>
      <c r="AG82" s="1224">
        <v>2340000</v>
      </c>
      <c r="AH82" s="1521">
        <f t="shared" si="12"/>
        <v>18308160</v>
      </c>
      <c r="AI82" s="1142">
        <f t="shared" ref="AI82:AI144" si="14">A82</f>
        <v>65</v>
      </c>
      <c r="AJ82" s="1143"/>
      <c r="AK82" s="1144" t="str">
        <f>VLOOKUP(B82,TH.T4!B85:AC415,28,FALSE)</f>
        <v>TTĐHDL</v>
      </c>
      <c r="AL82" s="1130"/>
      <c r="AM82" s="1146"/>
      <c r="AN82" s="1147"/>
      <c r="AO82" s="1146"/>
      <c r="AP82" s="1146"/>
      <c r="AQ82" s="1146"/>
      <c r="AR82" s="1146"/>
      <c r="AS82" s="1146"/>
      <c r="AT82" s="1146"/>
    </row>
    <row r="83" spans="1:50" s="1148" customFormat="1" ht="23.25" customHeight="1">
      <c r="A83" s="1132">
        <f>_xlfn.AGGREGATE(4,7,A$17:A82)+1</f>
        <v>66</v>
      </c>
      <c r="B83" s="1133" t="s">
        <v>1834</v>
      </c>
      <c r="C83" s="1153" t="s">
        <v>1967</v>
      </c>
      <c r="D83" s="1188">
        <v>1603215005599</v>
      </c>
      <c r="E83" s="1058" t="str">
        <f>VLOOKUP(B83,TH.T6!B88:J418,9,FALSE)</f>
        <v>Phụ trách TT Thư viện</v>
      </c>
      <c r="F83" s="1160">
        <v>3.66</v>
      </c>
      <c r="G83" s="1137"/>
      <c r="H83" s="1392">
        <f t="shared" ref="H83:H146" si="15">ROUND(F83*G83,3)</f>
        <v>0</v>
      </c>
      <c r="I83" s="1138">
        <v>0.45</v>
      </c>
      <c r="J83" s="1160">
        <v>3.66</v>
      </c>
      <c r="K83" s="1137"/>
      <c r="L83" s="1392">
        <f t="shared" ref="L83:L146" si="16">ROUND(J83*K83,3)</f>
        <v>0</v>
      </c>
      <c r="M83" s="1138">
        <v>0.45</v>
      </c>
      <c r="N83" s="1160">
        <v>3.66</v>
      </c>
      <c r="O83" s="1137"/>
      <c r="P83" s="1393">
        <f t="shared" ref="P83:P146" si="17">ROUND(N83*O83,3)</f>
        <v>0</v>
      </c>
      <c r="Q83" s="1138">
        <v>0.45</v>
      </c>
      <c r="R83" s="1138" t="str">
        <f>IFERROR(INDEX('[18]Gui chi Quynh'!$E$11:$E$397,MATCH(B83,'[18]Gui chi Quynh'!$B$11:$B$397,0)),"")</f>
        <v>A2</v>
      </c>
      <c r="S83" s="1138">
        <f t="shared" ref="S83:S146" si="18">IF(R83="A1",0.8,IF(R83="A2",0.7,IF(R83="A3",0.6,IF(R83="A4",0.5,IF(R83="B1",0.35,IF(R83="B2",0.25,IF(R83="C1",0.15,IF(R83="C2",0.1,0))))))))</f>
        <v>0.7</v>
      </c>
      <c r="T83" s="1138" t="str">
        <f>VLOOKUP(B83,'[19]Gui chi Quynh'!$B$11:$E$397,4,FALSE)</f>
        <v>A1</v>
      </c>
      <c r="U83" s="1138">
        <f t="shared" ref="U83:U146" si="19">IF(T83="A1",0.8,IF(T83="A2",0.7,IF(T83="A3",0.6,IF(T83="A4",0.5,IF(T83="B1",0.35,IF(T83="B2",0.25,IF(T83="C1",0.15,IF(T83="C2",0.1,0))))))))</f>
        <v>0.8</v>
      </c>
      <c r="V83" s="1138" t="str">
        <f>VLOOKUP(B83,'[20]Gui chi Quynh'!$B$11:$E$396,4,FALSE)</f>
        <v>A2</v>
      </c>
      <c r="W83" s="1138">
        <f t="shared" ref="W83:W146" si="20">IF(V83="A1",0.8,IF(V83="A2",0.7,IF(V83="A3",0.6,IF(V83="A4",0.5,IF(V83="B1",0.35,IF(V83="B2",0.25,IF(V83="C1",0.15,IF(V83="C2",0.1,0))))))))</f>
        <v>0.7</v>
      </c>
      <c r="X83" s="1138">
        <f>IFERROR(INDEX('[21]CN BC'!$J$10:$J$275,MATCH(B83,'[21]CN BC'!$H$10:$H$275,0)),"")</f>
        <v>23.5</v>
      </c>
      <c r="Y83" s="1138">
        <f>IFERROR(INDEX('[22]CN BC'!$J$10:$J$274,MATCH(B83,'[22]CN BC'!$H$10:$H$274,0)),"")</f>
        <v>22</v>
      </c>
      <c r="Z83" s="1138">
        <f>VLOOKUP(B83,'[23]CN BC'!$H$10:$J$275,3,FALSE)</f>
        <v>19</v>
      </c>
      <c r="AA83" s="1139">
        <f t="shared" ref="AA83:AA146" si="21">IF(X83&gt;=$AA$12,$AA$12,IF(X83&lt;$AA$12,X83))</f>
        <v>23</v>
      </c>
      <c r="AB83" s="1139">
        <f t="shared" ref="AB83:AB146" si="22">IF(Y83&gt;=$AB$12,$AB$12,IF(Y83&lt;$AB$12,Y83))</f>
        <v>22</v>
      </c>
      <c r="AC83" s="1139">
        <f t="shared" ref="AC83:AC146" si="23">IF(Z83&gt;=$AC$12,$AC$12,IF(Z83&lt;$AC$12,Z83))</f>
        <v>19</v>
      </c>
      <c r="AD83" s="1140"/>
      <c r="AE83" s="1141">
        <f t="shared" ref="AE83:AE146" si="24">ROUND(((((((F83+H83+I83)*$AE$12/$AA$12*AA83)*S83)+((J83+L83+M83)*$AE$12/$AB$12*AB83)*U83)+((N83+P83+Q83)*$AE$12/$AC$12*AC83)*W83)+AD83),0)</f>
        <v>21158280</v>
      </c>
      <c r="AF83" s="1519">
        <f t="shared" ref="AF83:AF145" si="25">AE83/AG83</f>
        <v>9.0419999999999998</v>
      </c>
      <c r="AG83" s="1224">
        <v>2340000</v>
      </c>
      <c r="AH83" s="1521">
        <f t="shared" ref="AH83:AH145" si="26">AF83*AG83</f>
        <v>21158280</v>
      </c>
      <c r="AI83" s="1142">
        <f t="shared" si="14"/>
        <v>66</v>
      </c>
      <c r="AJ83" s="1143"/>
      <c r="AK83" s="1144" t="str">
        <f>VLOOKUP(B83,TH.T4!B86:AC416,28,FALSE)</f>
        <v>TTTV</v>
      </c>
      <c r="AL83" s="1130"/>
      <c r="AM83" s="1146"/>
      <c r="AN83" s="1147"/>
      <c r="AO83" s="1146"/>
      <c r="AP83" s="1146"/>
      <c r="AQ83" s="1146"/>
      <c r="AR83" s="1146"/>
      <c r="AS83" s="1146"/>
      <c r="AT83" s="1146"/>
    </row>
    <row r="84" spans="1:50" s="1148" customFormat="1" ht="27" customHeight="1">
      <c r="A84" s="1132">
        <f>_xlfn.AGGREGATE(4,7,A$17:A83)+1</f>
        <v>67</v>
      </c>
      <c r="B84" s="1133" t="s">
        <v>1468</v>
      </c>
      <c r="C84" s="1153" t="s">
        <v>1676</v>
      </c>
      <c r="D84" s="1166" t="s">
        <v>1580</v>
      </c>
      <c r="E84" s="1058" t="str">
        <f>VLOOKUP(B84,TH.T6!B89:J419,9,FALSE)</f>
        <v>Nhân viên TT Thư viện</v>
      </c>
      <c r="F84" s="1160">
        <v>3.33</v>
      </c>
      <c r="G84" s="1137"/>
      <c r="H84" s="1392">
        <f t="shared" si="15"/>
        <v>0</v>
      </c>
      <c r="I84" s="1138"/>
      <c r="J84" s="1160">
        <v>3.33</v>
      </c>
      <c r="K84" s="1137"/>
      <c r="L84" s="1392">
        <f t="shared" si="16"/>
        <v>0</v>
      </c>
      <c r="M84" s="1138"/>
      <c r="N84" s="1160">
        <v>3.33</v>
      </c>
      <c r="O84" s="1137"/>
      <c r="P84" s="1393">
        <f t="shared" si="17"/>
        <v>0</v>
      </c>
      <c r="Q84" s="1138"/>
      <c r="R84" s="1138" t="str">
        <f>IFERROR(INDEX('[18]Gui chi Quynh'!$E$11:$E$397,MATCH(B84,'[18]Gui chi Quynh'!$B$11:$B$397,0)),"")</f>
        <v>A3</v>
      </c>
      <c r="S84" s="1138">
        <f t="shared" si="18"/>
        <v>0.6</v>
      </c>
      <c r="T84" s="1138" t="str">
        <f>VLOOKUP(B84,'[19]Gui chi Quynh'!$B$11:$E$397,4,FALSE)</f>
        <v>A3</v>
      </c>
      <c r="U84" s="1138">
        <f t="shared" si="19"/>
        <v>0.6</v>
      </c>
      <c r="V84" s="1138" t="str">
        <f>VLOOKUP(B84,'[20]Gui chi Quynh'!$B$11:$E$396,4,FALSE)</f>
        <v>A3</v>
      </c>
      <c r="W84" s="1138">
        <f t="shared" si="20"/>
        <v>0.6</v>
      </c>
      <c r="X84" s="1138">
        <f>IFERROR(INDEX('[21]CN BC'!$J$10:$J$275,MATCH(B84,'[21]CN BC'!$H$10:$H$275,0)),"")</f>
        <v>23</v>
      </c>
      <c r="Y84" s="1138">
        <f>IFERROR(INDEX('[22]CN BC'!$J$10:$J$274,MATCH(B84,'[22]CN BC'!$H$10:$H$274,0)),"")</f>
        <v>25.5</v>
      </c>
      <c r="Z84" s="1138">
        <f>VLOOKUP(B84,'[23]CN BC'!$H$10:$J$275,3,FALSE)</f>
        <v>20</v>
      </c>
      <c r="AA84" s="1139">
        <f t="shared" si="21"/>
        <v>23</v>
      </c>
      <c r="AB84" s="1139">
        <f t="shared" si="22"/>
        <v>22</v>
      </c>
      <c r="AC84" s="1139">
        <f t="shared" si="23"/>
        <v>19</v>
      </c>
      <c r="AD84" s="1140"/>
      <c r="AE84" s="1141">
        <f t="shared" si="24"/>
        <v>14025960</v>
      </c>
      <c r="AF84" s="1519">
        <f t="shared" si="25"/>
        <v>5.9939999999999998</v>
      </c>
      <c r="AG84" s="1224">
        <v>2340000</v>
      </c>
      <c r="AH84" s="1521">
        <f t="shared" si="26"/>
        <v>14025960</v>
      </c>
      <c r="AI84" s="1142">
        <f t="shared" si="14"/>
        <v>67</v>
      </c>
      <c r="AJ84" s="1143"/>
      <c r="AK84" s="1144" t="str">
        <f>VLOOKUP(B84,TH.T4!B87:AC417,28,FALSE)</f>
        <v>TTTV</v>
      </c>
      <c r="AL84" s="1130"/>
      <c r="AM84" s="1146"/>
      <c r="AN84" s="1147"/>
      <c r="AO84" s="1146"/>
      <c r="AP84" s="1146"/>
      <c r="AQ84" s="1146"/>
      <c r="AR84" s="1146"/>
      <c r="AS84" s="1146"/>
      <c r="AT84" s="1146"/>
    </row>
    <row r="85" spans="1:50" s="1148" customFormat="1" ht="27" customHeight="1">
      <c r="A85" s="1132">
        <f>_xlfn.AGGREGATE(4,7,A$17:A84)+1</f>
        <v>68</v>
      </c>
      <c r="B85" s="1133" t="s">
        <v>1469</v>
      </c>
      <c r="C85" s="1153" t="s">
        <v>1677</v>
      </c>
      <c r="D85" s="1179">
        <v>1603205185623</v>
      </c>
      <c r="E85" s="1058" t="str">
        <f>VLOOKUP(B85,TH.T6!B90:J420,9,FALSE)</f>
        <v>Nhân viên TT Thư viện</v>
      </c>
      <c r="F85" s="1160">
        <v>3.33</v>
      </c>
      <c r="G85" s="1137"/>
      <c r="H85" s="1392">
        <f t="shared" si="15"/>
        <v>0</v>
      </c>
      <c r="I85" s="1138"/>
      <c r="J85" s="1160">
        <v>3.33</v>
      </c>
      <c r="K85" s="1137"/>
      <c r="L85" s="1392">
        <f t="shared" si="16"/>
        <v>0</v>
      </c>
      <c r="M85" s="1138"/>
      <c r="N85" s="1160">
        <v>3.33</v>
      </c>
      <c r="O85" s="1137"/>
      <c r="P85" s="1393">
        <f t="shared" si="17"/>
        <v>0</v>
      </c>
      <c r="Q85" s="1138"/>
      <c r="R85" s="1138" t="str">
        <f>IFERROR(INDEX('[18]Gui chi Quynh'!$E$11:$E$397,MATCH(B85,'[18]Gui chi Quynh'!$B$11:$B$397,0)),"")</f>
        <v>A3</v>
      </c>
      <c r="S85" s="1138">
        <f t="shared" si="18"/>
        <v>0.6</v>
      </c>
      <c r="T85" s="1138" t="str">
        <f>VLOOKUP(B85,'[19]Gui chi Quynh'!$B$11:$E$397,4,FALSE)</f>
        <v>A3</v>
      </c>
      <c r="U85" s="1138">
        <f t="shared" si="19"/>
        <v>0.6</v>
      </c>
      <c r="V85" s="1138" t="str">
        <f>VLOOKUP(B85,'[20]Gui chi Quynh'!$B$11:$E$396,4,FALSE)</f>
        <v>A3</v>
      </c>
      <c r="W85" s="1138">
        <f t="shared" si="20"/>
        <v>0.6</v>
      </c>
      <c r="X85" s="1138">
        <f>IFERROR(INDEX('[21]CN BC'!$J$10:$J$275,MATCH(B85,'[21]CN BC'!$H$10:$H$275,0)),"")</f>
        <v>21</v>
      </c>
      <c r="Y85" s="1138">
        <f>IFERROR(INDEX('[22]CN BC'!$J$10:$J$274,MATCH(B85,'[22]CN BC'!$H$10:$H$274,0)),"")</f>
        <v>20</v>
      </c>
      <c r="Z85" s="1138">
        <f>VLOOKUP(B85,'[23]CN BC'!$H$10:$J$275,3,FALSE)</f>
        <v>19</v>
      </c>
      <c r="AA85" s="1139">
        <f t="shared" si="21"/>
        <v>21</v>
      </c>
      <c r="AB85" s="1139">
        <f t="shared" si="22"/>
        <v>20</v>
      </c>
      <c r="AC85" s="1139">
        <f t="shared" si="23"/>
        <v>19</v>
      </c>
      <c r="AD85" s="1140"/>
      <c r="AE85" s="1141">
        <f t="shared" si="24"/>
        <v>13194381</v>
      </c>
      <c r="AF85" s="1519">
        <f t="shared" si="25"/>
        <v>5.6386243589743588</v>
      </c>
      <c r="AG85" s="1224">
        <v>2340000</v>
      </c>
      <c r="AH85" s="1521">
        <f t="shared" si="26"/>
        <v>13194381</v>
      </c>
      <c r="AI85" s="1142">
        <f t="shared" si="14"/>
        <v>68</v>
      </c>
      <c r="AJ85" s="1143"/>
      <c r="AK85" s="1144" t="str">
        <f>VLOOKUP(B85,TH.T4!B88:AC418,28,FALSE)</f>
        <v>TTTV</v>
      </c>
      <c r="AL85" s="1130"/>
      <c r="AM85" s="1146"/>
      <c r="AN85" s="1147"/>
      <c r="AO85" s="1146"/>
      <c r="AP85" s="1146"/>
      <c r="AQ85" s="1146"/>
      <c r="AR85" s="1146"/>
      <c r="AS85" s="1146"/>
      <c r="AT85" s="1146"/>
    </row>
    <row r="86" spans="1:50" s="1148" customFormat="1" ht="27" customHeight="1">
      <c r="A86" s="1132">
        <f>_xlfn.AGGREGATE(4,7,A$17:A85)+1</f>
        <v>69</v>
      </c>
      <c r="B86" s="1215" t="s">
        <v>1864</v>
      </c>
      <c r="C86" s="1216" t="s">
        <v>1678</v>
      </c>
      <c r="D86" s="1347" t="s">
        <v>1402</v>
      </c>
      <c r="E86" s="579" t="str">
        <f>VLOOKUP(B86,TH.T6!B91:J421,9,FALSE)</f>
        <v>Nhân viên TT Thư viện</v>
      </c>
      <c r="F86" s="1217">
        <v>4.9800000000000004</v>
      </c>
      <c r="G86" s="1218">
        <v>0.05</v>
      </c>
      <c r="H86" s="1394">
        <f t="shared" si="15"/>
        <v>0.249</v>
      </c>
      <c r="I86" s="1219"/>
      <c r="J86" s="1217">
        <v>4.9800000000000004</v>
      </c>
      <c r="K86" s="1218">
        <v>0.05</v>
      </c>
      <c r="L86" s="1394">
        <f t="shared" si="16"/>
        <v>0.249</v>
      </c>
      <c r="M86" s="1219"/>
      <c r="N86" s="1217">
        <v>4.9800000000000004</v>
      </c>
      <c r="O86" s="1218">
        <v>0.06</v>
      </c>
      <c r="P86" s="1395">
        <f t="shared" si="17"/>
        <v>0.29899999999999999</v>
      </c>
      <c r="Q86" s="1219"/>
      <c r="R86" s="1219" t="str">
        <f>IFERROR(INDEX('[18]Gui chi Quynh'!$E$11:$E$397,MATCH(B86,'[18]Gui chi Quynh'!$B$11:$B$397,0)),"")</f>
        <v>A4</v>
      </c>
      <c r="S86" s="1219">
        <f t="shared" si="18"/>
        <v>0.5</v>
      </c>
      <c r="T86" s="1219" t="str">
        <f>VLOOKUP(B86,'[19]Gui chi Quynh'!$B$11:$E$397,4,FALSE)</f>
        <v>A4</v>
      </c>
      <c r="U86" s="1219">
        <f t="shared" si="19"/>
        <v>0.5</v>
      </c>
      <c r="V86" s="1219" t="str">
        <f>VLOOKUP(B86,'[20]Gui chi Quynh'!$B$11:$E$396,4,FALSE)</f>
        <v>A4</v>
      </c>
      <c r="W86" s="1219">
        <f t="shared" si="20"/>
        <v>0.5</v>
      </c>
      <c r="X86" s="1219">
        <f>IFERROR(INDEX('[21]CN BC'!$J$10:$J$275,MATCH(B86,'[21]CN BC'!$H$10:$H$275,0)),"")</f>
        <v>23</v>
      </c>
      <c r="Y86" s="1219">
        <f>IFERROR(INDEX('[22]CN BC'!$J$10:$J$274,MATCH(B86,'[22]CN BC'!$H$10:$H$274,0)),"")</f>
        <v>22</v>
      </c>
      <c r="Z86" s="1219">
        <f>VLOOKUP(B86,'[23]CN BC'!$H$10:$J$275,3,FALSE)</f>
        <v>19</v>
      </c>
      <c r="AA86" s="1348">
        <f t="shared" si="21"/>
        <v>23</v>
      </c>
      <c r="AB86" s="1348">
        <f t="shared" si="22"/>
        <v>22</v>
      </c>
      <c r="AC86" s="1348">
        <f t="shared" si="23"/>
        <v>19</v>
      </c>
      <c r="AD86" s="1220"/>
      <c r="AE86" s="1349">
        <f t="shared" si="24"/>
        <v>18412290</v>
      </c>
      <c r="AF86" s="1548">
        <f t="shared" si="25"/>
        <v>7.8685</v>
      </c>
      <c r="AG86" s="1359">
        <v>2340000</v>
      </c>
      <c r="AH86" s="1549">
        <f t="shared" si="26"/>
        <v>18412290</v>
      </c>
      <c r="AI86" s="1221">
        <f t="shared" si="14"/>
        <v>69</v>
      </c>
      <c r="AJ86" s="1350" t="s">
        <v>2362</v>
      </c>
      <c r="AK86" s="1189" t="str">
        <f>VLOOKUP(B86,TH.T4!B89:AC419,28,FALSE)</f>
        <v>TTTV</v>
      </c>
      <c r="AL86" s="1171"/>
      <c r="AN86" s="1158"/>
    </row>
    <row r="87" spans="1:50" s="1148" customFormat="1" ht="33.75" customHeight="1">
      <c r="A87" s="1132">
        <f>_xlfn.AGGREGATE(4,7,A$17:A86)+1</f>
        <v>70</v>
      </c>
      <c r="B87" s="1133" t="s">
        <v>1471</v>
      </c>
      <c r="C87" s="1153" t="s">
        <v>1680</v>
      </c>
      <c r="D87" s="1166" t="s">
        <v>1581</v>
      </c>
      <c r="E87" s="1058" t="str">
        <f>VLOOKUP(B87,TH.T6!B92:J422,9,FALSE)</f>
        <v>Trưởng phòng KHCN &amp; HTQT</v>
      </c>
      <c r="F87" s="1136">
        <v>4.9800000000000004</v>
      </c>
      <c r="G87" s="1137"/>
      <c r="H87" s="1392">
        <f t="shared" si="15"/>
        <v>0</v>
      </c>
      <c r="I87" s="1138">
        <v>0.45</v>
      </c>
      <c r="J87" s="1136">
        <v>4.9800000000000004</v>
      </c>
      <c r="K87" s="1137"/>
      <c r="L87" s="1392">
        <f t="shared" si="16"/>
        <v>0</v>
      </c>
      <c r="M87" s="1138">
        <v>0.45</v>
      </c>
      <c r="N87" s="1136">
        <v>4.9800000000000004</v>
      </c>
      <c r="O87" s="1137"/>
      <c r="P87" s="1393">
        <f t="shared" si="17"/>
        <v>0</v>
      </c>
      <c r="Q87" s="1138">
        <v>0.45</v>
      </c>
      <c r="R87" s="1138" t="str">
        <f>IFERROR(INDEX('[18]Gui chi Quynh'!$E$11:$E$397,MATCH(B87,'[18]Gui chi Quynh'!$B$11:$B$397,0)),"")</f>
        <v>A1</v>
      </c>
      <c r="S87" s="1138">
        <f t="shared" si="18"/>
        <v>0.8</v>
      </c>
      <c r="T87" s="1138" t="str">
        <f>VLOOKUP(B87,'[19]Gui chi Quynh'!$B$11:$E$397,4,FALSE)</f>
        <v>A2</v>
      </c>
      <c r="U87" s="1138">
        <f t="shared" si="19"/>
        <v>0.7</v>
      </c>
      <c r="V87" s="1138" t="str">
        <f>VLOOKUP(B87,'[20]Gui chi Quynh'!$B$11:$E$396,4,FALSE)</f>
        <v>A4</v>
      </c>
      <c r="W87" s="1138">
        <f t="shared" si="20"/>
        <v>0.5</v>
      </c>
      <c r="X87" s="1138">
        <f>IFERROR(INDEX('[21]CN BC'!$J$10:$J$275,MATCH(B87,'[21]CN BC'!$H$10:$H$275,0)),"")</f>
        <v>21</v>
      </c>
      <c r="Y87" s="1138">
        <f>IFERROR(INDEX('[22]CN BC'!$J$10:$J$274,MATCH(B87,'[22]CN BC'!$H$10:$H$274,0)),"")</f>
        <v>20</v>
      </c>
      <c r="Z87" s="1138">
        <f>VLOOKUP(B87,'[23]CN BC'!$H$10:$J$275,3,FALSE)</f>
        <v>16</v>
      </c>
      <c r="AA87" s="1139">
        <f t="shared" si="21"/>
        <v>21</v>
      </c>
      <c r="AB87" s="1139">
        <f t="shared" si="22"/>
        <v>20</v>
      </c>
      <c r="AC87" s="1139">
        <f t="shared" si="23"/>
        <v>16</v>
      </c>
      <c r="AD87" s="1140"/>
      <c r="AE87" s="1141">
        <f t="shared" si="24"/>
        <v>22716793</v>
      </c>
      <c r="AF87" s="1519">
        <f t="shared" si="25"/>
        <v>9.7080311965811958</v>
      </c>
      <c r="AG87" s="1224">
        <v>2340000</v>
      </c>
      <c r="AH87" s="1521">
        <f t="shared" si="26"/>
        <v>22716793</v>
      </c>
      <c r="AI87" s="1142">
        <f t="shared" si="14"/>
        <v>70</v>
      </c>
      <c r="AJ87" s="1143">
        <f>IFERROR(INDEX('[17]CN BC'!$M$10:$M$276,MATCH(B87,'[17]CN BC'!$H$10:$H$276,0)),"")</f>
        <v>0</v>
      </c>
      <c r="AK87" s="1144" t="str">
        <f>VLOOKUP(B87,TH.T4!B90:AC420,28,FALSE)</f>
        <v>QLKH</v>
      </c>
      <c r="AL87" s="1171"/>
      <c r="AN87" s="1158"/>
    </row>
    <row r="88" spans="1:50" s="1148" customFormat="1" ht="33.75" customHeight="1">
      <c r="A88" s="1132">
        <f>_xlfn.AGGREGATE(4,7,A$17:A87)+1</f>
        <v>71</v>
      </c>
      <c r="B88" s="1164" t="s">
        <v>2009</v>
      </c>
      <c r="C88" s="1165"/>
      <c r="D88" s="1166"/>
      <c r="E88" s="1058" t="str">
        <f>VLOOKUP(B88,TH.T6!B93:J423,9,FALSE)</f>
        <v>NV Phòng KHCN &amp; HTQT</v>
      </c>
      <c r="F88" s="1160">
        <v>3.66</v>
      </c>
      <c r="G88" s="1137"/>
      <c r="H88" s="1392">
        <f t="shared" si="15"/>
        <v>0</v>
      </c>
      <c r="I88" s="1138"/>
      <c r="J88" s="1160">
        <v>3.66</v>
      </c>
      <c r="K88" s="1137"/>
      <c r="L88" s="1392">
        <f t="shared" si="16"/>
        <v>0</v>
      </c>
      <c r="M88" s="1138"/>
      <c r="N88" s="1160">
        <v>3.66</v>
      </c>
      <c r="O88" s="1137"/>
      <c r="P88" s="1393">
        <f t="shared" si="17"/>
        <v>0</v>
      </c>
      <c r="Q88" s="1138"/>
      <c r="R88" s="1138" t="str">
        <f>IFERROR(INDEX('[18]Gui chi Quynh'!$E$11:$E$397,MATCH(B88,'[18]Gui chi Quynh'!$B$11:$B$397,0)),"")</f>
        <v>A2</v>
      </c>
      <c r="S88" s="1138">
        <f t="shared" si="18"/>
        <v>0.7</v>
      </c>
      <c r="T88" s="1138" t="str">
        <f>VLOOKUP(B88,'[19]Gui chi Quynh'!$B$11:$E$397,4,FALSE)</f>
        <v>A2</v>
      </c>
      <c r="U88" s="1138">
        <f t="shared" si="19"/>
        <v>0.7</v>
      </c>
      <c r="V88" s="1138" t="str">
        <f>VLOOKUP(B88,'[20]Gui chi Quynh'!$B$11:$E$396,4,FALSE)</f>
        <v>A2</v>
      </c>
      <c r="W88" s="1138">
        <f t="shared" si="20"/>
        <v>0.7</v>
      </c>
      <c r="X88" s="1138">
        <f>IFERROR(INDEX('[21]CN BC'!$J$10:$J$275,MATCH(B88,'[21]CN BC'!$H$10:$H$275,0)),"")</f>
        <v>27</v>
      </c>
      <c r="Y88" s="1138">
        <f>IFERROR(INDEX('[22]CN BC'!$J$10:$J$274,MATCH(B88,'[22]CN BC'!$H$10:$H$274,0)),"")</f>
        <v>25</v>
      </c>
      <c r="Z88" s="1138">
        <f>VLOOKUP(B88,'[23]CN BC'!$H$10:$J$275,3,FALSE)</f>
        <v>20</v>
      </c>
      <c r="AA88" s="1139">
        <f t="shared" si="21"/>
        <v>23</v>
      </c>
      <c r="AB88" s="1139">
        <f t="shared" si="22"/>
        <v>22</v>
      </c>
      <c r="AC88" s="1139">
        <f t="shared" si="23"/>
        <v>19</v>
      </c>
      <c r="AD88" s="1140"/>
      <c r="AE88" s="1141">
        <f t="shared" si="24"/>
        <v>17985240</v>
      </c>
      <c r="AF88" s="1519">
        <f t="shared" si="25"/>
        <v>7.6859999999999999</v>
      </c>
      <c r="AG88" s="1224">
        <v>2340000</v>
      </c>
      <c r="AH88" s="1521">
        <f t="shared" si="26"/>
        <v>17985240</v>
      </c>
      <c r="AI88" s="1142">
        <f t="shared" si="14"/>
        <v>71</v>
      </c>
      <c r="AJ88" s="1143">
        <f>IFERROR(INDEX('[17]CN BC'!$M$10:$M$276,MATCH(B88,'[17]CN BC'!$H$10:$H$276,0)),"")</f>
        <v>0</v>
      </c>
      <c r="AK88" s="1144" t="str">
        <f>VLOOKUP(B88,TH.T4!B91:AC421,28,FALSE)</f>
        <v>QLKH</v>
      </c>
      <c r="AL88" s="1171"/>
      <c r="AN88" s="1158"/>
    </row>
    <row r="89" spans="1:50" s="1148" customFormat="1" ht="44.25" customHeight="1">
      <c r="A89" s="1132">
        <f>_xlfn.AGGREGATE(4,7,A$17:A88)+1</f>
        <v>72</v>
      </c>
      <c r="B89" s="1164" t="s">
        <v>1830</v>
      </c>
      <c r="C89" s="1165" t="s">
        <v>1829</v>
      </c>
      <c r="D89" s="1190">
        <v>1603205354978</v>
      </c>
      <c r="E89" s="1058" t="s">
        <v>2382</v>
      </c>
      <c r="F89" s="1136">
        <v>2.67</v>
      </c>
      <c r="G89" s="1137"/>
      <c r="H89" s="1392">
        <f t="shared" si="15"/>
        <v>0</v>
      </c>
      <c r="I89" s="1138">
        <v>0.45</v>
      </c>
      <c r="J89" s="1136">
        <v>2.67</v>
      </c>
      <c r="K89" s="1137"/>
      <c r="L89" s="1392">
        <f t="shared" si="16"/>
        <v>0</v>
      </c>
      <c r="M89" s="1138">
        <v>0.45</v>
      </c>
      <c r="N89" s="1136">
        <v>2.67</v>
      </c>
      <c r="O89" s="1137"/>
      <c r="P89" s="1393">
        <f t="shared" si="17"/>
        <v>0</v>
      </c>
      <c r="Q89" s="1138">
        <v>0.45</v>
      </c>
      <c r="R89" s="1138" t="str">
        <f>IFERROR(INDEX('[18]Gui chi Quynh'!$E$11:$E$397,MATCH(B89,'[18]Gui chi Quynh'!$B$11:$B$397,0)),"")</f>
        <v>A1</v>
      </c>
      <c r="S89" s="1138">
        <f t="shared" si="18"/>
        <v>0.8</v>
      </c>
      <c r="T89" s="1138" t="str">
        <f>VLOOKUP(B89,'[19]Gui chi Quynh'!$B$11:$E$397,4,FALSE)</f>
        <v>A1</v>
      </c>
      <c r="U89" s="1138">
        <f t="shared" si="19"/>
        <v>0.8</v>
      </c>
      <c r="V89" s="1138" t="str">
        <f>VLOOKUP(B89,'[20]Gui chi Quynh'!$B$11:$E$396,4,FALSE)</f>
        <v>A1</v>
      </c>
      <c r="W89" s="1138">
        <f t="shared" si="20"/>
        <v>0.8</v>
      </c>
      <c r="X89" s="1138">
        <f>IFERROR(INDEX('[21]CN BC'!$J$10:$J$275,MATCH(B89,'[21]CN BC'!$H$10:$H$275,0)),"")</f>
        <v>31</v>
      </c>
      <c r="Y89" s="1138">
        <f>IFERROR(INDEX('[22]CN BC'!$J$10:$J$274,MATCH(B89,'[22]CN BC'!$H$10:$H$274,0)),"")</f>
        <v>30</v>
      </c>
      <c r="Z89" s="1138">
        <f>VLOOKUP(B89,'[23]CN BC'!$H$10:$J$275,3,FALSE)</f>
        <v>27</v>
      </c>
      <c r="AA89" s="1139">
        <f t="shared" si="21"/>
        <v>23</v>
      </c>
      <c r="AB89" s="1139">
        <f t="shared" si="22"/>
        <v>22</v>
      </c>
      <c r="AC89" s="1139">
        <f t="shared" si="23"/>
        <v>19</v>
      </c>
      <c r="AD89" s="1140"/>
      <c r="AE89" s="1141">
        <f t="shared" si="24"/>
        <v>17521920</v>
      </c>
      <c r="AF89" s="1519">
        <f t="shared" si="25"/>
        <v>7.4880000000000004</v>
      </c>
      <c r="AG89" s="1224">
        <v>2340000</v>
      </c>
      <c r="AH89" s="1521">
        <f t="shared" si="26"/>
        <v>17521920</v>
      </c>
      <c r="AI89" s="1191">
        <f t="shared" si="14"/>
        <v>72</v>
      </c>
      <c r="AJ89" s="1143">
        <f>IFERROR(INDEX('[17]CN BC'!$M$10:$M$276,MATCH(B89,'[17]CN BC'!$H$10:$H$276,0)),"")</f>
        <v>0</v>
      </c>
      <c r="AK89" s="1144" t="str">
        <f>VLOOKUP(B89,TH.T4!B92:AC422,28,FALSE)</f>
        <v>TTĐT</v>
      </c>
      <c r="AL89" s="1147"/>
      <c r="AM89" s="1146"/>
      <c r="AN89" s="1146"/>
      <c r="AO89" s="1146"/>
      <c r="AP89" s="1146"/>
      <c r="AQ89" s="1146"/>
      <c r="AR89" s="1146"/>
      <c r="AS89" s="1146"/>
      <c r="AT89" s="1146"/>
    </row>
    <row r="90" spans="1:50" s="1130" customFormat="1" ht="33.75" customHeight="1">
      <c r="A90" s="1132">
        <f>_xlfn.AGGREGATE(4,7,A$17:A89)+1</f>
        <v>73</v>
      </c>
      <c r="B90" s="1172" t="s">
        <v>2005</v>
      </c>
      <c r="C90" s="1192" t="s">
        <v>1826</v>
      </c>
      <c r="D90" s="1193" t="s">
        <v>12</v>
      </c>
      <c r="E90" s="1058" t="s">
        <v>2381</v>
      </c>
      <c r="F90" s="1176">
        <v>3.34</v>
      </c>
      <c r="G90" s="1194"/>
      <c r="H90" s="1392">
        <f t="shared" si="15"/>
        <v>0</v>
      </c>
      <c r="I90" s="1194">
        <v>0</v>
      </c>
      <c r="J90" s="1176">
        <v>3.34</v>
      </c>
      <c r="K90" s="1194"/>
      <c r="L90" s="1392">
        <f t="shared" si="16"/>
        <v>0</v>
      </c>
      <c r="M90" s="1194">
        <v>0</v>
      </c>
      <c r="N90" s="1176">
        <v>3.34</v>
      </c>
      <c r="O90" s="1194"/>
      <c r="P90" s="1393">
        <f t="shared" si="17"/>
        <v>0</v>
      </c>
      <c r="Q90" s="1194">
        <v>0</v>
      </c>
      <c r="R90" s="1138" t="str">
        <f>IFERROR(INDEX('[18]Gui chi Quynh'!$E$11:$E$397,MATCH(B90,'[18]Gui chi Quynh'!$B$11:$B$397,0)),"")</f>
        <v>A4</v>
      </c>
      <c r="S90" s="1138">
        <f t="shared" si="18"/>
        <v>0.5</v>
      </c>
      <c r="T90" s="1138" t="str">
        <f>VLOOKUP(B90,'[19]Gui chi Quynh'!$B$11:$E$397,4,FALSE)</f>
        <v>A4</v>
      </c>
      <c r="U90" s="1138">
        <f t="shared" si="19"/>
        <v>0.5</v>
      </c>
      <c r="V90" s="1138" t="str">
        <f>VLOOKUP(B90,'[20]Gui chi Quynh'!$B$11:$E$396,4,FALSE)</f>
        <v>A3</v>
      </c>
      <c r="W90" s="1138">
        <f t="shared" si="20"/>
        <v>0.6</v>
      </c>
      <c r="X90" s="1138">
        <f>IFERROR(INDEX('[21]CN BC'!$J$10:$J$275,MATCH(B90,'[21]CN BC'!$H$10:$H$275,0)),"")</f>
        <v>29</v>
      </c>
      <c r="Y90" s="1138">
        <f>IFERROR(INDEX('[22]CN BC'!$J$10:$J$274,MATCH(B90,'[22]CN BC'!$H$10:$H$274,0)),"")</f>
        <v>26</v>
      </c>
      <c r="Z90" s="1138">
        <f>VLOOKUP(B90,'[23]CN BC'!$H$10:$J$275,3,FALSE)</f>
        <v>24</v>
      </c>
      <c r="AA90" s="1139">
        <f t="shared" si="21"/>
        <v>23</v>
      </c>
      <c r="AB90" s="1139">
        <f t="shared" si="22"/>
        <v>22</v>
      </c>
      <c r="AC90" s="1139">
        <f t="shared" si="23"/>
        <v>19</v>
      </c>
      <c r="AD90" s="1140"/>
      <c r="AE90" s="1141">
        <f t="shared" si="24"/>
        <v>12504960</v>
      </c>
      <c r="AF90" s="1519">
        <f t="shared" si="25"/>
        <v>5.3440000000000003</v>
      </c>
      <c r="AG90" s="1224">
        <v>2340000</v>
      </c>
      <c r="AH90" s="1521">
        <f t="shared" si="26"/>
        <v>12504960</v>
      </c>
      <c r="AI90" s="1195">
        <f t="shared" si="14"/>
        <v>73</v>
      </c>
      <c r="AJ90" s="1143">
        <f>IFERROR(INDEX('[17]CN BC'!$M$10:$M$276,MATCH(B90,'[17]CN BC'!$H$10:$H$276,0)),"")</f>
        <v>0</v>
      </c>
      <c r="AK90" s="1144" t="str">
        <f>VLOOKUP(B90,TH.T4!B93:AC423,28,FALSE)</f>
        <v>TTĐT</v>
      </c>
    </row>
    <row r="91" spans="1:50" s="1148" customFormat="1" ht="33.75" customHeight="1">
      <c r="A91" s="1132">
        <f>_xlfn.AGGREGATE(4,7,A$17:A90)+1</f>
        <v>74</v>
      </c>
      <c r="B91" s="1164" t="s">
        <v>1607</v>
      </c>
      <c r="C91" s="1165" t="s">
        <v>1957</v>
      </c>
      <c r="D91" s="1181">
        <v>1603215003961</v>
      </c>
      <c r="E91" s="1058" t="str">
        <f>VLOOKUP(B91,TH.T6!B96:J426,9,FALSE)</f>
        <v>Trưởng khoa Xây dựng - Nhiệt lạnh</v>
      </c>
      <c r="F91" s="1160">
        <v>3.66</v>
      </c>
      <c r="G91" s="1137"/>
      <c r="H91" s="1392">
        <f t="shared" si="15"/>
        <v>0</v>
      </c>
      <c r="I91" s="1138">
        <v>0.45</v>
      </c>
      <c r="J91" s="1160">
        <v>3.66</v>
      </c>
      <c r="K91" s="1137"/>
      <c r="L91" s="1392">
        <f t="shared" si="16"/>
        <v>0</v>
      </c>
      <c r="M91" s="1138">
        <v>0.45</v>
      </c>
      <c r="N91" s="1160">
        <v>3.66</v>
      </c>
      <c r="O91" s="1137"/>
      <c r="P91" s="1393">
        <f t="shared" si="17"/>
        <v>0</v>
      </c>
      <c r="Q91" s="1138">
        <v>0.45</v>
      </c>
      <c r="R91" s="1138" t="str">
        <f>IFERROR(INDEX('[18]Gui chi Quynh'!$E$11:$E$397,MATCH(B91,'[18]Gui chi Quynh'!$B$11:$B$397,0)),"")</f>
        <v>A2</v>
      </c>
      <c r="S91" s="1138">
        <f t="shared" si="18"/>
        <v>0.7</v>
      </c>
      <c r="T91" s="1138" t="str">
        <f>VLOOKUP(B91,'[19]Gui chi Quynh'!$B$11:$E$397,4,FALSE)</f>
        <v>A2</v>
      </c>
      <c r="U91" s="1138">
        <f t="shared" si="19"/>
        <v>0.7</v>
      </c>
      <c r="V91" s="1138" t="str">
        <f>VLOOKUP(B91,'[20]Gui chi Quynh'!$B$11:$E$396,4,FALSE)</f>
        <v>A2</v>
      </c>
      <c r="W91" s="1138">
        <f t="shared" si="20"/>
        <v>0.7</v>
      </c>
      <c r="X91" s="1138">
        <f>IFERROR(INDEX('[21]CN BC'!$J$10:$J$275,MATCH(B91,'[21]CN BC'!$H$10:$H$275,0)),"")</f>
        <v>21</v>
      </c>
      <c r="Y91" s="1138">
        <f>IFERROR(INDEX('[22]CN BC'!$J$10:$J$274,MATCH(B91,'[22]CN BC'!$H$10:$H$274,0)),"")</f>
        <v>22</v>
      </c>
      <c r="Z91" s="1138">
        <f>VLOOKUP(B91,'[23]CN BC'!$H$10:$J$275,3,FALSE)</f>
        <v>19</v>
      </c>
      <c r="AA91" s="1139">
        <f t="shared" si="21"/>
        <v>21</v>
      </c>
      <c r="AB91" s="1139">
        <f t="shared" si="22"/>
        <v>22</v>
      </c>
      <c r="AC91" s="1139">
        <f t="shared" si="23"/>
        <v>19</v>
      </c>
      <c r="AD91" s="1140"/>
      <c r="AE91" s="1141">
        <f t="shared" si="24"/>
        <v>19611133</v>
      </c>
      <c r="AF91" s="1519">
        <f t="shared" si="25"/>
        <v>8.3808260683760682</v>
      </c>
      <c r="AG91" s="1224">
        <v>2340000</v>
      </c>
      <c r="AH91" s="1521">
        <f t="shared" si="26"/>
        <v>19611133</v>
      </c>
      <c r="AI91" s="1142">
        <f t="shared" si="14"/>
        <v>74</v>
      </c>
      <c r="AJ91" s="1143">
        <f>IFERROR(INDEX('[17]CN BC'!$M$10:$M$276,MATCH(B91,'[17]CN BC'!$H$10:$H$276,0)),"")</f>
        <v>0</v>
      </c>
      <c r="AK91" s="1144" t="str">
        <f>VLOOKUP(B91,TH.T4!B94:AC424,28,FALSE)</f>
        <v>XD-NL</v>
      </c>
      <c r="AL91" s="1171"/>
      <c r="AN91" s="1158"/>
    </row>
    <row r="92" spans="1:50" s="1148" customFormat="1" ht="33.75" customHeight="1">
      <c r="A92" s="1132">
        <f>_xlfn.AGGREGATE(4,7,A$17:A91)+1</f>
        <v>75</v>
      </c>
      <c r="B92" s="1133" t="s">
        <v>1924</v>
      </c>
      <c r="C92" s="1153" t="s">
        <v>1958</v>
      </c>
      <c r="D92" s="1188" t="s">
        <v>1935</v>
      </c>
      <c r="E92" s="1058" t="str">
        <f>VLOOKUP(B92,TH.T6!B97:J427,9,FALSE)</f>
        <v>Giảng viên khoa Xây dựng - Nhiệt lạnh</v>
      </c>
      <c r="F92" s="1160">
        <v>3</v>
      </c>
      <c r="G92" s="1137"/>
      <c r="H92" s="1392">
        <f t="shared" si="15"/>
        <v>0</v>
      </c>
      <c r="I92" s="1138"/>
      <c r="J92" s="1160">
        <v>3</v>
      </c>
      <c r="K92" s="1137"/>
      <c r="L92" s="1392">
        <f t="shared" si="16"/>
        <v>0</v>
      </c>
      <c r="M92" s="1138"/>
      <c r="N92" s="1160">
        <v>3</v>
      </c>
      <c r="O92" s="1137"/>
      <c r="P92" s="1393">
        <f t="shared" si="17"/>
        <v>0</v>
      </c>
      <c r="Q92" s="1138"/>
      <c r="R92" s="1138" t="str">
        <f>IFERROR(INDEX('[18]Gui chi Quynh'!$E$11:$E$397,MATCH(B92,'[18]Gui chi Quynh'!$B$11:$B$397,0)),"")</f>
        <v>A4</v>
      </c>
      <c r="S92" s="1138">
        <f t="shared" si="18"/>
        <v>0.5</v>
      </c>
      <c r="T92" s="1138" t="str">
        <f>VLOOKUP(B92,'[19]Gui chi Quynh'!$B$11:$E$397,4,FALSE)</f>
        <v>A DN</v>
      </c>
      <c r="U92" s="1138">
        <f t="shared" si="19"/>
        <v>0</v>
      </c>
      <c r="V92" s="1138" t="str">
        <f>VLOOKUP(B92,'[20]Gui chi Quynh'!$B$11:$E$396,4,FALSE)</f>
        <v>A3</v>
      </c>
      <c r="W92" s="1138">
        <f t="shared" si="20"/>
        <v>0.6</v>
      </c>
      <c r="X92" s="1138">
        <f>IFERROR(INDEX('[21]CN BC'!$J$10:$J$275,MATCH(B92,'[21]CN BC'!$H$10:$H$275,0)),"")</f>
        <v>23</v>
      </c>
      <c r="Y92" s="1138">
        <f>IFERROR(INDEX('[22]CN BC'!$J$10:$J$274,MATCH(B92,'[22]CN BC'!$H$10:$H$274,0)),"")</f>
        <v>0</v>
      </c>
      <c r="Z92" s="1138">
        <f>VLOOKUP(B92,'[23]CN BC'!$H$10:$J$275,3,FALSE)</f>
        <v>19</v>
      </c>
      <c r="AA92" s="1139">
        <f t="shared" si="21"/>
        <v>23</v>
      </c>
      <c r="AB92" s="1139">
        <f t="shared" si="22"/>
        <v>0</v>
      </c>
      <c r="AC92" s="1139">
        <f t="shared" si="23"/>
        <v>19</v>
      </c>
      <c r="AD92" s="1140"/>
      <c r="AE92" s="1141">
        <f t="shared" si="24"/>
        <v>7722000</v>
      </c>
      <c r="AF92" s="1519">
        <f t="shared" si="25"/>
        <v>3.3</v>
      </c>
      <c r="AG92" s="1224">
        <v>2340000</v>
      </c>
      <c r="AH92" s="1521">
        <f t="shared" si="26"/>
        <v>7722000</v>
      </c>
      <c r="AI92" s="1142">
        <f t="shared" si="14"/>
        <v>75</v>
      </c>
      <c r="AJ92" s="1143">
        <f>IFERROR(INDEX('[17]CN BC'!$M$10:$M$276,MATCH(B92,'[17]CN BC'!$H$10:$H$276,0)),"")</f>
        <v>0</v>
      </c>
      <c r="AK92" s="1144" t="str">
        <f>VLOOKUP(B92,TH.T4!B95:AC425,28,FALSE)</f>
        <v>XD-NL</v>
      </c>
      <c r="AL92" s="1171"/>
      <c r="AN92" s="1158"/>
    </row>
    <row r="93" spans="1:50" s="1148" customFormat="1" ht="33.75" customHeight="1">
      <c r="A93" s="1132">
        <f>_xlfn.AGGREGATE(4,7,A$17:A92)+1</f>
        <v>76</v>
      </c>
      <c r="B93" s="1133" t="s">
        <v>1944</v>
      </c>
      <c r="C93" s="1153" t="s">
        <v>1959</v>
      </c>
      <c r="D93" s="1181"/>
      <c r="E93" s="1058" t="str">
        <f>VLOOKUP(B93,TH.T6!B98:J428,9,FALSE)</f>
        <v>Giảng viên khoa Xây dựng - Nhiệt lạnh</v>
      </c>
      <c r="F93" s="1136">
        <v>2.34</v>
      </c>
      <c r="G93" s="1137"/>
      <c r="H93" s="1392">
        <f t="shared" si="15"/>
        <v>0</v>
      </c>
      <c r="I93" s="1138"/>
      <c r="J93" s="1136">
        <v>2.34</v>
      </c>
      <c r="K93" s="1137"/>
      <c r="L93" s="1392">
        <f t="shared" si="16"/>
        <v>0</v>
      </c>
      <c r="M93" s="1138"/>
      <c r="N93" s="1136">
        <v>2.34</v>
      </c>
      <c r="O93" s="1137"/>
      <c r="P93" s="1393">
        <f t="shared" si="17"/>
        <v>0</v>
      </c>
      <c r="Q93" s="1138"/>
      <c r="R93" s="1138" t="str">
        <f>IFERROR(INDEX('[18]Gui chi Quynh'!$E$11:$E$397,MATCH(B93,'[18]Gui chi Quynh'!$B$11:$B$397,0)),"")</f>
        <v>A4</v>
      </c>
      <c r="S93" s="1138">
        <f t="shared" si="18"/>
        <v>0.5</v>
      </c>
      <c r="T93" s="1138" t="str">
        <f>VLOOKUP(B93,'[19]Gui chi Quynh'!$B$11:$E$397,4,FALSE)</f>
        <v>A DN</v>
      </c>
      <c r="U93" s="1138">
        <f t="shared" si="19"/>
        <v>0</v>
      </c>
      <c r="V93" s="1138" t="str">
        <f>VLOOKUP(B93,'[20]Gui chi Quynh'!$B$11:$E$396,4,FALSE)</f>
        <v>A2</v>
      </c>
      <c r="W93" s="1138">
        <f t="shared" si="20"/>
        <v>0.7</v>
      </c>
      <c r="X93" s="1138">
        <f>IFERROR(INDEX('[21]CN BC'!$J$10:$J$275,MATCH(B93,'[21]CN BC'!$H$10:$H$275,0)),"")</f>
        <v>23</v>
      </c>
      <c r="Y93" s="1138">
        <f>IFERROR(INDEX('[22]CN BC'!$J$10:$J$274,MATCH(B93,'[22]CN BC'!$H$10:$H$274,0)),"")</f>
        <v>0</v>
      </c>
      <c r="Z93" s="1138">
        <f>VLOOKUP(B93,'[23]CN BC'!$H$10:$J$275,3,FALSE)</f>
        <v>19</v>
      </c>
      <c r="AA93" s="1139">
        <f t="shared" si="21"/>
        <v>23</v>
      </c>
      <c r="AB93" s="1139">
        <f t="shared" si="22"/>
        <v>0</v>
      </c>
      <c r="AC93" s="1139">
        <f t="shared" si="23"/>
        <v>19</v>
      </c>
      <c r="AD93" s="1140"/>
      <c r="AE93" s="1141">
        <f t="shared" si="24"/>
        <v>6570720</v>
      </c>
      <c r="AF93" s="1519">
        <f t="shared" si="25"/>
        <v>2.8079999999999998</v>
      </c>
      <c r="AG93" s="1224">
        <v>2340000</v>
      </c>
      <c r="AH93" s="1521">
        <f t="shared" si="26"/>
        <v>6570720</v>
      </c>
      <c r="AI93" s="1142">
        <f t="shared" si="14"/>
        <v>76</v>
      </c>
      <c r="AJ93" s="1143">
        <f>IFERROR(INDEX('[17]CN BC'!$M$10:$M$276,MATCH(B93,'[17]CN BC'!$H$10:$H$276,0)),"")</f>
        <v>0</v>
      </c>
      <c r="AK93" s="1144" t="str">
        <f>VLOOKUP(B93,TH.T4!B96:AC426,28,FALSE)</f>
        <v>XD-NL</v>
      </c>
      <c r="AL93" s="1171"/>
      <c r="AN93" s="1158"/>
    </row>
    <row r="94" spans="1:50" s="1148" customFormat="1" ht="25.5" customHeight="1">
      <c r="A94" s="1132">
        <f>_xlfn.AGGREGATE(4,7,A$17:A93)+1</f>
        <v>77</v>
      </c>
      <c r="B94" s="1133" t="s">
        <v>1472</v>
      </c>
      <c r="C94" s="1149" t="s">
        <v>1682</v>
      </c>
      <c r="D94" s="1166" t="s">
        <v>1582</v>
      </c>
      <c r="E94" s="1058" t="str">
        <f>VLOOKUP(B94,TH.T6!B99:J429,9,FALSE)</f>
        <v>Trưởng khoa Kinh tế</v>
      </c>
      <c r="F94" s="1160">
        <v>3.99</v>
      </c>
      <c r="G94" s="1137"/>
      <c r="H94" s="1392">
        <f t="shared" si="15"/>
        <v>0</v>
      </c>
      <c r="I94" s="1138">
        <v>0.45</v>
      </c>
      <c r="J94" s="1160">
        <v>3.99</v>
      </c>
      <c r="K94" s="1137"/>
      <c r="L94" s="1392">
        <f t="shared" si="16"/>
        <v>0</v>
      </c>
      <c r="M94" s="1138">
        <v>0.45</v>
      </c>
      <c r="N94" s="1160">
        <v>3.99</v>
      </c>
      <c r="O94" s="1137"/>
      <c r="P94" s="1393">
        <f t="shared" si="17"/>
        <v>0</v>
      </c>
      <c r="Q94" s="1138">
        <v>0.45</v>
      </c>
      <c r="R94" s="1138" t="str">
        <f>IFERROR(INDEX('[18]Gui chi Quynh'!$E$11:$E$397,MATCH(B94,'[18]Gui chi Quynh'!$B$11:$B$397,0)),"")</f>
        <v>A2</v>
      </c>
      <c r="S94" s="1138">
        <f t="shared" si="18"/>
        <v>0.7</v>
      </c>
      <c r="T94" s="1138" t="str">
        <f>VLOOKUP(B94,'[19]Gui chi Quynh'!$B$11:$E$397,4,FALSE)</f>
        <v>A2</v>
      </c>
      <c r="U94" s="1138">
        <f t="shared" si="19"/>
        <v>0.7</v>
      </c>
      <c r="V94" s="1138" t="str">
        <f>VLOOKUP(B94,'[20]Gui chi Quynh'!$B$11:$E$396,4,FALSE)</f>
        <v>A1</v>
      </c>
      <c r="W94" s="1138">
        <f t="shared" si="20"/>
        <v>0.8</v>
      </c>
      <c r="X94" s="1138">
        <f>IFERROR(INDEX('[21]CN BC'!$J$10:$J$275,MATCH(B94,'[21]CN BC'!$H$10:$H$275,0)),"")</f>
        <v>23</v>
      </c>
      <c r="Y94" s="1138">
        <f>IFERROR(INDEX('[22]CN BC'!$J$10:$J$274,MATCH(B94,'[22]CN BC'!$H$10:$H$274,0)),"")</f>
        <v>13</v>
      </c>
      <c r="Z94" s="1138">
        <f>VLOOKUP(B94,'[23]CN BC'!$H$10:$J$275,3,FALSE)</f>
        <v>19</v>
      </c>
      <c r="AA94" s="1139">
        <f t="shared" si="21"/>
        <v>23</v>
      </c>
      <c r="AB94" s="1139">
        <f t="shared" si="22"/>
        <v>13</v>
      </c>
      <c r="AC94" s="1139">
        <f t="shared" si="23"/>
        <v>19</v>
      </c>
      <c r="AD94" s="1140"/>
      <c r="AE94" s="1141">
        <f t="shared" si="24"/>
        <v>19881916</v>
      </c>
      <c r="AF94" s="1519">
        <f t="shared" si="25"/>
        <v>8.4965452991452999</v>
      </c>
      <c r="AG94" s="1224">
        <v>2340000</v>
      </c>
      <c r="AH94" s="1521">
        <f t="shared" si="26"/>
        <v>19881916</v>
      </c>
      <c r="AI94" s="1142">
        <f t="shared" si="14"/>
        <v>77</v>
      </c>
      <c r="AJ94" s="1143">
        <f>IFERROR(INDEX('[17]CN BC'!$M$10:$M$276,MATCH(B94,'[17]CN BC'!$H$10:$H$276,0)),"")</f>
        <v>0</v>
      </c>
      <c r="AK94" s="1144" t="str">
        <f>VLOOKUP(B94,TH.T4!B97:AC427,28,FALSE)</f>
        <v>KT</v>
      </c>
      <c r="AL94" s="1130"/>
      <c r="AM94" s="1146"/>
      <c r="AN94" s="1147"/>
      <c r="AO94" s="1146"/>
      <c r="AP94" s="1146"/>
      <c r="AQ94" s="1146"/>
      <c r="AR94" s="1146"/>
      <c r="AS94" s="1146"/>
      <c r="AT94" s="1146"/>
      <c r="AU94" s="1146"/>
      <c r="AV94" s="1146"/>
      <c r="AW94" s="1146"/>
      <c r="AX94" s="1146"/>
    </row>
    <row r="95" spans="1:50" s="1148" customFormat="1" ht="25.15" customHeight="1">
      <c r="A95" s="1132">
        <f>_xlfn.AGGREGATE(4,7,A$17:A94)+1</f>
        <v>78</v>
      </c>
      <c r="B95" s="1133" t="s">
        <v>1566</v>
      </c>
      <c r="C95" s="1153" t="s">
        <v>1681</v>
      </c>
      <c r="D95" s="1196" t="s">
        <v>1567</v>
      </c>
      <c r="E95" s="1058" t="str">
        <f>VLOOKUP(B95,TH.T6!B100:J430,9,FALSE)</f>
        <v>Giảng viên khoa Kinh tế</v>
      </c>
      <c r="F95" s="1197">
        <v>3</v>
      </c>
      <c r="G95" s="1137"/>
      <c r="H95" s="1392">
        <f t="shared" si="15"/>
        <v>0</v>
      </c>
      <c r="I95" s="1138"/>
      <c r="J95" s="1197">
        <v>3</v>
      </c>
      <c r="K95" s="1137"/>
      <c r="L95" s="1392">
        <f t="shared" si="16"/>
        <v>0</v>
      </c>
      <c r="M95" s="1138"/>
      <c r="N95" s="1197">
        <v>3</v>
      </c>
      <c r="O95" s="1137"/>
      <c r="P95" s="1393">
        <f t="shared" si="17"/>
        <v>0</v>
      </c>
      <c r="Q95" s="1138"/>
      <c r="R95" s="1138" t="str">
        <f>IFERROR(INDEX('[18]Gui chi Quynh'!$E$11:$E$397,MATCH(B95,'[18]Gui chi Quynh'!$B$11:$B$397,0)),"")</f>
        <v>A3</v>
      </c>
      <c r="S95" s="1138">
        <f t="shared" si="18"/>
        <v>0.6</v>
      </c>
      <c r="T95" s="1138" t="str">
        <f>VLOOKUP(B95,'[19]Gui chi Quynh'!$B$11:$E$397,4,FALSE)</f>
        <v>A DN</v>
      </c>
      <c r="U95" s="1138">
        <f t="shared" si="19"/>
        <v>0</v>
      </c>
      <c r="V95" s="1138" t="str">
        <f>VLOOKUP(B95,'[20]Gui chi Quynh'!$B$11:$E$396,4,FALSE)</f>
        <v>A1</v>
      </c>
      <c r="W95" s="1138">
        <f t="shared" si="20"/>
        <v>0.8</v>
      </c>
      <c r="X95" s="1138">
        <f>IFERROR(INDEX('[21]CN BC'!$J$10:$J$275,MATCH(B95,'[21]CN BC'!$H$10:$H$275,0)),"")</f>
        <v>21</v>
      </c>
      <c r="Y95" s="1138">
        <f>IFERROR(INDEX('[22]CN BC'!$J$10:$J$274,MATCH(B95,'[22]CN BC'!$H$10:$H$274,0)),"")</f>
        <v>0</v>
      </c>
      <c r="Z95" s="1138">
        <f>VLOOKUP(B95,'[23]CN BC'!$H$10:$J$275,3,FALSE)</f>
        <v>19</v>
      </c>
      <c r="AA95" s="1139">
        <f t="shared" si="21"/>
        <v>21</v>
      </c>
      <c r="AB95" s="1139">
        <f t="shared" si="22"/>
        <v>0</v>
      </c>
      <c r="AC95" s="1139">
        <f t="shared" si="23"/>
        <v>19</v>
      </c>
      <c r="AD95" s="1140"/>
      <c r="AE95" s="1141">
        <f t="shared" si="24"/>
        <v>9461739</v>
      </c>
      <c r="AF95" s="1519">
        <f t="shared" si="25"/>
        <v>4.0434782051282054</v>
      </c>
      <c r="AG95" s="1224">
        <v>2340000</v>
      </c>
      <c r="AH95" s="1521">
        <f t="shared" si="26"/>
        <v>9461739</v>
      </c>
      <c r="AI95" s="1142">
        <f t="shared" si="14"/>
        <v>78</v>
      </c>
      <c r="AJ95" s="1143">
        <f>IFERROR(INDEX('[17]CN BC'!$M$10:$M$276,MATCH(B95,'[17]CN BC'!$H$10:$H$276,0)),"")</f>
        <v>0</v>
      </c>
      <c r="AK95" s="1144" t="str">
        <f>VLOOKUP(B95,TH.T4!B98:AC428,28,FALSE)</f>
        <v>KT</v>
      </c>
      <c r="AL95" s="1130"/>
      <c r="AM95" s="1146"/>
      <c r="AN95" s="1147"/>
    </row>
    <row r="96" spans="1:50" s="1148" customFormat="1" ht="25.15" customHeight="1">
      <c r="A96" s="1132">
        <f>_xlfn.AGGREGATE(4,7,A$17:A95)+1</f>
        <v>79</v>
      </c>
      <c r="B96" s="1133" t="s">
        <v>1831</v>
      </c>
      <c r="C96" s="1153" t="s">
        <v>1960</v>
      </c>
      <c r="D96" s="1198">
        <v>1603215005603</v>
      </c>
      <c r="E96" s="1058" t="str">
        <f>VLOOKUP(B96,TH.T6!B101:J431,9,FALSE)</f>
        <v>Giảng viên khoa 
Kinh tế</v>
      </c>
      <c r="F96" s="1197">
        <v>3</v>
      </c>
      <c r="G96" s="1137"/>
      <c r="H96" s="1392">
        <f t="shared" si="15"/>
        <v>0</v>
      </c>
      <c r="I96" s="1138"/>
      <c r="J96" s="1197">
        <v>3</v>
      </c>
      <c r="K96" s="1137"/>
      <c r="L96" s="1392">
        <f t="shared" si="16"/>
        <v>0</v>
      </c>
      <c r="M96" s="1138"/>
      <c r="N96" s="1197">
        <v>3</v>
      </c>
      <c r="O96" s="1137"/>
      <c r="P96" s="1393">
        <f t="shared" si="17"/>
        <v>0</v>
      </c>
      <c r="Q96" s="1138"/>
      <c r="R96" s="1138" t="str">
        <f>IFERROR(INDEX('[18]Gui chi Quynh'!$E$11:$E$397,MATCH(B96,'[18]Gui chi Quynh'!$B$11:$B$397,0)),"")</f>
        <v>A3</v>
      </c>
      <c r="S96" s="1138">
        <f t="shared" si="18"/>
        <v>0.6</v>
      </c>
      <c r="T96" s="1138" t="str">
        <f>VLOOKUP(B96,'[19]Gui chi Quynh'!$B$11:$E$397,4,FALSE)</f>
        <v>A DN</v>
      </c>
      <c r="U96" s="1138">
        <f t="shared" si="19"/>
        <v>0</v>
      </c>
      <c r="V96" s="1138" t="str">
        <f>VLOOKUP(B96,'[20]Gui chi Quynh'!$B$11:$E$396,4,FALSE)</f>
        <v>A3</v>
      </c>
      <c r="W96" s="1138">
        <f t="shared" si="20"/>
        <v>0.6</v>
      </c>
      <c r="X96" s="1138">
        <f>IFERROR(INDEX('[21]CN BC'!$J$10:$J$275,MATCH(B96,'[21]CN BC'!$H$10:$H$275,0)),"")</f>
        <v>21</v>
      </c>
      <c r="Y96" s="1138">
        <f>IFERROR(INDEX('[22]CN BC'!$J$10:$J$274,MATCH(B96,'[22]CN BC'!$H$10:$H$274,0)),"")</f>
        <v>0</v>
      </c>
      <c r="Z96" s="1138">
        <f>VLOOKUP(B96,'[23]CN BC'!$H$10:$J$275,3,FALSE)</f>
        <v>19</v>
      </c>
      <c r="AA96" s="1139">
        <f t="shared" si="21"/>
        <v>21</v>
      </c>
      <c r="AB96" s="1139">
        <f t="shared" si="22"/>
        <v>0</v>
      </c>
      <c r="AC96" s="1139">
        <f t="shared" si="23"/>
        <v>19</v>
      </c>
      <c r="AD96" s="1140"/>
      <c r="AE96" s="1141">
        <f t="shared" si="24"/>
        <v>8057739</v>
      </c>
      <c r="AF96" s="1519">
        <f t="shared" si="25"/>
        <v>3.4434782051282053</v>
      </c>
      <c r="AG96" s="1224">
        <v>2340000</v>
      </c>
      <c r="AH96" s="1521">
        <f t="shared" si="26"/>
        <v>8057739.0000000009</v>
      </c>
      <c r="AI96" s="1142">
        <f t="shared" si="14"/>
        <v>79</v>
      </c>
      <c r="AJ96" s="1143">
        <f>IFERROR(INDEX('[17]CN BC'!$M$10:$M$276,MATCH(B96,'[17]CN BC'!$H$10:$H$276,0)),"")</f>
        <v>0</v>
      </c>
      <c r="AK96" s="1144" t="str">
        <f>VLOOKUP(B96,TH.T4!B99:AC429,28,FALSE)</f>
        <v>KT</v>
      </c>
      <c r="AL96" s="1130"/>
      <c r="AM96" s="1146"/>
      <c r="AN96" s="1147"/>
      <c r="AO96" s="1146"/>
      <c r="AP96" s="1146"/>
      <c r="AQ96" s="1146"/>
      <c r="AR96" s="1146"/>
      <c r="AS96" s="1146"/>
      <c r="AT96" s="1146"/>
    </row>
    <row r="97" spans="1:46" s="1148" customFormat="1" ht="26.25" customHeight="1">
      <c r="A97" s="1132">
        <f>_xlfn.AGGREGATE(4,7,A$17:A96)+1</f>
        <v>80</v>
      </c>
      <c r="B97" s="1133" t="s">
        <v>1473</v>
      </c>
      <c r="C97" s="1153" t="s">
        <v>1683</v>
      </c>
      <c r="D97" s="1166" t="s">
        <v>1583</v>
      </c>
      <c r="E97" s="1058" t="str">
        <f>VLOOKUP(B97,TH.T6!B102:J432,9,FALSE)</f>
        <v>Phó Trưởng khoa Kinh tế</v>
      </c>
      <c r="F97" s="1160">
        <v>3.66</v>
      </c>
      <c r="G97" s="1137"/>
      <c r="H97" s="1392">
        <f t="shared" si="15"/>
        <v>0</v>
      </c>
      <c r="I97" s="1138">
        <v>0.35</v>
      </c>
      <c r="J97" s="1160">
        <v>3.66</v>
      </c>
      <c r="K97" s="1137"/>
      <c r="L97" s="1392">
        <f t="shared" si="16"/>
        <v>0</v>
      </c>
      <c r="M97" s="1138">
        <v>0.35</v>
      </c>
      <c r="N97" s="1160">
        <v>3.66</v>
      </c>
      <c r="O97" s="1137"/>
      <c r="P97" s="1393">
        <f t="shared" si="17"/>
        <v>0</v>
      </c>
      <c r="Q97" s="1138">
        <v>0.35</v>
      </c>
      <c r="R97" s="1138" t="str">
        <f>IFERROR(INDEX('[18]Gui chi Quynh'!$E$11:$E$397,MATCH(B97,'[18]Gui chi Quynh'!$B$11:$B$397,0)),"")</f>
        <v>A3</v>
      </c>
      <c r="S97" s="1138">
        <f t="shared" si="18"/>
        <v>0.6</v>
      </c>
      <c r="T97" s="1138" t="str">
        <f>VLOOKUP(B97,'[19]Gui chi Quynh'!$B$11:$E$397,4,FALSE)</f>
        <v>A4</v>
      </c>
      <c r="U97" s="1138">
        <f t="shared" si="19"/>
        <v>0.5</v>
      </c>
      <c r="V97" s="1138" t="str">
        <f>VLOOKUP(B97,'[20]Gui chi Quynh'!$B$11:$E$396,4,FALSE)</f>
        <v>A1</v>
      </c>
      <c r="W97" s="1138">
        <f t="shared" si="20"/>
        <v>0.8</v>
      </c>
      <c r="X97" s="1138">
        <f>IFERROR(INDEX('[21]CN BC'!$J$10:$J$275,MATCH(B97,'[21]CN BC'!$H$10:$H$275,0)),"")</f>
        <v>23</v>
      </c>
      <c r="Y97" s="1138">
        <f>IFERROR(INDEX('[22]CN BC'!$J$10:$J$274,MATCH(B97,'[22]CN BC'!$H$10:$H$274,0)),"")</f>
        <v>13</v>
      </c>
      <c r="Z97" s="1138">
        <f>VLOOKUP(B97,'[23]CN BC'!$H$10:$J$275,3,FALSE)</f>
        <v>19</v>
      </c>
      <c r="AA97" s="1139">
        <f t="shared" si="21"/>
        <v>23</v>
      </c>
      <c r="AB97" s="1139">
        <f t="shared" si="22"/>
        <v>13</v>
      </c>
      <c r="AC97" s="1139">
        <f t="shared" si="23"/>
        <v>19</v>
      </c>
      <c r="AD97" s="1140"/>
      <c r="AE97" s="1141">
        <f t="shared" si="24"/>
        <v>15909128</v>
      </c>
      <c r="AF97" s="1519">
        <f t="shared" si="25"/>
        <v>6.7987726495726495</v>
      </c>
      <c r="AG97" s="1224">
        <v>2340000</v>
      </c>
      <c r="AH97" s="1521">
        <f t="shared" si="26"/>
        <v>15909128</v>
      </c>
      <c r="AI97" s="1142">
        <f t="shared" si="14"/>
        <v>80</v>
      </c>
      <c r="AJ97" s="1143">
        <f>IFERROR(INDEX('[17]CN BC'!$M$10:$M$276,MATCH(B97,'[17]CN BC'!$H$10:$H$276,0)),"")</f>
        <v>0</v>
      </c>
      <c r="AK97" s="1144" t="str">
        <f>VLOOKUP(B97,TH.T4!B100:AC430,28,FALSE)</f>
        <v>KT</v>
      </c>
      <c r="AL97" s="1171"/>
      <c r="AN97" s="1158"/>
    </row>
    <row r="98" spans="1:46" s="1148" customFormat="1" ht="26.25" customHeight="1">
      <c r="A98" s="1132">
        <f>_xlfn.AGGREGATE(4,7,A$17:A97)+1</f>
        <v>81</v>
      </c>
      <c r="B98" s="1199" t="s">
        <v>1928</v>
      </c>
      <c r="C98" s="1153" t="s">
        <v>1961</v>
      </c>
      <c r="D98" s="1181" t="s">
        <v>1934</v>
      </c>
      <c r="E98" s="1058" t="str">
        <f>VLOOKUP(B98,TH.T6!B103:J433,9,FALSE)</f>
        <v>Giảng viên khoa Du lịch - Khách sạn</v>
      </c>
      <c r="F98" s="1197">
        <v>2.34</v>
      </c>
      <c r="G98" s="1137"/>
      <c r="H98" s="1392">
        <f t="shared" si="15"/>
        <v>0</v>
      </c>
      <c r="I98" s="1138"/>
      <c r="J98" s="1197">
        <v>2.34</v>
      </c>
      <c r="K98" s="1137"/>
      <c r="L98" s="1392">
        <f t="shared" si="16"/>
        <v>0</v>
      </c>
      <c r="M98" s="1138"/>
      <c r="N98" s="1197">
        <v>2.34</v>
      </c>
      <c r="O98" s="1137"/>
      <c r="P98" s="1393">
        <f t="shared" si="17"/>
        <v>0</v>
      </c>
      <c r="Q98" s="1138"/>
      <c r="R98" s="1138" t="str">
        <f>IFERROR(INDEX('[18]Gui chi Quynh'!$E$11:$E$397,MATCH(B98,'[18]Gui chi Quynh'!$B$11:$B$397,0)),"")</f>
        <v>A3</v>
      </c>
      <c r="S98" s="1138">
        <f t="shared" si="18"/>
        <v>0.6</v>
      </c>
      <c r="T98" s="1138" t="str">
        <f>VLOOKUP(B98,'[19]Gui chi Quynh'!$B$11:$E$397,4,FALSE)</f>
        <v>A DN</v>
      </c>
      <c r="U98" s="1138">
        <f t="shared" si="19"/>
        <v>0</v>
      </c>
      <c r="V98" s="1138" t="str">
        <f>VLOOKUP(B98,'[20]Gui chi Quynh'!$B$11:$E$396,4,FALSE)</f>
        <v>A3</v>
      </c>
      <c r="W98" s="1138">
        <f t="shared" si="20"/>
        <v>0.6</v>
      </c>
      <c r="X98" s="1138">
        <f>IFERROR(INDEX('[21]CN BC'!$J$10:$J$275,MATCH(B98,'[21]CN BC'!$H$10:$H$275,0)),"")</f>
        <v>21</v>
      </c>
      <c r="Y98" s="1138">
        <f>IFERROR(INDEX('[22]CN BC'!$J$10:$J$274,MATCH(B98,'[22]CN BC'!$H$10:$H$274,0)),"")</f>
        <v>0</v>
      </c>
      <c r="Z98" s="1138">
        <f>VLOOKUP(B98,'[23]CN BC'!$H$10:$J$275,3,FALSE)</f>
        <v>19</v>
      </c>
      <c r="AA98" s="1139">
        <f t="shared" si="21"/>
        <v>21</v>
      </c>
      <c r="AB98" s="1139">
        <f t="shared" si="22"/>
        <v>0</v>
      </c>
      <c r="AC98" s="1139">
        <f t="shared" si="23"/>
        <v>19</v>
      </c>
      <c r="AD98" s="1140"/>
      <c r="AE98" s="1141">
        <f t="shared" si="24"/>
        <v>6285037</v>
      </c>
      <c r="AF98" s="1519">
        <f t="shared" si="25"/>
        <v>2.6859132478632479</v>
      </c>
      <c r="AG98" s="1224">
        <v>2340000</v>
      </c>
      <c r="AH98" s="1521">
        <f t="shared" si="26"/>
        <v>6285037</v>
      </c>
      <c r="AI98" s="1142">
        <f t="shared" si="14"/>
        <v>81</v>
      </c>
      <c r="AJ98" s="1143">
        <f>IFERROR(INDEX('[17]CN BC'!$M$10:$M$276,MATCH(B98,'[17]CN BC'!$H$10:$H$276,0)),"")</f>
        <v>0</v>
      </c>
      <c r="AK98" s="1144" t="str">
        <f>VLOOKUP(B98,TH.T4!B101:AC431,28,FALSE)</f>
        <v>KT</v>
      </c>
      <c r="AL98" s="1171"/>
      <c r="AN98" s="1158"/>
    </row>
    <row r="99" spans="1:46" s="1148" customFormat="1" ht="32.25" customHeight="1">
      <c r="A99" s="1132">
        <f>_xlfn.AGGREGATE(4,7,A$17:A98)+1</f>
        <v>82</v>
      </c>
      <c r="B99" s="1133" t="s">
        <v>1474</v>
      </c>
      <c r="C99" s="1153" t="s">
        <v>1684</v>
      </c>
      <c r="D99" s="1166" t="s">
        <v>1584</v>
      </c>
      <c r="E99" s="1058" t="str">
        <f>VLOOKUP(B99,TH.T6!B104:J434,9,FALSE)</f>
        <v>Giảng viên khoa Kinh tế</v>
      </c>
      <c r="F99" s="1160">
        <v>3.33</v>
      </c>
      <c r="G99" s="1137"/>
      <c r="H99" s="1392">
        <f t="shared" si="15"/>
        <v>0</v>
      </c>
      <c r="I99" s="1138"/>
      <c r="J99" s="1160">
        <v>3.33</v>
      </c>
      <c r="K99" s="1137"/>
      <c r="L99" s="1392">
        <f t="shared" si="16"/>
        <v>0</v>
      </c>
      <c r="M99" s="1138"/>
      <c r="N99" s="1160">
        <v>3.33</v>
      </c>
      <c r="O99" s="1137"/>
      <c r="P99" s="1393">
        <f t="shared" si="17"/>
        <v>0</v>
      </c>
      <c r="Q99" s="1138"/>
      <c r="R99" s="1138" t="str">
        <f>IFERROR(INDEX('[18]Gui chi Quynh'!$E$11:$E$397,MATCH(B99,'[18]Gui chi Quynh'!$B$11:$B$397,0)),"")</f>
        <v>A3</v>
      </c>
      <c r="S99" s="1138">
        <f t="shared" si="18"/>
        <v>0.6</v>
      </c>
      <c r="T99" s="1138" t="str">
        <f>VLOOKUP(B99,'[19]Gui chi Quynh'!$B$11:$E$397,4,FALSE)</f>
        <v>A DN</v>
      </c>
      <c r="U99" s="1138">
        <f t="shared" si="19"/>
        <v>0</v>
      </c>
      <c r="V99" s="1138" t="str">
        <f>VLOOKUP(B99,'[20]Gui chi Quynh'!$B$11:$E$396,4,FALSE)</f>
        <v>A3</v>
      </c>
      <c r="W99" s="1138">
        <f t="shared" si="20"/>
        <v>0.6</v>
      </c>
      <c r="X99" s="1138">
        <f>IFERROR(INDEX('[21]CN BC'!$J$10:$J$275,MATCH(B99,'[21]CN BC'!$H$10:$H$275,0)),"")</f>
        <v>23</v>
      </c>
      <c r="Y99" s="1138">
        <f>IFERROR(INDEX('[22]CN BC'!$J$10:$J$274,MATCH(B99,'[22]CN BC'!$H$10:$H$274,0)),"")</f>
        <v>0</v>
      </c>
      <c r="Z99" s="1138">
        <f>VLOOKUP(B99,'[23]CN BC'!$H$10:$J$275,3,FALSE)</f>
        <v>19</v>
      </c>
      <c r="AA99" s="1139">
        <f t="shared" si="21"/>
        <v>23</v>
      </c>
      <c r="AB99" s="1139">
        <f t="shared" si="22"/>
        <v>0</v>
      </c>
      <c r="AC99" s="1139">
        <f t="shared" si="23"/>
        <v>19</v>
      </c>
      <c r="AD99" s="1140"/>
      <c r="AE99" s="1141">
        <f t="shared" si="24"/>
        <v>9350640</v>
      </c>
      <c r="AF99" s="1519">
        <f t="shared" si="25"/>
        <v>3.996</v>
      </c>
      <c r="AG99" s="1224">
        <v>2340000</v>
      </c>
      <c r="AH99" s="1521">
        <f t="shared" si="26"/>
        <v>9350640</v>
      </c>
      <c r="AI99" s="1142">
        <f t="shared" si="14"/>
        <v>82</v>
      </c>
      <c r="AJ99" s="1143">
        <f>IFERROR(INDEX('[17]CN BC'!$M$10:$M$276,MATCH(B99,'[17]CN BC'!$H$10:$H$276,0)),"")</f>
        <v>0</v>
      </c>
      <c r="AK99" s="1144" t="str">
        <f>VLOOKUP(B99,TH.T4!B102:AC432,28,FALSE)</f>
        <v>KT</v>
      </c>
      <c r="AL99" s="1171"/>
      <c r="AN99" s="1158"/>
    </row>
    <row r="100" spans="1:46" s="1148" customFormat="1" ht="28.5" customHeight="1">
      <c r="A100" s="1132">
        <f>_xlfn.AGGREGATE(4,7,A$17:A99)+1</f>
        <v>83</v>
      </c>
      <c r="B100" s="1133" t="s">
        <v>1571</v>
      </c>
      <c r="C100" s="1153" t="s">
        <v>1685</v>
      </c>
      <c r="D100" s="1196" t="s">
        <v>1572</v>
      </c>
      <c r="E100" s="1058" t="str">
        <f>VLOOKUP(B100,TH.T6!B105:J435,9,FALSE)</f>
        <v>Giảng viên khoa Kinh tế</v>
      </c>
      <c r="F100" s="1197">
        <v>3</v>
      </c>
      <c r="G100" s="1137"/>
      <c r="H100" s="1392">
        <f t="shared" si="15"/>
        <v>0</v>
      </c>
      <c r="I100" s="1138"/>
      <c r="J100" s="1197">
        <v>3</v>
      </c>
      <c r="K100" s="1137"/>
      <c r="L100" s="1392">
        <f t="shared" si="16"/>
        <v>0</v>
      </c>
      <c r="M100" s="1138"/>
      <c r="N100" s="1197">
        <v>3</v>
      </c>
      <c r="O100" s="1137"/>
      <c r="P100" s="1393">
        <f t="shared" si="17"/>
        <v>0</v>
      </c>
      <c r="Q100" s="1138"/>
      <c r="R100" s="1138" t="str">
        <f>IFERROR(INDEX('[18]Gui chi Quynh'!$E$11:$E$397,MATCH(B100,'[18]Gui chi Quynh'!$B$11:$B$397,0)),"")</f>
        <v>A3</v>
      </c>
      <c r="S100" s="1138">
        <f t="shared" si="18"/>
        <v>0.6</v>
      </c>
      <c r="T100" s="1138" t="str">
        <f>VLOOKUP(B100,'[19]Gui chi Quynh'!$B$11:$E$397,4,FALSE)</f>
        <v>A DN</v>
      </c>
      <c r="U100" s="1138">
        <f t="shared" si="19"/>
        <v>0</v>
      </c>
      <c r="V100" s="1138" t="str">
        <f>VLOOKUP(B100,'[20]Gui chi Quynh'!$B$11:$E$396,4,FALSE)</f>
        <v>A3</v>
      </c>
      <c r="W100" s="1138">
        <f t="shared" si="20"/>
        <v>0.6</v>
      </c>
      <c r="X100" s="1138">
        <f>IFERROR(INDEX('[21]CN BC'!$J$10:$J$275,MATCH(B100,'[21]CN BC'!$H$10:$H$275,0)),"")</f>
        <v>21</v>
      </c>
      <c r="Y100" s="1138">
        <f>IFERROR(INDEX('[22]CN BC'!$J$10:$J$274,MATCH(B100,'[22]CN BC'!$H$10:$H$274,0)),"")</f>
        <v>0</v>
      </c>
      <c r="Z100" s="1138">
        <f>VLOOKUP(B100,'[23]CN BC'!$H$10:$J$275,3,FALSE)</f>
        <v>19</v>
      </c>
      <c r="AA100" s="1139">
        <f t="shared" si="21"/>
        <v>21</v>
      </c>
      <c r="AB100" s="1139">
        <f t="shared" si="22"/>
        <v>0</v>
      </c>
      <c r="AC100" s="1139">
        <f t="shared" si="23"/>
        <v>19</v>
      </c>
      <c r="AD100" s="1140"/>
      <c r="AE100" s="1141">
        <f t="shared" si="24"/>
        <v>8057739</v>
      </c>
      <c r="AF100" s="1519">
        <f t="shared" si="25"/>
        <v>3.4434782051282053</v>
      </c>
      <c r="AG100" s="1224">
        <v>2340000</v>
      </c>
      <c r="AH100" s="1521">
        <f t="shared" si="26"/>
        <v>8057739.0000000009</v>
      </c>
      <c r="AI100" s="1142">
        <f t="shared" si="14"/>
        <v>83</v>
      </c>
      <c r="AJ100" s="1143">
        <f>IFERROR(INDEX('[17]CN BC'!$M$10:$M$276,MATCH(B100,'[17]CN BC'!$H$10:$H$276,0)),"")</f>
        <v>0</v>
      </c>
      <c r="AK100" s="1144" t="str">
        <f>VLOOKUP(B100,TH.T4!B103:AC433,28,FALSE)</f>
        <v>KT</v>
      </c>
      <c r="AL100" s="1130"/>
      <c r="AM100" s="1146"/>
      <c r="AN100" s="1147"/>
      <c r="AO100" s="1146"/>
      <c r="AP100" s="1146"/>
      <c r="AQ100" s="1146"/>
      <c r="AR100" s="1146"/>
      <c r="AS100" s="1146"/>
      <c r="AT100" s="1146"/>
    </row>
    <row r="101" spans="1:46" s="1148" customFormat="1" ht="28.5" customHeight="1">
      <c r="A101" s="1132">
        <f>_xlfn.AGGREGATE(4,7,A$17:A100)+1</f>
        <v>84</v>
      </c>
      <c r="B101" s="1133" t="s">
        <v>1475</v>
      </c>
      <c r="C101" s="1153" t="s">
        <v>1686</v>
      </c>
      <c r="D101" s="1166" t="s">
        <v>1585</v>
      </c>
      <c r="E101" s="1058" t="str">
        <f>VLOOKUP(B101,TH.T6!B106:J436,9,FALSE)</f>
        <v>Giảng viên khoa Kinh tế</v>
      </c>
      <c r="F101" s="1160">
        <v>3.66</v>
      </c>
      <c r="G101" s="1137"/>
      <c r="H101" s="1392">
        <f t="shared" si="15"/>
        <v>0</v>
      </c>
      <c r="I101" s="1138"/>
      <c r="J101" s="1160">
        <v>3.66</v>
      </c>
      <c r="K101" s="1137"/>
      <c r="L101" s="1392">
        <f t="shared" si="16"/>
        <v>0</v>
      </c>
      <c r="M101" s="1138"/>
      <c r="N101" s="1160">
        <v>3.66</v>
      </c>
      <c r="O101" s="1137"/>
      <c r="P101" s="1393">
        <f t="shared" si="17"/>
        <v>0</v>
      </c>
      <c r="Q101" s="1138"/>
      <c r="R101" s="1138" t="str">
        <f>IFERROR(INDEX('[18]Gui chi Quynh'!$E$11:$E$397,MATCH(B101,'[18]Gui chi Quynh'!$B$11:$B$397,0)),"")</f>
        <v>A3</v>
      </c>
      <c r="S101" s="1138">
        <f t="shared" si="18"/>
        <v>0.6</v>
      </c>
      <c r="T101" s="1138" t="str">
        <f>VLOOKUP(B101,'[19]Gui chi Quynh'!$B$11:$E$397,4,FALSE)</f>
        <v>A DN</v>
      </c>
      <c r="U101" s="1138">
        <f t="shared" si="19"/>
        <v>0</v>
      </c>
      <c r="V101" s="1138" t="str">
        <f>VLOOKUP(B101,'[20]Gui chi Quynh'!$B$11:$E$396,4,FALSE)</f>
        <v>A2</v>
      </c>
      <c r="W101" s="1138">
        <f t="shared" si="20"/>
        <v>0.7</v>
      </c>
      <c r="X101" s="1138">
        <f>IFERROR(INDEX('[21]CN BC'!$J$10:$J$275,MATCH(B101,'[21]CN BC'!$H$10:$H$275,0)),"")</f>
        <v>23</v>
      </c>
      <c r="Y101" s="1138">
        <f>IFERROR(INDEX('[22]CN BC'!$J$10:$J$274,MATCH(B101,'[22]CN BC'!$H$10:$H$274,0)),"")</f>
        <v>0</v>
      </c>
      <c r="Z101" s="1138">
        <f>VLOOKUP(B101,'[23]CN BC'!$H$10:$J$275,3,FALSE)</f>
        <v>19</v>
      </c>
      <c r="AA101" s="1139">
        <f t="shared" si="21"/>
        <v>23</v>
      </c>
      <c r="AB101" s="1139">
        <f t="shared" si="22"/>
        <v>0</v>
      </c>
      <c r="AC101" s="1139">
        <f t="shared" si="23"/>
        <v>19</v>
      </c>
      <c r="AD101" s="1140"/>
      <c r="AE101" s="1141">
        <f t="shared" si="24"/>
        <v>11133720</v>
      </c>
      <c r="AF101" s="1519">
        <f t="shared" si="25"/>
        <v>4.758</v>
      </c>
      <c r="AG101" s="1224">
        <v>2340000</v>
      </c>
      <c r="AH101" s="1521">
        <f t="shared" si="26"/>
        <v>11133720</v>
      </c>
      <c r="AI101" s="1142">
        <f t="shared" si="14"/>
        <v>84</v>
      </c>
      <c r="AJ101" s="1143">
        <f>IFERROR(INDEX('[17]CN BC'!$M$10:$M$276,MATCH(B101,'[17]CN BC'!$H$10:$H$276,0)),"")</f>
        <v>0</v>
      </c>
      <c r="AK101" s="1144" t="str">
        <f>VLOOKUP(B101,TH.T4!B104:AC434,28,FALSE)</f>
        <v>KT</v>
      </c>
      <c r="AL101" s="1167"/>
      <c r="AM101" s="1146"/>
      <c r="AN101" s="1147"/>
    </row>
    <row r="102" spans="1:46" s="1148" customFormat="1" ht="28.5" customHeight="1">
      <c r="A102" s="1132">
        <f>_xlfn.AGGREGATE(4,7,A$17:A101)+1</f>
        <v>85</v>
      </c>
      <c r="B102" s="1133" t="s">
        <v>1476</v>
      </c>
      <c r="C102" s="1153" t="s">
        <v>1687</v>
      </c>
      <c r="D102" s="1166" t="s">
        <v>1586</v>
      </c>
      <c r="E102" s="1058" t="str">
        <f>VLOOKUP(B102,TH.T6!B107:J437,9,FALSE)</f>
        <v>Giảng viên khoa Du lịch - Khách sạn</v>
      </c>
      <c r="F102" s="1160">
        <v>3</v>
      </c>
      <c r="G102" s="1137"/>
      <c r="H102" s="1392">
        <f t="shared" si="15"/>
        <v>0</v>
      </c>
      <c r="I102" s="1138"/>
      <c r="J102" s="1160">
        <v>3</v>
      </c>
      <c r="K102" s="1137"/>
      <c r="L102" s="1392">
        <f t="shared" si="16"/>
        <v>0</v>
      </c>
      <c r="M102" s="1138"/>
      <c r="N102" s="1160">
        <v>3</v>
      </c>
      <c r="O102" s="1137"/>
      <c r="P102" s="1393">
        <f t="shared" si="17"/>
        <v>0</v>
      </c>
      <c r="Q102" s="1138"/>
      <c r="R102" s="1138" t="str">
        <f>IFERROR(INDEX('[18]Gui chi Quynh'!$E$11:$E$397,MATCH(B102,'[18]Gui chi Quynh'!$B$11:$B$397,0)),"")</f>
        <v>A3</v>
      </c>
      <c r="S102" s="1138">
        <f t="shared" si="18"/>
        <v>0.6</v>
      </c>
      <c r="T102" s="1138" t="str">
        <f>VLOOKUP(B102,'[19]Gui chi Quynh'!$B$11:$E$397,4,FALSE)</f>
        <v>A DN</v>
      </c>
      <c r="U102" s="1138">
        <f t="shared" si="19"/>
        <v>0</v>
      </c>
      <c r="V102" s="1138" t="str">
        <f>VLOOKUP(B102,'[20]Gui chi Quynh'!$B$11:$E$396,4,FALSE)</f>
        <v>A4</v>
      </c>
      <c r="W102" s="1138">
        <f t="shared" si="20"/>
        <v>0.5</v>
      </c>
      <c r="X102" s="1138">
        <f>IFERROR(INDEX('[21]CN BC'!$J$10:$J$275,MATCH(B102,'[21]CN BC'!$H$10:$H$275,0)),"")</f>
        <v>23</v>
      </c>
      <c r="Y102" s="1138">
        <f>IFERROR(INDEX('[22]CN BC'!$J$10:$J$274,MATCH(B102,'[22]CN BC'!$H$10:$H$274,0)),"")</f>
        <v>0</v>
      </c>
      <c r="Z102" s="1138">
        <f>VLOOKUP(B102,'[23]CN BC'!$H$10:$J$275,3,FALSE)</f>
        <v>19</v>
      </c>
      <c r="AA102" s="1139">
        <f t="shared" si="21"/>
        <v>23</v>
      </c>
      <c r="AB102" s="1139">
        <f t="shared" si="22"/>
        <v>0</v>
      </c>
      <c r="AC102" s="1139">
        <f t="shared" si="23"/>
        <v>19</v>
      </c>
      <c r="AD102" s="1140"/>
      <c r="AE102" s="1141">
        <f t="shared" si="24"/>
        <v>7722000</v>
      </c>
      <c r="AF102" s="1519">
        <f t="shared" si="25"/>
        <v>3.3</v>
      </c>
      <c r="AG102" s="1224">
        <v>2340000</v>
      </c>
      <c r="AH102" s="1521">
        <f t="shared" si="26"/>
        <v>7722000</v>
      </c>
      <c r="AI102" s="1142">
        <f t="shared" si="14"/>
        <v>85</v>
      </c>
      <c r="AJ102" s="1143">
        <f>IFERROR(INDEX('[17]CN BC'!$M$10:$M$276,MATCH(B102,'[17]CN BC'!$H$10:$H$276,0)),"")</f>
        <v>0</v>
      </c>
      <c r="AK102" s="1144" t="s">
        <v>2236</v>
      </c>
      <c r="AL102" s="1130"/>
      <c r="AM102" s="1146"/>
      <c r="AN102" s="1147"/>
      <c r="AO102" s="1146"/>
      <c r="AP102" s="1146"/>
      <c r="AQ102" s="1146"/>
      <c r="AR102" s="1146"/>
      <c r="AS102" s="1146"/>
      <c r="AT102" s="1146"/>
    </row>
    <row r="103" spans="1:46" s="1148" customFormat="1" ht="28.5" customHeight="1">
      <c r="A103" s="1132">
        <f>_xlfn.AGGREGATE(4,7,A$17:A102)+1</f>
        <v>86</v>
      </c>
      <c r="B103" s="1133" t="s">
        <v>1477</v>
      </c>
      <c r="C103" s="1153" t="s">
        <v>1688</v>
      </c>
      <c r="D103" s="1166" t="s">
        <v>1587</v>
      </c>
      <c r="E103" s="1058" t="str">
        <f>VLOOKUP(B103,TH.T6!B108:J438,9,FALSE)</f>
        <v>Giảng viên khoa Du lịch - Khách sạn</v>
      </c>
      <c r="F103" s="1160">
        <v>3.66</v>
      </c>
      <c r="G103" s="1137"/>
      <c r="H103" s="1392">
        <f t="shared" si="15"/>
        <v>0</v>
      </c>
      <c r="I103" s="1138">
        <v>0.25</v>
      </c>
      <c r="J103" s="1160">
        <v>3.66</v>
      </c>
      <c r="K103" s="1137"/>
      <c r="L103" s="1392">
        <f t="shared" si="16"/>
        <v>0</v>
      </c>
      <c r="M103" s="1138">
        <v>0.25</v>
      </c>
      <c r="N103" s="1160">
        <v>3.66</v>
      </c>
      <c r="O103" s="1137"/>
      <c r="P103" s="1393">
        <f t="shared" si="17"/>
        <v>0</v>
      </c>
      <c r="Q103" s="1138">
        <v>0.25</v>
      </c>
      <c r="R103" s="1138" t="str">
        <f>IFERROR(INDEX('[18]Gui chi Quynh'!$E$11:$E$397,MATCH(B103,'[18]Gui chi Quynh'!$B$11:$B$397,0)),"")</f>
        <v>A1</v>
      </c>
      <c r="S103" s="1138">
        <f t="shared" si="18"/>
        <v>0.8</v>
      </c>
      <c r="T103" s="1138" t="str">
        <f>VLOOKUP(B103,'[19]Gui chi Quynh'!$B$11:$E$397,4,FALSE)</f>
        <v>A DN</v>
      </c>
      <c r="U103" s="1138">
        <f t="shared" si="19"/>
        <v>0</v>
      </c>
      <c r="V103" s="1138" t="str">
        <f>VLOOKUP(B103,'[20]Gui chi Quynh'!$B$11:$E$396,4,FALSE)</f>
        <v>A1</v>
      </c>
      <c r="W103" s="1138">
        <f t="shared" si="20"/>
        <v>0.8</v>
      </c>
      <c r="X103" s="1138">
        <f>IFERROR(INDEX('[21]CN BC'!$J$10:$J$275,MATCH(B103,'[21]CN BC'!$H$10:$H$275,0)),"")</f>
        <v>23</v>
      </c>
      <c r="Y103" s="1138">
        <f>IFERROR(INDEX('[22]CN BC'!$J$10:$J$274,MATCH(B103,'[22]CN BC'!$H$10:$H$274,0)),"")</f>
        <v>0</v>
      </c>
      <c r="Z103" s="1138">
        <f>VLOOKUP(B103,'[23]CN BC'!$H$10:$J$275,3,FALSE)</f>
        <v>19</v>
      </c>
      <c r="AA103" s="1139">
        <f t="shared" si="21"/>
        <v>23</v>
      </c>
      <c r="AB103" s="1139">
        <f t="shared" si="22"/>
        <v>0</v>
      </c>
      <c r="AC103" s="1139">
        <f t="shared" si="23"/>
        <v>19</v>
      </c>
      <c r="AD103" s="1140"/>
      <c r="AE103" s="1141">
        <f t="shared" si="24"/>
        <v>14639040</v>
      </c>
      <c r="AF103" s="1519">
        <f t="shared" si="25"/>
        <v>6.2560000000000002</v>
      </c>
      <c r="AG103" s="1224">
        <v>2340000</v>
      </c>
      <c r="AH103" s="1521">
        <f t="shared" si="26"/>
        <v>14639040</v>
      </c>
      <c r="AI103" s="1142">
        <f t="shared" si="14"/>
        <v>86</v>
      </c>
      <c r="AJ103" s="1143">
        <f>IFERROR(INDEX('[17]CN BC'!$M$10:$M$276,MATCH(B103,'[17]CN BC'!$H$10:$H$276,0)),"")</f>
        <v>0</v>
      </c>
      <c r="AK103" s="1144" t="str">
        <f>VLOOKUP(B103,TH.T4!B106:AC436,28,FALSE)</f>
        <v>DLKS</v>
      </c>
      <c r="AL103" s="1130"/>
      <c r="AM103" s="1146"/>
      <c r="AN103" s="1147"/>
      <c r="AO103" s="1146"/>
      <c r="AP103" s="1146"/>
      <c r="AQ103" s="1146"/>
      <c r="AR103" s="1146"/>
      <c r="AS103" s="1146"/>
      <c r="AT103" s="1146"/>
    </row>
    <row r="104" spans="1:46" s="1148" customFormat="1" ht="28.5" customHeight="1">
      <c r="A104" s="1132">
        <f>_xlfn.AGGREGATE(4,7,A$17:A103)+1</f>
        <v>87</v>
      </c>
      <c r="B104" s="1199" t="s">
        <v>1842</v>
      </c>
      <c r="C104" s="1153" t="s">
        <v>1962</v>
      </c>
      <c r="D104" s="1181" t="s">
        <v>1933</v>
      </c>
      <c r="E104" s="1058" t="str">
        <f>VLOOKUP(B104,TH.T6!B109:J439,9,FALSE)</f>
        <v>Giảng viên khoa Kinh tế</v>
      </c>
      <c r="F104" s="1160">
        <v>3</v>
      </c>
      <c r="G104" s="1137"/>
      <c r="H104" s="1392">
        <f t="shared" si="15"/>
        <v>0</v>
      </c>
      <c r="I104" s="1138"/>
      <c r="J104" s="1160">
        <v>3</v>
      </c>
      <c r="K104" s="1137"/>
      <c r="L104" s="1392">
        <f t="shared" si="16"/>
        <v>0</v>
      </c>
      <c r="M104" s="1138"/>
      <c r="N104" s="1160">
        <v>3</v>
      </c>
      <c r="O104" s="1137"/>
      <c r="P104" s="1393">
        <f t="shared" si="17"/>
        <v>0</v>
      </c>
      <c r="Q104" s="1138"/>
      <c r="R104" s="1138" t="str">
        <f>IFERROR(INDEX('[18]Gui chi Quynh'!$E$11:$E$397,MATCH(B104,'[18]Gui chi Quynh'!$B$11:$B$397,0)),"")</f>
        <v>A3</v>
      </c>
      <c r="S104" s="1138">
        <f t="shared" si="18"/>
        <v>0.6</v>
      </c>
      <c r="T104" s="1138" t="str">
        <f>VLOOKUP(B104,'[19]Gui chi Quynh'!$B$11:$E$397,4,FALSE)</f>
        <v>A DN</v>
      </c>
      <c r="U104" s="1138">
        <f t="shared" si="19"/>
        <v>0</v>
      </c>
      <c r="V104" s="1138" t="str">
        <f>VLOOKUP(B104,'[20]Gui chi Quynh'!$B$11:$E$396,4,FALSE)</f>
        <v>A1</v>
      </c>
      <c r="W104" s="1138">
        <f t="shared" si="20"/>
        <v>0.8</v>
      </c>
      <c r="X104" s="1138">
        <f>IFERROR(INDEX('[21]CN BC'!$J$10:$J$275,MATCH(B104,'[21]CN BC'!$H$10:$H$275,0)),"")</f>
        <v>23</v>
      </c>
      <c r="Y104" s="1138">
        <f>IFERROR(INDEX('[22]CN BC'!$J$10:$J$274,MATCH(B104,'[22]CN BC'!$H$10:$H$274,0)),"")</f>
        <v>0</v>
      </c>
      <c r="Z104" s="1138">
        <f>VLOOKUP(B104,'[23]CN BC'!$H$10:$J$275,3,FALSE)</f>
        <v>19</v>
      </c>
      <c r="AA104" s="1139">
        <f t="shared" si="21"/>
        <v>23</v>
      </c>
      <c r="AB104" s="1139">
        <f t="shared" si="22"/>
        <v>0</v>
      </c>
      <c r="AC104" s="1139">
        <f t="shared" si="23"/>
        <v>19</v>
      </c>
      <c r="AD104" s="1140"/>
      <c r="AE104" s="1141">
        <f t="shared" si="24"/>
        <v>9828000</v>
      </c>
      <c r="AF104" s="1519">
        <f t="shared" si="25"/>
        <v>4.2</v>
      </c>
      <c r="AG104" s="1224">
        <v>2340000</v>
      </c>
      <c r="AH104" s="1521">
        <f t="shared" si="26"/>
        <v>9828000</v>
      </c>
      <c r="AI104" s="1142">
        <f t="shared" si="14"/>
        <v>87</v>
      </c>
      <c r="AJ104" s="1143" t="str">
        <f>IFERROR(INDEX('[17]CN BC'!$M$10:$M$276,MATCH(B104,'[17]CN BC'!$H$10:$H$276,0)),"")</f>
        <v>Hỗ trợ công việc phòng KHTC</v>
      </c>
      <c r="AK104" s="1144" t="str">
        <f>VLOOKUP(B104,TH.T4!B107:AC437,28,FALSE)</f>
        <v>KT</v>
      </c>
      <c r="AL104" s="1130"/>
      <c r="AM104" s="1146"/>
      <c r="AN104" s="1147"/>
      <c r="AO104" s="1146"/>
      <c r="AP104" s="1146"/>
      <c r="AQ104" s="1146"/>
      <c r="AR104" s="1146"/>
      <c r="AS104" s="1146"/>
      <c r="AT104" s="1146"/>
    </row>
    <row r="105" spans="1:46" s="1148" customFormat="1" ht="28.5" customHeight="1">
      <c r="A105" s="1132">
        <f>_xlfn.AGGREGATE(4,7,A$17:A104)+1</f>
        <v>88</v>
      </c>
      <c r="B105" s="1199" t="s">
        <v>1946</v>
      </c>
      <c r="C105" s="1132" t="s">
        <v>1950</v>
      </c>
      <c r="D105" s="1181" t="s">
        <v>1951</v>
      </c>
      <c r="E105" s="1058" t="str">
        <f>VLOOKUP(B105,TH.T6!B110:J440,9,FALSE)</f>
        <v>Trưởng khoa Du lịch - Khách sạn</v>
      </c>
      <c r="F105" s="1197">
        <v>2.67</v>
      </c>
      <c r="G105" s="1137"/>
      <c r="H105" s="1392">
        <f t="shared" si="15"/>
        <v>0</v>
      </c>
      <c r="I105" s="1138">
        <v>0.45</v>
      </c>
      <c r="J105" s="1197">
        <v>2.67</v>
      </c>
      <c r="K105" s="1137"/>
      <c r="L105" s="1392">
        <f t="shared" si="16"/>
        <v>0</v>
      </c>
      <c r="M105" s="1138">
        <v>0.45</v>
      </c>
      <c r="N105" s="1197">
        <v>2.67</v>
      </c>
      <c r="O105" s="1137"/>
      <c r="P105" s="1393">
        <f t="shared" si="17"/>
        <v>0</v>
      </c>
      <c r="Q105" s="1138">
        <v>0.45</v>
      </c>
      <c r="R105" s="1138" t="str">
        <f>IFERROR(INDEX('[18]Gui chi Quynh'!$E$11:$E$397,MATCH(B105,'[18]Gui chi Quynh'!$B$11:$B$397,0)),"")</f>
        <v>A1</v>
      </c>
      <c r="S105" s="1138">
        <f t="shared" si="18"/>
        <v>0.8</v>
      </c>
      <c r="T105" s="1138" t="str">
        <f>VLOOKUP(B105,'[19]Gui chi Quynh'!$B$11:$E$397,4,FALSE)</f>
        <v>A1</v>
      </c>
      <c r="U105" s="1138">
        <f t="shared" si="19"/>
        <v>0.8</v>
      </c>
      <c r="V105" s="1138" t="str">
        <f>VLOOKUP(B105,'[20]Gui chi Quynh'!$B$11:$E$396,4,FALSE)</f>
        <v>A1</v>
      </c>
      <c r="W105" s="1138">
        <f t="shared" si="20"/>
        <v>0.8</v>
      </c>
      <c r="X105" s="1138">
        <f>IFERROR(INDEX('[21]CN BC'!$J$10:$J$275,MATCH(B105,'[21]CN BC'!$H$10:$H$275,0)),"")</f>
        <v>21</v>
      </c>
      <c r="Y105" s="1138">
        <f>IFERROR(INDEX('[22]CN BC'!$J$10:$J$274,MATCH(B105,'[22]CN BC'!$H$10:$H$274,0)),"")</f>
        <v>22</v>
      </c>
      <c r="Z105" s="1138">
        <f>VLOOKUP(B105,'[23]CN BC'!$H$10:$J$275,3,FALSE)</f>
        <v>19</v>
      </c>
      <c r="AA105" s="1139">
        <f t="shared" si="21"/>
        <v>21</v>
      </c>
      <c r="AB105" s="1139">
        <f t="shared" si="22"/>
        <v>22</v>
      </c>
      <c r="AC105" s="1139">
        <f t="shared" si="23"/>
        <v>19</v>
      </c>
      <c r="AD105" s="1140"/>
      <c r="AE105" s="1141">
        <f t="shared" si="24"/>
        <v>17014038</v>
      </c>
      <c r="AF105" s="1519">
        <f t="shared" si="25"/>
        <v>7.2709564102564102</v>
      </c>
      <c r="AG105" s="1224">
        <v>2340000</v>
      </c>
      <c r="AH105" s="1521">
        <f t="shared" si="26"/>
        <v>17014038</v>
      </c>
      <c r="AI105" s="1142">
        <f t="shared" si="14"/>
        <v>88</v>
      </c>
      <c r="AJ105" s="1143">
        <f>IFERROR(INDEX('[17]CN BC'!$M$10:$M$276,MATCH(B105,'[17]CN BC'!$H$10:$H$276,0)),"")</f>
        <v>0</v>
      </c>
      <c r="AK105" s="1144" t="str">
        <f>VLOOKUP(B105,TH.T4!B108:AC438,28,FALSE)</f>
        <v>DLKS</v>
      </c>
      <c r="AL105" s="1130"/>
      <c r="AM105" s="1146"/>
      <c r="AN105" s="1147"/>
      <c r="AO105" s="1146"/>
      <c r="AP105" s="1146"/>
      <c r="AQ105" s="1146"/>
      <c r="AR105" s="1146"/>
      <c r="AS105" s="1146"/>
      <c r="AT105" s="1146"/>
    </row>
    <row r="106" spans="1:46" s="1148" customFormat="1" ht="36.75" customHeight="1">
      <c r="A106" s="1132">
        <f>_xlfn.AGGREGATE(4,7,A$17:A105)+1</f>
        <v>89</v>
      </c>
      <c r="B106" s="1201" t="s">
        <v>1947</v>
      </c>
      <c r="C106" s="1200" t="s">
        <v>1952</v>
      </c>
      <c r="D106" s="1202" t="s">
        <v>1953</v>
      </c>
      <c r="E106" s="490" t="str">
        <f>VLOOKUP(B106,TH.T6!B111:J441,9,FALSE)</f>
        <v>Giảng viên khoa Du lịch - Khách sạn</v>
      </c>
      <c r="F106" s="1203">
        <v>2.34</v>
      </c>
      <c r="G106" s="1204"/>
      <c r="H106" s="1397">
        <f t="shared" si="15"/>
        <v>0</v>
      </c>
      <c r="I106" s="1205"/>
      <c r="J106" s="1203">
        <v>2.34</v>
      </c>
      <c r="K106" s="1204"/>
      <c r="L106" s="1397">
        <f t="shared" si="16"/>
        <v>0</v>
      </c>
      <c r="M106" s="1205"/>
      <c r="N106" s="1203">
        <v>2.34</v>
      </c>
      <c r="O106" s="1204"/>
      <c r="P106" s="1398">
        <f t="shared" si="17"/>
        <v>0</v>
      </c>
      <c r="Q106" s="1205"/>
      <c r="R106" s="1205" t="str">
        <f>IFERROR(INDEX('[18]Gui chi Quynh'!$E$11:$E$397,MATCH(B106,'[18]Gui chi Quynh'!$B$11:$B$397,0)),"")</f>
        <v>A DN</v>
      </c>
      <c r="S106" s="1205">
        <f t="shared" si="18"/>
        <v>0</v>
      </c>
      <c r="T106" s="1205" t="str">
        <f>VLOOKUP(B106,'[19]Gui chi Quynh'!$B$11:$E$397,4,FALSE)</f>
        <v>A DN</v>
      </c>
      <c r="U106" s="1205">
        <f t="shared" si="19"/>
        <v>0</v>
      </c>
      <c r="V106" s="1205" t="str">
        <f>VLOOKUP(B106,'[20]Gui chi Quynh'!$B$11:$E$396,4,FALSE)</f>
        <v>A DN</v>
      </c>
      <c r="W106" s="1205">
        <f t="shared" si="20"/>
        <v>0</v>
      </c>
      <c r="X106" s="1205">
        <f>IFERROR(INDEX('[21]CN BC'!$J$10:$J$275,MATCH(B106,'[21]CN BC'!$H$10:$H$275,0)),"")</f>
        <v>0</v>
      </c>
      <c r="Y106" s="1205">
        <f>IFERROR(INDEX('[22]CN BC'!$J$10:$J$274,MATCH(B106,'[22]CN BC'!$H$10:$H$274,0)),"")</f>
        <v>0</v>
      </c>
      <c r="Z106" s="1205">
        <f>VLOOKUP(B106,'[23]CN BC'!$H$10:$J$275,3,FALSE)</f>
        <v>0</v>
      </c>
      <c r="AA106" s="1338">
        <f t="shared" si="21"/>
        <v>0</v>
      </c>
      <c r="AB106" s="1338">
        <f t="shared" si="22"/>
        <v>0</v>
      </c>
      <c r="AC106" s="1338">
        <f t="shared" si="23"/>
        <v>0</v>
      </c>
      <c r="AD106" s="1206"/>
      <c r="AE106" s="1339">
        <f t="shared" si="24"/>
        <v>0</v>
      </c>
      <c r="AF106" s="1568">
        <f t="shared" si="25"/>
        <v>0</v>
      </c>
      <c r="AG106" s="1512">
        <v>2340000</v>
      </c>
      <c r="AH106" s="1569">
        <f t="shared" si="26"/>
        <v>0</v>
      </c>
      <c r="AI106" s="1207">
        <f t="shared" si="14"/>
        <v>89</v>
      </c>
      <c r="AJ106" s="1340" t="str">
        <f>IFERROR(INDEX('[17]CN BC'!$M$10:$M$276,MATCH(B106,'[17]CN BC'!$H$10:$H$276,0)),"")</f>
        <v>Đi du học nước ngoài từ 28/2/2023</v>
      </c>
      <c r="AK106" s="1144" t="str">
        <f>VLOOKUP(B106,TH.T4!B109:AC439,28,FALSE)</f>
        <v>DLKS</v>
      </c>
      <c r="AL106" s="1130"/>
      <c r="AM106" s="1146"/>
      <c r="AN106" s="1147"/>
      <c r="AO106" s="1146"/>
      <c r="AP106" s="1146"/>
      <c r="AQ106" s="1146"/>
      <c r="AR106" s="1146"/>
      <c r="AS106" s="1146"/>
      <c r="AT106" s="1146"/>
    </row>
    <row r="107" spans="1:46" s="1148" customFormat="1" ht="28.5" customHeight="1">
      <c r="A107" s="1132">
        <f>_xlfn.AGGREGATE(4,7,A$17:A106)+1</f>
        <v>90</v>
      </c>
      <c r="B107" s="1199" t="s">
        <v>1997</v>
      </c>
      <c r="C107" s="1132"/>
      <c r="D107" s="1181"/>
      <c r="E107" s="1058" t="str">
        <f>VLOOKUP(B107,TH.T6!B112:J442,9,FALSE)</f>
        <v>Giảng viên khoa Kinh tế</v>
      </c>
      <c r="F107" s="1197">
        <v>2.34</v>
      </c>
      <c r="G107" s="1137"/>
      <c r="H107" s="1392">
        <f t="shared" si="15"/>
        <v>0</v>
      </c>
      <c r="I107" s="1138"/>
      <c r="J107" s="1197">
        <v>2.34</v>
      </c>
      <c r="K107" s="1137"/>
      <c r="L107" s="1392">
        <f t="shared" si="16"/>
        <v>0</v>
      </c>
      <c r="M107" s="1138"/>
      <c r="N107" s="1197">
        <v>2.34</v>
      </c>
      <c r="O107" s="1137"/>
      <c r="P107" s="1393">
        <f t="shared" si="17"/>
        <v>0</v>
      </c>
      <c r="Q107" s="1138"/>
      <c r="R107" s="1138" t="str">
        <f>IFERROR(INDEX('[18]Gui chi Quynh'!$E$11:$E$397,MATCH(B107,'[18]Gui chi Quynh'!$B$11:$B$397,0)),"")</f>
        <v>A3</v>
      </c>
      <c r="S107" s="1138">
        <f t="shared" si="18"/>
        <v>0.6</v>
      </c>
      <c r="T107" s="1138" t="str">
        <f>VLOOKUP(B107,'[19]Gui chi Quynh'!$B$11:$E$397,4,FALSE)</f>
        <v>A DN</v>
      </c>
      <c r="U107" s="1138">
        <f t="shared" si="19"/>
        <v>0</v>
      </c>
      <c r="V107" s="1138" t="str">
        <f>VLOOKUP(B107,'[20]Gui chi Quynh'!$B$11:$E$396,4,FALSE)</f>
        <v>A2</v>
      </c>
      <c r="W107" s="1138">
        <f t="shared" si="20"/>
        <v>0.7</v>
      </c>
      <c r="X107" s="1138">
        <f>IFERROR(INDEX('[21]CN BC'!$J$10:$J$275,MATCH(B107,'[21]CN BC'!$H$10:$H$275,0)),"")</f>
        <v>23</v>
      </c>
      <c r="Y107" s="1138">
        <f>IFERROR(INDEX('[22]CN BC'!$J$10:$J$274,MATCH(B107,'[22]CN BC'!$H$10:$H$274,0)),"")</f>
        <v>0</v>
      </c>
      <c r="Z107" s="1138">
        <f>VLOOKUP(B107,'[23]CN BC'!$H$10:$J$275,3,FALSE)</f>
        <v>19</v>
      </c>
      <c r="AA107" s="1139">
        <f t="shared" si="21"/>
        <v>23</v>
      </c>
      <c r="AB107" s="1139">
        <f t="shared" si="22"/>
        <v>0</v>
      </c>
      <c r="AC107" s="1139">
        <f t="shared" si="23"/>
        <v>19</v>
      </c>
      <c r="AD107" s="1140"/>
      <c r="AE107" s="1141">
        <f t="shared" si="24"/>
        <v>7118280</v>
      </c>
      <c r="AF107" s="1519">
        <f t="shared" si="25"/>
        <v>3.0419999999999998</v>
      </c>
      <c r="AG107" s="1224">
        <v>2340000</v>
      </c>
      <c r="AH107" s="1521">
        <f t="shared" si="26"/>
        <v>7118280</v>
      </c>
      <c r="AI107" s="1142">
        <f t="shared" si="14"/>
        <v>90</v>
      </c>
      <c r="AJ107" s="1143">
        <f>IFERROR(INDEX('[17]CN BC'!$M$10:$M$276,MATCH(B107,'[17]CN BC'!$H$10:$H$276,0)),"")</f>
        <v>0</v>
      </c>
      <c r="AK107" s="1144" t="str">
        <f>VLOOKUP(B107,TH.T4!B110:AC440,28,FALSE)</f>
        <v>KT</v>
      </c>
      <c r="AL107" s="1130"/>
      <c r="AM107" s="1146"/>
      <c r="AN107" s="1158"/>
    </row>
    <row r="108" spans="1:46" s="1148" customFormat="1" ht="28.5" customHeight="1">
      <c r="A108" s="1132">
        <f>_xlfn.AGGREGATE(4,7,A$17:A107)+1</f>
        <v>91</v>
      </c>
      <c r="B108" s="1199" t="s">
        <v>1998</v>
      </c>
      <c r="C108" s="1132"/>
      <c r="D108" s="1181"/>
      <c r="E108" s="1058" t="str">
        <f>VLOOKUP(B108,TH.T6!B113:J443,9,FALSE)</f>
        <v>Giảng viên khoa Du lịch - Khách sạn</v>
      </c>
      <c r="F108" s="1160">
        <v>3.33</v>
      </c>
      <c r="G108" s="1137"/>
      <c r="H108" s="1392">
        <f t="shared" si="15"/>
        <v>0</v>
      </c>
      <c r="I108" s="1138"/>
      <c r="J108" s="1160">
        <v>3.33</v>
      </c>
      <c r="K108" s="1137"/>
      <c r="L108" s="1392">
        <f t="shared" si="16"/>
        <v>0</v>
      </c>
      <c r="M108" s="1138"/>
      <c r="N108" s="1160">
        <v>3.33</v>
      </c>
      <c r="O108" s="1137"/>
      <c r="P108" s="1393">
        <f t="shared" si="17"/>
        <v>0</v>
      </c>
      <c r="Q108" s="1138"/>
      <c r="R108" s="1138" t="str">
        <f>IFERROR(INDEX('[18]Gui chi Quynh'!$E$11:$E$397,MATCH(B108,'[18]Gui chi Quynh'!$B$11:$B$397,0)),"")</f>
        <v>A2</v>
      </c>
      <c r="S108" s="1138">
        <f t="shared" si="18"/>
        <v>0.7</v>
      </c>
      <c r="T108" s="1138" t="str">
        <f>VLOOKUP(B108,'[19]Gui chi Quynh'!$B$11:$E$397,4,FALSE)</f>
        <v>A DN</v>
      </c>
      <c r="U108" s="1138">
        <f t="shared" si="19"/>
        <v>0</v>
      </c>
      <c r="V108" s="1138" t="str">
        <f>VLOOKUP(B108,'[20]Gui chi Quynh'!$B$11:$E$396,4,FALSE)</f>
        <v>A2</v>
      </c>
      <c r="W108" s="1138">
        <f t="shared" si="20"/>
        <v>0.7</v>
      </c>
      <c r="X108" s="1138">
        <f>IFERROR(INDEX('[21]CN BC'!$J$10:$J$275,MATCH(B108,'[21]CN BC'!$H$10:$H$275,0)),"")</f>
        <v>23</v>
      </c>
      <c r="Y108" s="1138">
        <f>IFERROR(INDEX('[22]CN BC'!$J$10:$J$274,MATCH(B108,'[22]CN BC'!$H$10:$H$274,0)),"")</f>
        <v>0</v>
      </c>
      <c r="Z108" s="1138">
        <f>VLOOKUP(B108,'[23]CN BC'!$H$10:$J$275,3,FALSE)</f>
        <v>19</v>
      </c>
      <c r="AA108" s="1139">
        <f t="shared" si="21"/>
        <v>23</v>
      </c>
      <c r="AB108" s="1139">
        <f t="shared" si="22"/>
        <v>0</v>
      </c>
      <c r="AC108" s="1139">
        <f t="shared" si="23"/>
        <v>19</v>
      </c>
      <c r="AD108" s="1140"/>
      <c r="AE108" s="1141">
        <f t="shared" si="24"/>
        <v>10909080</v>
      </c>
      <c r="AF108" s="1519">
        <f t="shared" si="25"/>
        <v>4.6619999999999999</v>
      </c>
      <c r="AG108" s="1224">
        <v>2340000</v>
      </c>
      <c r="AH108" s="1521">
        <f t="shared" si="26"/>
        <v>10909080</v>
      </c>
      <c r="AI108" s="1142">
        <f t="shared" si="14"/>
        <v>91</v>
      </c>
      <c r="AJ108" s="1143">
        <f>IFERROR(INDEX('[17]CN BC'!$M$10:$M$276,MATCH(B108,'[17]CN BC'!$H$10:$H$276,0)),"")</f>
        <v>0</v>
      </c>
      <c r="AK108" s="1144" t="str">
        <f>VLOOKUP(B108,TH.T4!B111:AC441,28,FALSE)</f>
        <v>DLKS</v>
      </c>
      <c r="AL108" s="1130"/>
      <c r="AM108" s="1146"/>
      <c r="AN108" s="1158"/>
    </row>
    <row r="109" spans="1:46" s="1148" customFormat="1" ht="28.5" customHeight="1">
      <c r="A109" s="1132">
        <f>_xlfn.AGGREGATE(4,7,A$17:A108)+1</f>
        <v>92</v>
      </c>
      <c r="B109" s="1199" t="s">
        <v>1999</v>
      </c>
      <c r="C109" s="1132"/>
      <c r="D109" s="1181"/>
      <c r="E109" s="1058" t="str">
        <f>VLOOKUP(B109,TH.T6!B114:J444,9,FALSE)</f>
        <v>Giảng viên khoa Kinh tế</v>
      </c>
      <c r="F109" s="1160">
        <v>3.66</v>
      </c>
      <c r="G109" s="1137"/>
      <c r="H109" s="1392">
        <f t="shared" si="15"/>
        <v>0</v>
      </c>
      <c r="I109" s="1138"/>
      <c r="J109" s="1160">
        <v>3.66</v>
      </c>
      <c r="K109" s="1137"/>
      <c r="L109" s="1392">
        <f t="shared" si="16"/>
        <v>0</v>
      </c>
      <c r="M109" s="1138"/>
      <c r="N109" s="1160">
        <v>3.66</v>
      </c>
      <c r="O109" s="1137"/>
      <c r="P109" s="1393">
        <f t="shared" si="17"/>
        <v>0</v>
      </c>
      <c r="Q109" s="1138"/>
      <c r="R109" s="1138" t="str">
        <f>IFERROR(INDEX('[18]Gui chi Quynh'!$E$11:$E$397,MATCH(B109,'[18]Gui chi Quynh'!$B$11:$B$397,0)),"")</f>
        <v>A3</v>
      </c>
      <c r="S109" s="1138">
        <f t="shared" si="18"/>
        <v>0.6</v>
      </c>
      <c r="T109" s="1138" t="str">
        <f>VLOOKUP(B109,'[19]Gui chi Quynh'!$B$11:$E$397,4,FALSE)</f>
        <v>A DN</v>
      </c>
      <c r="U109" s="1138">
        <f t="shared" si="19"/>
        <v>0</v>
      </c>
      <c r="V109" s="1138" t="str">
        <f>VLOOKUP(B109,'[20]Gui chi Quynh'!$B$11:$E$396,4,FALSE)</f>
        <v>A2</v>
      </c>
      <c r="W109" s="1138">
        <f t="shared" si="20"/>
        <v>0.7</v>
      </c>
      <c r="X109" s="1138">
        <f>IFERROR(INDEX('[21]CN BC'!$J$10:$J$275,MATCH(B109,'[21]CN BC'!$H$10:$H$275,0)),"")</f>
        <v>23</v>
      </c>
      <c r="Y109" s="1138">
        <f>IFERROR(INDEX('[22]CN BC'!$J$10:$J$274,MATCH(B109,'[22]CN BC'!$H$10:$H$274,0)),"")</f>
        <v>0</v>
      </c>
      <c r="Z109" s="1138">
        <f>VLOOKUP(B109,'[23]CN BC'!$H$10:$J$275,3,FALSE)</f>
        <v>19</v>
      </c>
      <c r="AA109" s="1139">
        <f t="shared" si="21"/>
        <v>23</v>
      </c>
      <c r="AB109" s="1139">
        <f t="shared" si="22"/>
        <v>0</v>
      </c>
      <c r="AC109" s="1139">
        <f t="shared" si="23"/>
        <v>19</v>
      </c>
      <c r="AD109" s="1140"/>
      <c r="AE109" s="1141">
        <f t="shared" si="24"/>
        <v>11133720</v>
      </c>
      <c r="AF109" s="1519">
        <f t="shared" si="25"/>
        <v>4.758</v>
      </c>
      <c r="AG109" s="1224">
        <v>2340000</v>
      </c>
      <c r="AH109" s="1521">
        <f t="shared" si="26"/>
        <v>11133720</v>
      </c>
      <c r="AI109" s="1142">
        <f t="shared" si="14"/>
        <v>92</v>
      </c>
      <c r="AJ109" s="1143">
        <f>IFERROR(INDEX('[17]CN BC'!$M$10:$M$276,MATCH(B109,'[17]CN BC'!$H$10:$H$276,0)),"")</f>
        <v>0</v>
      </c>
      <c r="AK109" s="1144" t="str">
        <f>VLOOKUP(B109,TH.T4!B112:AC442,28,FALSE)</f>
        <v>KT</v>
      </c>
      <c r="AL109" s="1130"/>
      <c r="AM109" s="1146"/>
      <c r="AN109" s="1158"/>
    </row>
    <row r="110" spans="1:46" s="1148" customFormat="1" ht="28.5" customHeight="1">
      <c r="A110" s="1132">
        <f>_xlfn.AGGREGATE(4,7,A$17:A109)+1</f>
        <v>93</v>
      </c>
      <c r="B110" s="1199" t="s">
        <v>2001</v>
      </c>
      <c r="C110" s="1132"/>
      <c r="D110" s="1181"/>
      <c r="E110" s="1058" t="str">
        <f>VLOOKUP(B110,TH.T6!B115:J445,9,FALSE)</f>
        <v>Giảng viên khoa Kinh tế</v>
      </c>
      <c r="F110" s="1160">
        <v>3</v>
      </c>
      <c r="G110" s="1137"/>
      <c r="H110" s="1392">
        <f t="shared" si="15"/>
        <v>0</v>
      </c>
      <c r="I110" s="1138"/>
      <c r="J110" s="1160">
        <v>3</v>
      </c>
      <c r="K110" s="1137"/>
      <c r="L110" s="1392">
        <f t="shared" si="16"/>
        <v>0</v>
      </c>
      <c r="M110" s="1138"/>
      <c r="N110" s="1160">
        <v>3</v>
      </c>
      <c r="O110" s="1137"/>
      <c r="P110" s="1393">
        <f t="shared" si="17"/>
        <v>0</v>
      </c>
      <c r="Q110" s="1138"/>
      <c r="R110" s="1138" t="str">
        <f>IFERROR(INDEX('[18]Gui chi Quynh'!$E$11:$E$397,MATCH(B110,'[18]Gui chi Quynh'!$B$11:$B$397,0)),"")</f>
        <v>A3</v>
      </c>
      <c r="S110" s="1138">
        <f t="shared" si="18"/>
        <v>0.6</v>
      </c>
      <c r="T110" s="1138" t="str">
        <f>VLOOKUP(B110,'[19]Gui chi Quynh'!$B$11:$E$397,4,FALSE)</f>
        <v>A DN</v>
      </c>
      <c r="U110" s="1138">
        <f t="shared" si="19"/>
        <v>0</v>
      </c>
      <c r="V110" s="1138" t="str">
        <f>VLOOKUP(B110,'[20]Gui chi Quynh'!$B$11:$E$396,4,FALSE)</f>
        <v>A2</v>
      </c>
      <c r="W110" s="1138">
        <f t="shared" si="20"/>
        <v>0.7</v>
      </c>
      <c r="X110" s="1138">
        <f>IFERROR(INDEX('[21]CN BC'!$J$10:$J$275,MATCH(B110,'[21]CN BC'!$H$10:$H$275,0)),"")</f>
        <v>23</v>
      </c>
      <c r="Y110" s="1138">
        <f>IFERROR(INDEX('[22]CN BC'!$J$10:$J$274,MATCH(B110,'[22]CN BC'!$H$10:$H$274,0)),"")</f>
        <v>0</v>
      </c>
      <c r="Z110" s="1138">
        <f>VLOOKUP(B110,'[23]CN BC'!$H$10:$J$275,3,FALSE)</f>
        <v>19</v>
      </c>
      <c r="AA110" s="1139">
        <f t="shared" si="21"/>
        <v>23</v>
      </c>
      <c r="AB110" s="1139">
        <f t="shared" si="22"/>
        <v>0</v>
      </c>
      <c r="AC110" s="1139">
        <f t="shared" si="23"/>
        <v>19</v>
      </c>
      <c r="AD110" s="1140"/>
      <c r="AE110" s="1141">
        <f t="shared" si="24"/>
        <v>9126000</v>
      </c>
      <c r="AF110" s="1519">
        <f t="shared" si="25"/>
        <v>3.9</v>
      </c>
      <c r="AG110" s="1224">
        <v>2340000</v>
      </c>
      <c r="AH110" s="1521">
        <f t="shared" si="26"/>
        <v>9126000</v>
      </c>
      <c r="AI110" s="1142">
        <f t="shared" si="14"/>
        <v>93</v>
      </c>
      <c r="AJ110" s="1143">
        <f>IFERROR(INDEX('[17]CN BC'!$M$10:$M$276,MATCH(B110,'[17]CN BC'!$H$10:$H$276,0)),"")</f>
        <v>0</v>
      </c>
      <c r="AK110" s="1144" t="str">
        <f>VLOOKUP(B110,TH.T4!B113:AC443,28,FALSE)</f>
        <v>DLKS</v>
      </c>
      <c r="AL110" s="1130"/>
      <c r="AM110" s="1146"/>
      <c r="AN110" s="1158"/>
    </row>
    <row r="111" spans="1:46" s="1148" customFormat="1" ht="42" customHeight="1">
      <c r="A111" s="1132">
        <f>_xlfn.AGGREGATE(4,7,A$17:A110)+1</f>
        <v>94</v>
      </c>
      <c r="B111" s="1459" t="s">
        <v>2021</v>
      </c>
      <c r="C111" s="1428"/>
      <c r="D111" s="1460"/>
      <c r="E111" s="1529" t="str">
        <f>VLOOKUP(B111,TH.T6!B23:J353,9,FALSE)</f>
        <v>Giảng viên khoa Kinh tế</v>
      </c>
      <c r="F111" s="1432">
        <v>3.66</v>
      </c>
      <c r="G111" s="1433"/>
      <c r="H111" s="1434">
        <f t="shared" si="15"/>
        <v>0</v>
      </c>
      <c r="I111" s="1435"/>
      <c r="J111" s="1432">
        <v>3.66</v>
      </c>
      <c r="K111" s="1433"/>
      <c r="L111" s="1434">
        <f t="shared" si="16"/>
        <v>0</v>
      </c>
      <c r="M111" s="1435"/>
      <c r="N111" s="1432">
        <v>3.66</v>
      </c>
      <c r="O111" s="1433"/>
      <c r="P111" s="1436">
        <f t="shared" si="17"/>
        <v>0</v>
      </c>
      <c r="Q111" s="1435"/>
      <c r="R111" s="1435" t="str">
        <f>IFERROR(INDEX('[18]Gui chi Quynh'!$E$11:$E$397,MATCH(B111,'[18]Gui chi Quynh'!$B$11:$B$397,0)),"")</f>
        <v>A3</v>
      </c>
      <c r="S111" s="1435">
        <f t="shared" si="18"/>
        <v>0.6</v>
      </c>
      <c r="T111" s="1435" t="str">
        <f>VLOOKUP(B111,'[19]Gui chi Quynh'!$B$11:$E$397,4,FALSE)</f>
        <v>A DN</v>
      </c>
      <c r="U111" s="1435">
        <f t="shared" si="19"/>
        <v>0</v>
      </c>
      <c r="V111" s="1435" t="str">
        <f>VLOOKUP(B111,'[20]Gui chi Quynh'!$B$11:$E$396,4,FALSE)</f>
        <v>KXL</v>
      </c>
      <c r="W111" s="1435">
        <f t="shared" si="20"/>
        <v>0</v>
      </c>
      <c r="X111" s="1435">
        <f>IFERROR(INDEX('[21]CN BC'!$J$10:$J$275,MATCH(B111,'[21]CN BC'!$H$10:$H$275,0)),"")</f>
        <v>23</v>
      </c>
      <c r="Y111" s="1435">
        <f>IFERROR(INDEX('[22]CN BC'!$J$10:$J$274,MATCH(B111,'[22]CN BC'!$H$10:$H$274,0)),"")</f>
        <v>0</v>
      </c>
      <c r="Z111" s="1435">
        <f>VLOOKUP(B111,'[23]CN BC'!$H$10:$J$275,3,FALSE)</f>
        <v>0</v>
      </c>
      <c r="AA111" s="1437">
        <f t="shared" si="21"/>
        <v>23</v>
      </c>
      <c r="AB111" s="1437">
        <f t="shared" si="22"/>
        <v>0</v>
      </c>
      <c r="AC111" s="1437">
        <f t="shared" si="23"/>
        <v>0</v>
      </c>
      <c r="AD111" s="1438"/>
      <c r="AE111" s="1439">
        <f t="shared" si="24"/>
        <v>5138640</v>
      </c>
      <c r="AF111" s="1530">
        <f t="shared" si="25"/>
        <v>2.1960000000000002</v>
      </c>
      <c r="AG111" s="1513">
        <v>2340000</v>
      </c>
      <c r="AH111" s="1531">
        <f t="shared" si="26"/>
        <v>5138640</v>
      </c>
      <c r="AI111" s="1440">
        <f t="shared" si="14"/>
        <v>94</v>
      </c>
      <c r="AJ111" s="1441" t="s">
        <v>2369</v>
      </c>
      <c r="AK111" s="1144" t="str">
        <f>VLOOKUP(B111,TH.T4!B114:AC444,28,FALSE)</f>
        <v>KT</v>
      </c>
      <c r="AL111" s="1171"/>
      <c r="AN111" s="1158"/>
    </row>
    <row r="112" spans="1:46" s="1148" customFormat="1" ht="25.5" customHeight="1">
      <c r="A112" s="1132">
        <f>_xlfn.AGGREGATE(4,7,A$17:A111)+1</f>
        <v>95</v>
      </c>
      <c r="B112" s="1133" t="s">
        <v>1478</v>
      </c>
      <c r="C112" s="1153" t="s">
        <v>1689</v>
      </c>
      <c r="D112" s="1154" t="s">
        <v>371</v>
      </c>
      <c r="E112" s="1058" t="str">
        <f>VLOOKUP(B112,TH.T6!B24:J354,9,FALSE)</f>
        <v>Giảng viên khoa May - Thời trang</v>
      </c>
      <c r="F112" s="1160">
        <v>3.66</v>
      </c>
      <c r="G112" s="1137"/>
      <c r="H112" s="1392">
        <f t="shared" si="15"/>
        <v>0</v>
      </c>
      <c r="I112" s="1138"/>
      <c r="J112" s="1160">
        <v>3.66</v>
      </c>
      <c r="K112" s="1137"/>
      <c r="L112" s="1392">
        <f t="shared" si="16"/>
        <v>0</v>
      </c>
      <c r="M112" s="1138"/>
      <c r="N112" s="1160">
        <v>3.66</v>
      </c>
      <c r="O112" s="1137"/>
      <c r="P112" s="1393">
        <f t="shared" si="17"/>
        <v>0</v>
      </c>
      <c r="Q112" s="1138"/>
      <c r="R112" s="1138" t="str">
        <f>IFERROR(INDEX('[18]Gui chi Quynh'!$E$11:$E$397,MATCH(B112,'[18]Gui chi Quynh'!$B$11:$B$397,0)),"")</f>
        <v>A3</v>
      </c>
      <c r="S112" s="1138">
        <f t="shared" si="18"/>
        <v>0.6</v>
      </c>
      <c r="T112" s="1138" t="str">
        <f>VLOOKUP(B112,'[19]Gui chi Quynh'!$B$11:$E$397,4,FALSE)</f>
        <v>A DN</v>
      </c>
      <c r="U112" s="1138">
        <f t="shared" si="19"/>
        <v>0</v>
      </c>
      <c r="V112" s="1138" t="str">
        <f>VLOOKUP(B112,'[20]Gui chi Quynh'!$B$11:$E$396,4,FALSE)</f>
        <v>A3</v>
      </c>
      <c r="W112" s="1138">
        <f t="shared" si="20"/>
        <v>0.6</v>
      </c>
      <c r="X112" s="1138">
        <f>IFERROR(INDEX('[21]CN BC'!$J$10:$J$275,MATCH(B112,'[21]CN BC'!$H$10:$H$275,0)),"")</f>
        <v>23</v>
      </c>
      <c r="Y112" s="1138">
        <f>IFERROR(INDEX('[22]CN BC'!$J$10:$J$274,MATCH(B112,'[22]CN BC'!$H$10:$H$274,0)),"")</f>
        <v>0</v>
      </c>
      <c r="Z112" s="1138">
        <f>VLOOKUP(B112,'[23]CN BC'!$H$10:$J$275,3,FALSE)</f>
        <v>19</v>
      </c>
      <c r="AA112" s="1139">
        <f t="shared" si="21"/>
        <v>23</v>
      </c>
      <c r="AB112" s="1139">
        <f t="shared" si="22"/>
        <v>0</v>
      </c>
      <c r="AC112" s="1139">
        <f t="shared" si="23"/>
        <v>19</v>
      </c>
      <c r="AD112" s="1140"/>
      <c r="AE112" s="1141">
        <f t="shared" si="24"/>
        <v>10277280</v>
      </c>
      <c r="AF112" s="1519">
        <f t="shared" si="25"/>
        <v>4.3920000000000003</v>
      </c>
      <c r="AG112" s="1224">
        <v>2340000</v>
      </c>
      <c r="AH112" s="1521">
        <f t="shared" si="26"/>
        <v>10277280</v>
      </c>
      <c r="AI112" s="1142">
        <f t="shared" si="14"/>
        <v>95</v>
      </c>
      <c r="AJ112" s="1143">
        <f>IFERROR(INDEX('[17]CN BC'!$M$10:$M$276,MATCH(B112,'[17]CN BC'!$H$10:$H$276,0)),"")</f>
        <v>0</v>
      </c>
      <c r="AK112" s="1144" t="str">
        <f>VLOOKUP(B112,TH.T4!B115:AC445,28,FALSE)</f>
        <v>M-TT</v>
      </c>
      <c r="AL112" s="1130"/>
      <c r="AM112" s="1146"/>
      <c r="AN112" s="1147"/>
      <c r="AO112" s="1146"/>
      <c r="AP112" s="1146"/>
      <c r="AQ112" s="1146"/>
      <c r="AR112" s="1146"/>
      <c r="AS112" s="1146"/>
      <c r="AT112" s="1146"/>
    </row>
    <row r="113" spans="1:50" s="1148" customFormat="1" ht="29.25" customHeight="1">
      <c r="A113" s="1132">
        <f>_xlfn.AGGREGATE(4,7,A$17:A112)+1</f>
        <v>96</v>
      </c>
      <c r="B113" s="1172" t="s">
        <v>1479</v>
      </c>
      <c r="C113" s="1149" t="s">
        <v>1690</v>
      </c>
      <c r="D113" s="1173" t="s">
        <v>372</v>
      </c>
      <c r="E113" s="1058" t="str">
        <f>VLOOKUP(B113,TH.T6!B25:J355,9,FALSE)</f>
        <v>Giảng viên khoa May - Thời trang</v>
      </c>
      <c r="F113" s="1178">
        <v>3.66</v>
      </c>
      <c r="G113" s="1175"/>
      <c r="H113" s="1392">
        <f t="shared" si="15"/>
        <v>0</v>
      </c>
      <c r="I113" s="1176"/>
      <c r="J113" s="1178">
        <v>3.66</v>
      </c>
      <c r="K113" s="1175"/>
      <c r="L113" s="1392">
        <f t="shared" si="16"/>
        <v>0</v>
      </c>
      <c r="M113" s="1176"/>
      <c r="N113" s="1178">
        <v>3.66</v>
      </c>
      <c r="O113" s="1175"/>
      <c r="P113" s="1393">
        <f t="shared" si="17"/>
        <v>0</v>
      </c>
      <c r="Q113" s="1176"/>
      <c r="R113" s="1138" t="str">
        <f>IFERROR(INDEX('[18]Gui chi Quynh'!$E$11:$E$397,MATCH(B113,'[18]Gui chi Quynh'!$B$11:$B$397,0)),"")</f>
        <v>A4</v>
      </c>
      <c r="S113" s="1138">
        <f t="shared" si="18"/>
        <v>0.5</v>
      </c>
      <c r="T113" s="1138" t="str">
        <f>VLOOKUP(B113,'[19]Gui chi Quynh'!$B$11:$E$397,4,FALSE)</f>
        <v>A DN</v>
      </c>
      <c r="U113" s="1138">
        <f t="shared" si="19"/>
        <v>0</v>
      </c>
      <c r="V113" s="1138" t="str">
        <f>VLOOKUP(B113,'[20]Gui chi Quynh'!$B$11:$E$396,4,FALSE)</f>
        <v>A3</v>
      </c>
      <c r="W113" s="1138">
        <f t="shared" si="20"/>
        <v>0.6</v>
      </c>
      <c r="X113" s="1138">
        <f>IFERROR(INDEX('[21]CN BC'!$J$10:$J$275,MATCH(B113,'[21]CN BC'!$H$10:$H$275,0)),"")</f>
        <v>21</v>
      </c>
      <c r="Y113" s="1138">
        <f>IFERROR(INDEX('[22]CN BC'!$J$10:$J$274,MATCH(B113,'[22]CN BC'!$H$10:$H$274,0)),"")</f>
        <v>0</v>
      </c>
      <c r="Z113" s="1138">
        <f>VLOOKUP(B113,'[23]CN BC'!$H$10:$J$275,3,FALSE)</f>
        <v>19</v>
      </c>
      <c r="AA113" s="1139">
        <f t="shared" si="21"/>
        <v>21</v>
      </c>
      <c r="AB113" s="1139">
        <f t="shared" si="22"/>
        <v>0</v>
      </c>
      <c r="AC113" s="1139">
        <f t="shared" si="23"/>
        <v>19</v>
      </c>
      <c r="AD113" s="1140"/>
      <c r="AE113" s="1141">
        <f t="shared" si="24"/>
        <v>9048475</v>
      </c>
      <c r="AF113" s="1519">
        <f t="shared" si="25"/>
        <v>3.8668696581196582</v>
      </c>
      <c r="AG113" s="1224">
        <v>2340000</v>
      </c>
      <c r="AH113" s="1521">
        <f t="shared" si="26"/>
        <v>9048475</v>
      </c>
      <c r="AI113" s="1142">
        <f t="shared" si="14"/>
        <v>96</v>
      </c>
      <c r="AJ113" s="1143">
        <f>IFERROR(INDEX('[17]CN BC'!$M$10:$M$276,MATCH(B113,'[17]CN BC'!$H$10:$H$276,0)),"")</f>
        <v>0</v>
      </c>
      <c r="AK113" s="1144" t="str">
        <f>VLOOKUP(B113,TH.T4!B116:AC446,28,FALSE)</f>
        <v>M-TT</v>
      </c>
      <c r="AL113" s="1130"/>
      <c r="AM113" s="1146"/>
      <c r="AN113" s="1147"/>
      <c r="AO113" s="1146"/>
      <c r="AP113" s="1146"/>
      <c r="AQ113" s="1146"/>
      <c r="AR113" s="1146"/>
      <c r="AS113" s="1146"/>
      <c r="AT113" s="1146"/>
      <c r="AU113" s="1146"/>
      <c r="AV113" s="1146"/>
      <c r="AW113" s="1146"/>
      <c r="AX113" s="1146"/>
    </row>
    <row r="114" spans="1:50" s="1148" customFormat="1" ht="30" customHeight="1">
      <c r="A114" s="1132">
        <f>_xlfn.AGGREGATE(4,7,A$17:A113)+1</f>
        <v>97</v>
      </c>
      <c r="B114" s="1133" t="s">
        <v>1480</v>
      </c>
      <c r="C114" s="1149" t="s">
        <v>1691</v>
      </c>
      <c r="D114" s="1166" t="s">
        <v>735</v>
      </c>
      <c r="E114" s="1058" t="str">
        <f>VLOOKUP(B114,TH.T6!B26:J356,9,FALSE)</f>
        <v>Phó Trưởng khoa May - Thời trang</v>
      </c>
      <c r="F114" s="1160">
        <v>3.33</v>
      </c>
      <c r="G114" s="1137"/>
      <c r="H114" s="1392">
        <f t="shared" si="15"/>
        <v>0</v>
      </c>
      <c r="I114" s="1138">
        <v>0.45</v>
      </c>
      <c r="J114" s="1160">
        <v>3.33</v>
      </c>
      <c r="K114" s="1137"/>
      <c r="L114" s="1392">
        <f t="shared" si="16"/>
        <v>0</v>
      </c>
      <c r="M114" s="1138">
        <v>0.45</v>
      </c>
      <c r="N114" s="1160">
        <v>3.33</v>
      </c>
      <c r="O114" s="1137"/>
      <c r="P114" s="1393">
        <f t="shared" si="17"/>
        <v>0</v>
      </c>
      <c r="Q114" s="1138">
        <v>0.45</v>
      </c>
      <c r="R114" s="1138" t="str">
        <f>IFERROR(INDEX('[18]Gui chi Quynh'!$E$11:$E$397,MATCH(B114,'[18]Gui chi Quynh'!$B$11:$B$397,0)),"")</f>
        <v>A2</v>
      </c>
      <c r="S114" s="1138">
        <f t="shared" si="18"/>
        <v>0.7</v>
      </c>
      <c r="T114" s="1138" t="str">
        <f>VLOOKUP(B114,'[19]Gui chi Quynh'!$B$11:$E$397,4,FALSE)</f>
        <v>A2</v>
      </c>
      <c r="U114" s="1138">
        <f t="shared" si="19"/>
        <v>0.7</v>
      </c>
      <c r="V114" s="1138" t="str">
        <f>VLOOKUP(B114,'[20]Gui chi Quynh'!$B$11:$E$396,4,FALSE)</f>
        <v>A2</v>
      </c>
      <c r="W114" s="1138">
        <f t="shared" si="20"/>
        <v>0.7</v>
      </c>
      <c r="X114" s="1138">
        <f>IFERROR(INDEX('[21]CN BC'!$J$10:$J$275,MATCH(B114,'[21]CN BC'!$H$10:$H$275,0)),"")</f>
        <v>23</v>
      </c>
      <c r="Y114" s="1138">
        <f>IFERROR(INDEX('[22]CN BC'!$J$10:$J$274,MATCH(B114,'[22]CN BC'!$H$10:$H$274,0)),"")</f>
        <v>22</v>
      </c>
      <c r="Z114" s="1138">
        <f>VLOOKUP(B114,'[23]CN BC'!$H$10:$J$275,3,FALSE)</f>
        <v>19</v>
      </c>
      <c r="AA114" s="1139">
        <f t="shared" si="21"/>
        <v>23</v>
      </c>
      <c r="AB114" s="1139">
        <f t="shared" si="22"/>
        <v>22</v>
      </c>
      <c r="AC114" s="1139">
        <f t="shared" si="23"/>
        <v>19</v>
      </c>
      <c r="AD114" s="1140"/>
      <c r="AE114" s="1141">
        <f t="shared" si="24"/>
        <v>18574920</v>
      </c>
      <c r="AF114" s="1519">
        <f t="shared" si="25"/>
        <v>7.9379999999999997</v>
      </c>
      <c r="AG114" s="1224">
        <v>2340000</v>
      </c>
      <c r="AH114" s="1521">
        <f t="shared" si="26"/>
        <v>18574920</v>
      </c>
      <c r="AI114" s="1142">
        <f t="shared" si="14"/>
        <v>97</v>
      </c>
      <c r="AJ114" s="1143">
        <f>IFERROR(INDEX('[17]CN BC'!$M$10:$M$276,MATCH(B114,'[17]CN BC'!$H$10:$H$276,0)),"")</f>
        <v>0</v>
      </c>
      <c r="AK114" s="1144" t="str">
        <f>VLOOKUP(B114,TH.T4!B117:AC447,28,FALSE)</f>
        <v>M-TT</v>
      </c>
      <c r="AL114" s="1130"/>
      <c r="AM114" s="1146"/>
      <c r="AN114" s="1147"/>
      <c r="AO114" s="1146"/>
      <c r="AP114" s="1146"/>
      <c r="AQ114" s="1146"/>
      <c r="AR114" s="1146"/>
      <c r="AS114" s="1146"/>
      <c r="AT114" s="1146"/>
      <c r="AU114" s="1146"/>
      <c r="AV114" s="1146"/>
      <c r="AW114" s="1146"/>
      <c r="AX114" s="1146"/>
    </row>
    <row r="115" spans="1:50" s="1148" customFormat="1" ht="30" customHeight="1">
      <c r="A115" s="1132">
        <f>_xlfn.AGGREGATE(4,7,A$17:A114)+1</f>
        <v>98</v>
      </c>
      <c r="B115" s="1133" t="s">
        <v>1481</v>
      </c>
      <c r="C115" s="1153" t="s">
        <v>1692</v>
      </c>
      <c r="D115" s="1166">
        <v>1603205353742</v>
      </c>
      <c r="E115" s="1058" t="str">
        <f>VLOOKUP(B115,TH.T6!B27:J357,9,FALSE)</f>
        <v>Giảng viên khoa May - Thời trang</v>
      </c>
      <c r="F115" s="1160">
        <v>3.33</v>
      </c>
      <c r="G115" s="1137"/>
      <c r="H115" s="1392">
        <f t="shared" si="15"/>
        <v>0</v>
      </c>
      <c r="I115" s="1138"/>
      <c r="J115" s="1160">
        <v>3.33</v>
      </c>
      <c r="K115" s="1137"/>
      <c r="L115" s="1392">
        <f t="shared" si="16"/>
        <v>0</v>
      </c>
      <c r="M115" s="1138"/>
      <c r="N115" s="1160">
        <v>3.33</v>
      </c>
      <c r="O115" s="1137"/>
      <c r="P115" s="1393">
        <f t="shared" si="17"/>
        <v>0</v>
      </c>
      <c r="Q115" s="1138"/>
      <c r="R115" s="1138" t="str">
        <f>IFERROR(INDEX('[18]Gui chi Quynh'!$E$11:$E$397,MATCH(B115,'[18]Gui chi Quynh'!$B$11:$B$397,0)),"")</f>
        <v>A3</v>
      </c>
      <c r="S115" s="1138">
        <f t="shared" si="18"/>
        <v>0.6</v>
      </c>
      <c r="T115" s="1138" t="str">
        <f>VLOOKUP(B115,'[19]Gui chi Quynh'!$B$11:$E$397,4,FALSE)</f>
        <v>A DN</v>
      </c>
      <c r="U115" s="1138">
        <f t="shared" si="19"/>
        <v>0</v>
      </c>
      <c r="V115" s="1138" t="str">
        <f>VLOOKUP(B115,'[20]Gui chi Quynh'!$B$11:$E$396,4,FALSE)</f>
        <v>A3</v>
      </c>
      <c r="W115" s="1138">
        <f t="shared" si="20"/>
        <v>0.6</v>
      </c>
      <c r="X115" s="1138">
        <f>IFERROR(INDEX('[21]CN BC'!$J$10:$J$275,MATCH(B115,'[21]CN BC'!$H$10:$H$275,0)),"")</f>
        <v>23</v>
      </c>
      <c r="Y115" s="1138">
        <f>IFERROR(INDEX('[22]CN BC'!$J$10:$J$274,MATCH(B115,'[22]CN BC'!$H$10:$H$274,0)),"")</f>
        <v>0</v>
      </c>
      <c r="Z115" s="1138">
        <f>VLOOKUP(B115,'[23]CN BC'!$H$10:$J$275,3,FALSE)</f>
        <v>19</v>
      </c>
      <c r="AA115" s="1139">
        <f t="shared" si="21"/>
        <v>23</v>
      </c>
      <c r="AB115" s="1139">
        <f t="shared" si="22"/>
        <v>0</v>
      </c>
      <c r="AC115" s="1139">
        <f t="shared" si="23"/>
        <v>19</v>
      </c>
      <c r="AD115" s="1140"/>
      <c r="AE115" s="1141">
        <f t="shared" si="24"/>
        <v>9350640</v>
      </c>
      <c r="AF115" s="1519">
        <f t="shared" si="25"/>
        <v>3.996</v>
      </c>
      <c r="AG115" s="1224">
        <v>2340000</v>
      </c>
      <c r="AH115" s="1521">
        <f t="shared" si="26"/>
        <v>9350640</v>
      </c>
      <c r="AI115" s="1142">
        <f t="shared" si="14"/>
        <v>98</v>
      </c>
      <c r="AJ115" s="1143">
        <f>IFERROR(INDEX('[17]CN BC'!$M$10:$M$276,MATCH(B115,'[17]CN BC'!$H$10:$H$276,0)),"")</f>
        <v>0</v>
      </c>
      <c r="AK115" s="1144" t="str">
        <f>VLOOKUP(B115,TH.T4!B118:AC448,28,FALSE)</f>
        <v>M-TT</v>
      </c>
      <c r="AL115" s="1130"/>
      <c r="AM115" s="1146"/>
      <c r="AN115" s="1147"/>
      <c r="AO115" s="1146"/>
      <c r="AP115" s="1146"/>
      <c r="AQ115" s="1146"/>
      <c r="AR115" s="1146"/>
      <c r="AS115" s="1146"/>
      <c r="AT115" s="1146"/>
    </row>
    <row r="116" spans="1:50" s="1148" customFormat="1" ht="30" customHeight="1">
      <c r="A116" s="1132">
        <f>_xlfn.AGGREGATE(4,7,A$17:A115)+1</f>
        <v>99</v>
      </c>
      <c r="B116" s="1133" t="s">
        <v>1865</v>
      </c>
      <c r="C116" s="1149" t="s">
        <v>1693</v>
      </c>
      <c r="D116" s="1166">
        <v>1603205357136</v>
      </c>
      <c r="E116" s="1058" t="str">
        <f>VLOOKUP(B116,TH.T6!B28:J358,9,FALSE)</f>
        <v>Giảng viên khoa May - Thời trang</v>
      </c>
      <c r="F116" s="1160">
        <v>3.33</v>
      </c>
      <c r="G116" s="1137"/>
      <c r="H116" s="1392">
        <f t="shared" si="15"/>
        <v>0</v>
      </c>
      <c r="I116" s="1138"/>
      <c r="J116" s="1160">
        <v>3.33</v>
      </c>
      <c r="K116" s="1137"/>
      <c r="L116" s="1392">
        <f t="shared" si="16"/>
        <v>0</v>
      </c>
      <c r="M116" s="1138"/>
      <c r="N116" s="1160">
        <v>3.33</v>
      </c>
      <c r="O116" s="1137"/>
      <c r="P116" s="1393">
        <f t="shared" si="17"/>
        <v>0</v>
      </c>
      <c r="Q116" s="1138"/>
      <c r="R116" s="1138" t="str">
        <f>IFERROR(INDEX('[18]Gui chi Quynh'!$E$11:$E$397,MATCH(B116,'[18]Gui chi Quynh'!$B$11:$B$397,0)),"")</f>
        <v>A3</v>
      </c>
      <c r="S116" s="1138">
        <f t="shared" si="18"/>
        <v>0.6</v>
      </c>
      <c r="T116" s="1138" t="str">
        <f>VLOOKUP(B116,'[19]Gui chi Quynh'!$B$11:$E$397,4,FALSE)</f>
        <v>A DN</v>
      </c>
      <c r="U116" s="1138">
        <f t="shared" si="19"/>
        <v>0</v>
      </c>
      <c r="V116" s="1138" t="str">
        <f>VLOOKUP(B116,'[20]Gui chi Quynh'!$B$11:$E$396,4,FALSE)</f>
        <v>A2</v>
      </c>
      <c r="W116" s="1138">
        <f t="shared" si="20"/>
        <v>0.7</v>
      </c>
      <c r="X116" s="1138">
        <f>IFERROR(INDEX('[21]CN BC'!$J$10:$J$275,MATCH(B116,'[21]CN BC'!$H$10:$H$275,0)),"")</f>
        <v>23</v>
      </c>
      <c r="Y116" s="1138">
        <f>IFERROR(INDEX('[22]CN BC'!$J$10:$J$274,MATCH(B116,'[22]CN BC'!$H$10:$H$274,0)),"")</f>
        <v>0</v>
      </c>
      <c r="Z116" s="1138">
        <f>VLOOKUP(B116,'[23]CN BC'!$H$10:$J$275,3,FALSE)</f>
        <v>19</v>
      </c>
      <c r="AA116" s="1139">
        <f t="shared" si="21"/>
        <v>23</v>
      </c>
      <c r="AB116" s="1139">
        <f t="shared" si="22"/>
        <v>0</v>
      </c>
      <c r="AC116" s="1139">
        <f t="shared" si="23"/>
        <v>19</v>
      </c>
      <c r="AD116" s="1140"/>
      <c r="AE116" s="1141">
        <f t="shared" si="24"/>
        <v>10129860</v>
      </c>
      <c r="AF116" s="1519">
        <f t="shared" si="25"/>
        <v>4.3289999999999997</v>
      </c>
      <c r="AG116" s="1224">
        <v>2340000</v>
      </c>
      <c r="AH116" s="1521">
        <f t="shared" si="26"/>
        <v>10129860</v>
      </c>
      <c r="AI116" s="1142">
        <f t="shared" si="14"/>
        <v>99</v>
      </c>
      <c r="AJ116" s="1143">
        <f>IFERROR(INDEX('[17]CN BC'!$M$10:$M$276,MATCH(B116,'[17]CN BC'!$H$10:$H$276,0)),"")</f>
        <v>0</v>
      </c>
      <c r="AK116" s="1144" t="str">
        <f>VLOOKUP(B116,TH.T4!B119:AC449,28,FALSE)</f>
        <v>M-TT</v>
      </c>
      <c r="AL116" s="1130"/>
      <c r="AM116" s="1146"/>
      <c r="AN116" s="1147"/>
      <c r="AO116" s="1146"/>
      <c r="AP116" s="1146"/>
      <c r="AQ116" s="1146"/>
      <c r="AR116" s="1146"/>
      <c r="AS116" s="1146"/>
      <c r="AT116" s="1146"/>
      <c r="AU116" s="1146"/>
      <c r="AV116" s="1146"/>
      <c r="AW116" s="1146"/>
      <c r="AX116" s="1146"/>
    </row>
    <row r="117" spans="1:50" s="1148" customFormat="1" ht="30" customHeight="1">
      <c r="A117" s="1132">
        <f>_xlfn.AGGREGATE(4,7,A$17:A116)+1</f>
        <v>100</v>
      </c>
      <c r="B117" s="1133" t="s">
        <v>1482</v>
      </c>
      <c r="C117" s="1149" t="s">
        <v>1694</v>
      </c>
      <c r="D117" s="1150" t="s">
        <v>1422</v>
      </c>
      <c r="E117" s="1058" t="str">
        <f>VLOOKUP(B117,TH.T6!B29:J359,9,FALSE)</f>
        <v>Giảng viên khoa May - Thời trang</v>
      </c>
      <c r="F117" s="1160">
        <v>3.33</v>
      </c>
      <c r="G117" s="1137"/>
      <c r="H117" s="1392">
        <f t="shared" si="15"/>
        <v>0</v>
      </c>
      <c r="I117" s="1138"/>
      <c r="J117" s="1160">
        <v>3.33</v>
      </c>
      <c r="K117" s="1137"/>
      <c r="L117" s="1392">
        <f t="shared" si="16"/>
        <v>0</v>
      </c>
      <c r="M117" s="1138"/>
      <c r="N117" s="1160">
        <v>3.33</v>
      </c>
      <c r="O117" s="1137"/>
      <c r="P117" s="1393">
        <f t="shared" si="17"/>
        <v>0</v>
      </c>
      <c r="Q117" s="1138"/>
      <c r="R117" s="1138" t="str">
        <f>IFERROR(INDEX('[18]Gui chi Quynh'!$E$11:$E$397,MATCH(B117,'[18]Gui chi Quynh'!$B$11:$B$397,0)),"")</f>
        <v>A4</v>
      </c>
      <c r="S117" s="1138">
        <f t="shared" si="18"/>
        <v>0.5</v>
      </c>
      <c r="T117" s="1138" t="str">
        <f>VLOOKUP(B117,'[19]Gui chi Quynh'!$B$11:$E$397,4,FALSE)</f>
        <v>A DN</v>
      </c>
      <c r="U117" s="1138">
        <f t="shared" si="19"/>
        <v>0</v>
      </c>
      <c r="V117" s="1138" t="str">
        <f>VLOOKUP(B117,'[20]Gui chi Quynh'!$B$11:$E$396,4,FALSE)</f>
        <v>A3</v>
      </c>
      <c r="W117" s="1138">
        <f t="shared" si="20"/>
        <v>0.6</v>
      </c>
      <c r="X117" s="1138">
        <f>IFERROR(INDEX('[21]CN BC'!$J$10:$J$275,MATCH(B117,'[21]CN BC'!$H$10:$H$275,0)),"")</f>
        <v>23</v>
      </c>
      <c r="Y117" s="1138">
        <f>IFERROR(INDEX('[22]CN BC'!$J$10:$J$274,MATCH(B117,'[22]CN BC'!$H$10:$H$274,0)),"")</f>
        <v>0</v>
      </c>
      <c r="Z117" s="1138">
        <f>VLOOKUP(B117,'[23]CN BC'!$H$10:$J$275,3,FALSE)</f>
        <v>19</v>
      </c>
      <c r="AA117" s="1139">
        <f t="shared" si="21"/>
        <v>23</v>
      </c>
      <c r="AB117" s="1139">
        <f t="shared" si="22"/>
        <v>0</v>
      </c>
      <c r="AC117" s="1139">
        <f t="shared" si="23"/>
        <v>19</v>
      </c>
      <c r="AD117" s="1140"/>
      <c r="AE117" s="1141">
        <f t="shared" si="24"/>
        <v>8571420</v>
      </c>
      <c r="AF117" s="1519">
        <f t="shared" si="25"/>
        <v>3.6629999999999998</v>
      </c>
      <c r="AG117" s="1224">
        <v>2340000</v>
      </c>
      <c r="AH117" s="1521">
        <f t="shared" si="26"/>
        <v>8571420</v>
      </c>
      <c r="AI117" s="1142">
        <f t="shared" si="14"/>
        <v>100</v>
      </c>
      <c r="AJ117" s="1143">
        <f>IFERROR(INDEX('[17]CN BC'!$M$10:$M$276,MATCH(B117,'[17]CN BC'!$H$10:$H$276,0)),"")</f>
        <v>0</v>
      </c>
      <c r="AK117" s="1144" t="str">
        <f>VLOOKUP(B117,TH.T4!B120:AC450,28,FALSE)</f>
        <v>M-TT</v>
      </c>
      <c r="AL117" s="1130"/>
      <c r="AM117" s="1146"/>
      <c r="AN117" s="1147"/>
      <c r="AO117" s="1146"/>
      <c r="AP117" s="1146"/>
      <c r="AQ117" s="1146"/>
      <c r="AR117" s="1146"/>
      <c r="AS117" s="1146"/>
      <c r="AT117" s="1146"/>
      <c r="AU117" s="1146"/>
      <c r="AV117" s="1146"/>
      <c r="AW117" s="1146"/>
      <c r="AX117" s="1146"/>
    </row>
    <row r="118" spans="1:50" s="1148" customFormat="1" ht="30" customHeight="1">
      <c r="A118" s="1132">
        <f>_xlfn.AGGREGATE(4,7,A$17:A117)+1</f>
        <v>101</v>
      </c>
      <c r="B118" s="1133" t="s">
        <v>1483</v>
      </c>
      <c r="C118" s="1149" t="s">
        <v>1695</v>
      </c>
      <c r="D118" s="1150" t="s">
        <v>1432</v>
      </c>
      <c r="E118" s="1058" t="str">
        <f>VLOOKUP(B118,TH.T6!B30:J360,9,FALSE)</f>
        <v>Giảng viên khoa Du lịch - Khách sạn</v>
      </c>
      <c r="F118" s="1136">
        <v>4.9800000000000004</v>
      </c>
      <c r="G118" s="1137">
        <v>0.05</v>
      </c>
      <c r="H118" s="1392">
        <f t="shared" si="15"/>
        <v>0.249</v>
      </c>
      <c r="I118" s="1138">
        <v>0.25</v>
      </c>
      <c r="J118" s="1136">
        <v>4.9800000000000004</v>
      </c>
      <c r="K118" s="1137">
        <v>0.05</v>
      </c>
      <c r="L118" s="1399">
        <f t="shared" si="16"/>
        <v>0.249</v>
      </c>
      <c r="M118" s="1138">
        <v>0.25</v>
      </c>
      <c r="N118" s="1136">
        <v>4.9800000000000004</v>
      </c>
      <c r="O118" s="1137">
        <v>0.05</v>
      </c>
      <c r="P118" s="1400">
        <f t="shared" si="17"/>
        <v>0.249</v>
      </c>
      <c r="Q118" s="1138">
        <v>0.25</v>
      </c>
      <c r="R118" s="1138" t="str">
        <f>IFERROR(INDEX('[18]Gui chi Quynh'!$E$11:$E$397,MATCH(B118,'[18]Gui chi Quynh'!$B$11:$B$397,0)),"")</f>
        <v>A2</v>
      </c>
      <c r="S118" s="1138">
        <f t="shared" si="18"/>
        <v>0.7</v>
      </c>
      <c r="T118" s="1138" t="str">
        <f>VLOOKUP(B118,'[19]Gui chi Quynh'!$B$11:$E$397,4,FALSE)</f>
        <v>A DN</v>
      </c>
      <c r="U118" s="1138">
        <f t="shared" si="19"/>
        <v>0</v>
      </c>
      <c r="V118" s="1138" t="str">
        <f>VLOOKUP(B118,'[20]Gui chi Quynh'!$B$11:$E$396,4,FALSE)</f>
        <v>A1</v>
      </c>
      <c r="W118" s="1138">
        <f t="shared" si="20"/>
        <v>0.8</v>
      </c>
      <c r="X118" s="1138">
        <f>IFERROR(INDEX('[21]CN BC'!$J$10:$J$275,MATCH(B118,'[21]CN BC'!$H$10:$H$275,0)),"")</f>
        <v>23</v>
      </c>
      <c r="Y118" s="1138">
        <f>IFERROR(INDEX('[22]CN BC'!$J$10:$J$274,MATCH(B118,'[22]CN BC'!$H$10:$H$274,0)),"")</f>
        <v>0</v>
      </c>
      <c r="Z118" s="1138">
        <f>VLOOKUP(B118,'[23]CN BC'!$H$10:$J$275,3,FALSE)</f>
        <v>19</v>
      </c>
      <c r="AA118" s="1139">
        <f t="shared" si="21"/>
        <v>23</v>
      </c>
      <c r="AB118" s="1139">
        <f t="shared" si="22"/>
        <v>0</v>
      </c>
      <c r="AC118" s="1139">
        <f t="shared" si="23"/>
        <v>19</v>
      </c>
      <c r="AD118" s="1140"/>
      <c r="AE118" s="1141">
        <f t="shared" si="24"/>
        <v>19231290</v>
      </c>
      <c r="AF118" s="1519">
        <f t="shared" si="25"/>
        <v>8.2185000000000006</v>
      </c>
      <c r="AG118" s="1224">
        <v>2340000</v>
      </c>
      <c r="AH118" s="1521">
        <f t="shared" si="26"/>
        <v>19231290</v>
      </c>
      <c r="AI118" s="1142">
        <f t="shared" si="14"/>
        <v>101</v>
      </c>
      <c r="AJ118" s="1143">
        <f>IFERROR(INDEX('[17]CN BC'!$M$10:$M$276,MATCH(B118,'[17]CN BC'!$H$10:$H$276,0)),"")</f>
        <v>0</v>
      </c>
      <c r="AK118" s="1144" t="str">
        <f>VLOOKUP(B118,TH.T4!B121:AC451,28,FALSE)</f>
        <v>DLKS</v>
      </c>
      <c r="AL118" s="1130"/>
      <c r="AM118" s="1146"/>
      <c r="AN118" s="1147"/>
      <c r="AO118" s="1146"/>
      <c r="AP118" s="1146"/>
      <c r="AQ118" s="1146"/>
      <c r="AR118" s="1146"/>
      <c r="AS118" s="1146"/>
      <c r="AT118" s="1146"/>
      <c r="AU118" s="1146"/>
      <c r="AV118" s="1146"/>
      <c r="AW118" s="1146"/>
      <c r="AX118" s="1146"/>
    </row>
    <row r="119" spans="1:50" s="1148" customFormat="1" ht="30" customHeight="1">
      <c r="A119" s="1132">
        <f>_xlfn.AGGREGATE(4,7,A$17:A118)+1</f>
        <v>102</v>
      </c>
      <c r="B119" s="1172" t="s">
        <v>1568</v>
      </c>
      <c r="C119" s="1149" t="s">
        <v>1696</v>
      </c>
      <c r="D119" s="1163" t="s">
        <v>1569</v>
      </c>
      <c r="E119" s="1058" t="str">
        <f>VLOOKUP(B119,TH.T6!B31:J361,9,FALSE)</f>
        <v>Giảng viên khoa May - Thời trang</v>
      </c>
      <c r="F119" s="1178">
        <v>3.33</v>
      </c>
      <c r="G119" s="1175"/>
      <c r="H119" s="1392">
        <f t="shared" si="15"/>
        <v>0</v>
      </c>
      <c r="I119" s="1138"/>
      <c r="J119" s="1160">
        <v>3.33</v>
      </c>
      <c r="K119" s="1137"/>
      <c r="L119" s="1399">
        <f t="shared" si="16"/>
        <v>0</v>
      </c>
      <c r="M119" s="1138"/>
      <c r="N119" s="1160">
        <v>3.33</v>
      </c>
      <c r="O119" s="1137"/>
      <c r="P119" s="1400">
        <f t="shared" si="17"/>
        <v>0</v>
      </c>
      <c r="Q119" s="1138"/>
      <c r="R119" s="1138" t="str">
        <f>IFERROR(INDEX('[18]Gui chi Quynh'!$E$11:$E$397,MATCH(B119,'[18]Gui chi Quynh'!$B$11:$B$397,0)),"")</f>
        <v>A4</v>
      </c>
      <c r="S119" s="1138">
        <f t="shared" si="18"/>
        <v>0.5</v>
      </c>
      <c r="T119" s="1138" t="str">
        <f>VLOOKUP(B119,'[19]Gui chi Quynh'!$B$11:$E$397,4,FALSE)</f>
        <v>A DN</v>
      </c>
      <c r="U119" s="1138">
        <f t="shared" si="19"/>
        <v>0</v>
      </c>
      <c r="V119" s="1138" t="str">
        <f>VLOOKUP(B119,'[20]Gui chi Quynh'!$B$11:$E$396,4,FALSE)</f>
        <v>A3</v>
      </c>
      <c r="W119" s="1138">
        <f t="shared" si="20"/>
        <v>0.6</v>
      </c>
      <c r="X119" s="1138">
        <f>IFERROR(INDEX('[21]CN BC'!$J$10:$J$275,MATCH(B119,'[21]CN BC'!$H$10:$H$275,0)),"")</f>
        <v>21</v>
      </c>
      <c r="Y119" s="1138">
        <f>IFERROR(INDEX('[22]CN BC'!$J$10:$J$274,MATCH(B119,'[22]CN BC'!$H$10:$H$274,0)),"")</f>
        <v>0</v>
      </c>
      <c r="Z119" s="1138">
        <f>VLOOKUP(B119,'[23]CN BC'!$H$10:$J$275,3,FALSE)</f>
        <v>19</v>
      </c>
      <c r="AA119" s="1139">
        <f t="shared" si="21"/>
        <v>21</v>
      </c>
      <c r="AB119" s="1139">
        <f t="shared" si="22"/>
        <v>0</v>
      </c>
      <c r="AC119" s="1139">
        <f t="shared" si="23"/>
        <v>19</v>
      </c>
      <c r="AD119" s="1140"/>
      <c r="AE119" s="1141">
        <f t="shared" si="24"/>
        <v>8232629</v>
      </c>
      <c r="AF119" s="1519">
        <f t="shared" si="25"/>
        <v>3.5182175213675215</v>
      </c>
      <c r="AG119" s="1224">
        <v>2340000</v>
      </c>
      <c r="AH119" s="1521">
        <f t="shared" si="26"/>
        <v>8232629</v>
      </c>
      <c r="AI119" s="1142">
        <f t="shared" si="14"/>
        <v>102</v>
      </c>
      <c r="AJ119" s="1143">
        <f>IFERROR(INDEX('[17]CN BC'!$M$10:$M$276,MATCH(B119,'[17]CN BC'!$H$10:$H$276,0)),"")</f>
        <v>0</v>
      </c>
      <c r="AK119" s="1144" t="str">
        <f>VLOOKUP(B119,TH.T4!B122:AC452,28,FALSE)</f>
        <v>M-TT</v>
      </c>
      <c r="AL119" s="1130"/>
      <c r="AM119" s="1146"/>
      <c r="AN119" s="1147"/>
      <c r="AO119" s="1146"/>
      <c r="AP119" s="1146"/>
      <c r="AQ119" s="1146"/>
      <c r="AR119" s="1146"/>
      <c r="AS119" s="1146"/>
      <c r="AT119" s="1146"/>
      <c r="AU119" s="1146"/>
      <c r="AV119" s="1146"/>
      <c r="AW119" s="1146"/>
      <c r="AX119" s="1146"/>
    </row>
    <row r="120" spans="1:50" s="1148" customFormat="1" ht="30" customHeight="1">
      <c r="A120" s="1132">
        <f>_xlfn.AGGREGATE(4,7,A$17:A119)+1</f>
        <v>103</v>
      </c>
      <c r="B120" s="1133" t="s">
        <v>1832</v>
      </c>
      <c r="C120" s="1153" t="s">
        <v>1963</v>
      </c>
      <c r="D120" s="1208">
        <v>1603215005610</v>
      </c>
      <c r="E120" s="1058" t="str">
        <f>VLOOKUP(B120,TH.T6!B32:J362,9,FALSE)</f>
        <v>Giảng viên khoa May - Thời trang</v>
      </c>
      <c r="F120" s="1160">
        <v>3</v>
      </c>
      <c r="G120" s="1137"/>
      <c r="H120" s="1392">
        <f t="shared" si="15"/>
        <v>0</v>
      </c>
      <c r="I120" s="1138"/>
      <c r="J120" s="1160">
        <v>3</v>
      </c>
      <c r="K120" s="1137"/>
      <c r="L120" s="1392">
        <f t="shared" si="16"/>
        <v>0</v>
      </c>
      <c r="M120" s="1138"/>
      <c r="N120" s="1160">
        <v>3</v>
      </c>
      <c r="O120" s="1137"/>
      <c r="P120" s="1393">
        <f t="shared" si="17"/>
        <v>0</v>
      </c>
      <c r="Q120" s="1138"/>
      <c r="R120" s="1138" t="str">
        <f>IFERROR(INDEX('[18]Gui chi Quynh'!$E$11:$E$397,MATCH(B120,'[18]Gui chi Quynh'!$B$11:$B$397,0)),"")</f>
        <v>A4</v>
      </c>
      <c r="S120" s="1138">
        <f t="shared" si="18"/>
        <v>0.5</v>
      </c>
      <c r="T120" s="1138" t="str">
        <f>VLOOKUP(B120,'[19]Gui chi Quynh'!$B$11:$E$397,4,FALSE)</f>
        <v>A DN</v>
      </c>
      <c r="U120" s="1138">
        <f t="shared" si="19"/>
        <v>0</v>
      </c>
      <c r="V120" s="1138" t="str">
        <f>VLOOKUP(B120,'[20]Gui chi Quynh'!$B$11:$E$396,4,FALSE)</f>
        <v>A3</v>
      </c>
      <c r="W120" s="1138">
        <f t="shared" si="20"/>
        <v>0.6</v>
      </c>
      <c r="X120" s="1138">
        <f>IFERROR(INDEX('[21]CN BC'!$J$10:$J$275,MATCH(B120,'[21]CN BC'!$H$10:$H$275,0)),"")</f>
        <v>21</v>
      </c>
      <c r="Y120" s="1138">
        <f>IFERROR(INDEX('[22]CN BC'!$J$10:$J$274,MATCH(B120,'[22]CN BC'!$H$10:$H$274,0)),"")</f>
        <v>0</v>
      </c>
      <c r="Z120" s="1138">
        <f>VLOOKUP(B120,'[23]CN BC'!$H$10:$J$275,3,FALSE)</f>
        <v>19</v>
      </c>
      <c r="AA120" s="1139">
        <f t="shared" si="21"/>
        <v>21</v>
      </c>
      <c r="AB120" s="1139">
        <f t="shared" si="22"/>
        <v>0</v>
      </c>
      <c r="AC120" s="1139">
        <f t="shared" si="23"/>
        <v>19</v>
      </c>
      <c r="AD120" s="1140"/>
      <c r="AE120" s="1141">
        <f t="shared" si="24"/>
        <v>7416783</v>
      </c>
      <c r="AF120" s="1519">
        <f t="shared" si="25"/>
        <v>3.1695653846153844</v>
      </c>
      <c r="AG120" s="1224">
        <v>2340000</v>
      </c>
      <c r="AH120" s="1521">
        <f t="shared" si="26"/>
        <v>7416782.9999999991</v>
      </c>
      <c r="AI120" s="1142">
        <f t="shared" si="14"/>
        <v>103</v>
      </c>
      <c r="AJ120" s="1143">
        <f>IFERROR(INDEX('[17]CN BC'!$M$10:$M$276,MATCH(B120,'[17]CN BC'!$H$10:$H$276,0)),"")</f>
        <v>0</v>
      </c>
      <c r="AK120" s="1144" t="str">
        <f>VLOOKUP(B120,TH.T4!B123:AC453,28,FALSE)</f>
        <v>M-TT</v>
      </c>
      <c r="AL120" s="1130"/>
      <c r="AM120" s="1146"/>
      <c r="AN120" s="1147"/>
      <c r="AO120" s="1146"/>
      <c r="AP120" s="1146"/>
      <c r="AQ120" s="1146"/>
      <c r="AR120" s="1146"/>
      <c r="AS120" s="1146"/>
      <c r="AT120" s="1146"/>
    </row>
    <row r="121" spans="1:50" s="1146" customFormat="1" ht="27" customHeight="1">
      <c r="A121" s="1132">
        <f>_xlfn.AGGREGATE(4,7,A$17:A120)+1</f>
        <v>104</v>
      </c>
      <c r="B121" s="1172" t="s">
        <v>1555</v>
      </c>
      <c r="C121" s="1149" t="s">
        <v>1658</v>
      </c>
      <c r="D121" s="1173" t="s">
        <v>1278</v>
      </c>
      <c r="E121" s="1058" t="str">
        <f>VLOOKUP(B121,TH.T6!B33:J363,9,FALSE)</f>
        <v>Trưởng khoa KHCB</v>
      </c>
      <c r="F121" s="1174">
        <v>4.9800000000000004</v>
      </c>
      <c r="G121" s="1209"/>
      <c r="H121" s="1392">
        <f t="shared" si="15"/>
        <v>0</v>
      </c>
      <c r="I121" s="1210">
        <v>0.45</v>
      </c>
      <c r="J121" s="1174">
        <v>4.9800000000000004</v>
      </c>
      <c r="K121" s="1209"/>
      <c r="L121" s="1392">
        <f t="shared" si="16"/>
        <v>0</v>
      </c>
      <c r="M121" s="1210">
        <v>0.45</v>
      </c>
      <c r="N121" s="1174">
        <v>4.9800000000000004</v>
      </c>
      <c r="O121" s="1209"/>
      <c r="P121" s="1393">
        <f t="shared" si="17"/>
        <v>0</v>
      </c>
      <c r="Q121" s="1210">
        <v>0.45</v>
      </c>
      <c r="R121" s="1138" t="str">
        <f>IFERROR(INDEX('[18]Gui chi Quynh'!$E$11:$E$397,MATCH(B121,'[18]Gui chi Quynh'!$B$11:$B$397,0)),"")</f>
        <v>A2</v>
      </c>
      <c r="S121" s="1138">
        <f t="shared" si="18"/>
        <v>0.7</v>
      </c>
      <c r="T121" s="1138" t="str">
        <f>VLOOKUP(B121,'[19]Gui chi Quynh'!$B$11:$E$397,4,FALSE)</f>
        <v>A2</v>
      </c>
      <c r="U121" s="1138">
        <f t="shared" si="19"/>
        <v>0.7</v>
      </c>
      <c r="V121" s="1138" t="str">
        <f>VLOOKUP(B121,'[20]Gui chi Quynh'!$B$11:$E$396,4,FALSE)</f>
        <v>A2</v>
      </c>
      <c r="W121" s="1138">
        <f t="shared" si="20"/>
        <v>0.7</v>
      </c>
      <c r="X121" s="1138">
        <f>IFERROR(INDEX('[21]CN BC'!$J$10:$J$275,MATCH(B121,'[21]CN BC'!$H$10:$H$275,0)),"")</f>
        <v>22</v>
      </c>
      <c r="Y121" s="1138">
        <f>IFERROR(INDEX('[22]CN BC'!$J$10:$J$274,MATCH(B121,'[22]CN BC'!$H$10:$H$274,0)),"")</f>
        <v>22</v>
      </c>
      <c r="Z121" s="1138">
        <f>VLOOKUP(B121,'[23]CN BC'!$H$10:$J$275,3,FALSE)</f>
        <v>19</v>
      </c>
      <c r="AA121" s="1139">
        <f t="shared" si="21"/>
        <v>22</v>
      </c>
      <c r="AB121" s="1139">
        <f t="shared" si="22"/>
        <v>22</v>
      </c>
      <c r="AC121" s="1139">
        <f t="shared" si="23"/>
        <v>19</v>
      </c>
      <c r="AD121" s="1140"/>
      <c r="AE121" s="1141">
        <f t="shared" si="24"/>
        <v>26296310</v>
      </c>
      <c r="AF121" s="1519">
        <f t="shared" si="25"/>
        <v>11.237739316239317</v>
      </c>
      <c r="AG121" s="1224">
        <v>2340000</v>
      </c>
      <c r="AH121" s="1521">
        <f t="shared" si="26"/>
        <v>26296310</v>
      </c>
      <c r="AI121" s="1142">
        <f t="shared" si="14"/>
        <v>104</v>
      </c>
      <c r="AJ121" s="1143">
        <f>IFERROR(INDEX('[17]CN BC'!$M$10:$M$276,MATCH(B121,'[17]CN BC'!$H$10:$H$276,0)),"")</f>
        <v>0</v>
      </c>
      <c r="AK121" s="1144" t="str">
        <f>VLOOKUP(B121,TH.T4!B124:AC454,28,FALSE)</f>
        <v>KHCB</v>
      </c>
      <c r="AL121" s="1130"/>
      <c r="AN121" s="1147"/>
    </row>
    <row r="122" spans="1:50" s="1148" customFormat="1" ht="28.5" customHeight="1">
      <c r="A122" s="1132">
        <f>_xlfn.AGGREGATE(4,7,A$17:A121)+1</f>
        <v>105</v>
      </c>
      <c r="B122" s="1133" t="s">
        <v>1866</v>
      </c>
      <c r="C122" s="1153" t="s">
        <v>1697</v>
      </c>
      <c r="D122" s="1154" t="s">
        <v>1300</v>
      </c>
      <c r="E122" s="1058" t="str">
        <f>VLOOKUP(B122,TH.T6!B34:J364,9,FALSE)</f>
        <v>Giảng viên Khoa KHCB</v>
      </c>
      <c r="F122" s="1136">
        <v>4.9800000000000004</v>
      </c>
      <c r="G122" s="1137">
        <v>7.0000000000000007E-2</v>
      </c>
      <c r="H122" s="1392">
        <f t="shared" si="15"/>
        <v>0.34899999999999998</v>
      </c>
      <c r="I122" s="1138">
        <v>0.25</v>
      </c>
      <c r="J122" s="1136">
        <v>4.9800000000000004</v>
      </c>
      <c r="K122" s="1137">
        <v>7.0000000000000007E-2</v>
      </c>
      <c r="L122" s="1392">
        <f t="shared" si="16"/>
        <v>0.34899999999999998</v>
      </c>
      <c r="M122" s="1138">
        <v>0.25</v>
      </c>
      <c r="N122" s="1136">
        <v>4.9800000000000004</v>
      </c>
      <c r="O122" s="1137">
        <v>7.0000000000000007E-2</v>
      </c>
      <c r="P122" s="1393">
        <f t="shared" si="17"/>
        <v>0.34899999999999998</v>
      </c>
      <c r="Q122" s="1138">
        <v>0.25</v>
      </c>
      <c r="R122" s="1138" t="str">
        <f>IFERROR(INDEX('[18]Gui chi Quynh'!$E$11:$E$397,MATCH(B122,'[18]Gui chi Quynh'!$B$11:$B$397,0)),"")</f>
        <v>A4</v>
      </c>
      <c r="S122" s="1138">
        <f t="shared" si="18"/>
        <v>0.5</v>
      </c>
      <c r="T122" s="1138" t="str">
        <f>VLOOKUP(B122,'[19]Gui chi Quynh'!$B$11:$E$397,4,FALSE)</f>
        <v>A DN</v>
      </c>
      <c r="U122" s="1138">
        <f t="shared" si="19"/>
        <v>0</v>
      </c>
      <c r="V122" s="1138" t="str">
        <f>VLOOKUP(B122,'[20]Gui chi Quynh'!$B$11:$E$396,4,FALSE)</f>
        <v>A4</v>
      </c>
      <c r="W122" s="1138">
        <f t="shared" si="20"/>
        <v>0.5</v>
      </c>
      <c r="X122" s="1138">
        <f>IFERROR(INDEX('[21]CN BC'!$J$10:$J$275,MATCH(B122,'[21]CN BC'!$H$10:$H$275,0)),"")</f>
        <v>23</v>
      </c>
      <c r="Y122" s="1138">
        <f>IFERROR(INDEX('[22]CN BC'!$J$10:$J$274,MATCH(B122,'[22]CN BC'!$H$10:$H$274,0)),"")</f>
        <v>0</v>
      </c>
      <c r="Z122" s="1138">
        <f>VLOOKUP(B122,'[23]CN BC'!$H$10:$J$275,3,FALSE)</f>
        <v>19</v>
      </c>
      <c r="AA122" s="1139">
        <f t="shared" si="21"/>
        <v>23</v>
      </c>
      <c r="AB122" s="1139">
        <f t="shared" si="22"/>
        <v>0</v>
      </c>
      <c r="AC122" s="1139">
        <f t="shared" si="23"/>
        <v>19</v>
      </c>
      <c r="AD122" s="1140"/>
      <c r="AE122" s="1141">
        <f t="shared" si="24"/>
        <v>13054860</v>
      </c>
      <c r="AF122" s="1519">
        <f t="shared" si="25"/>
        <v>5.5789999999999997</v>
      </c>
      <c r="AG122" s="1224">
        <v>2340000</v>
      </c>
      <c r="AH122" s="1521">
        <f t="shared" si="26"/>
        <v>13054860</v>
      </c>
      <c r="AI122" s="1142">
        <f t="shared" si="14"/>
        <v>105</v>
      </c>
      <c r="AJ122" s="1143">
        <f>IFERROR(INDEX('[17]CN BC'!$M$10:$M$276,MATCH(B122,'[17]CN BC'!$H$10:$H$276,0)),"")</f>
        <v>0</v>
      </c>
      <c r="AK122" s="1144" t="str">
        <f>VLOOKUP(B122,TH.T4!B125:AC455,28,FALSE)</f>
        <v>KHCB</v>
      </c>
      <c r="AL122" s="1130"/>
      <c r="AM122" s="1146"/>
      <c r="AN122" s="1158"/>
    </row>
    <row r="123" spans="1:50" s="1146" customFormat="1" ht="30" customHeight="1">
      <c r="A123" s="1132">
        <f>_xlfn.AGGREGATE(4,7,A$17:A122)+1</f>
        <v>106</v>
      </c>
      <c r="B123" s="1172" t="s">
        <v>1867</v>
      </c>
      <c r="C123" s="1149" t="s">
        <v>1698</v>
      </c>
      <c r="D123" s="1173" t="s">
        <v>1299</v>
      </c>
      <c r="E123" s="1058" t="str">
        <f>VLOOKUP(B123,TH.T6!B35:J365,9,FALSE)</f>
        <v>Giảng viên Khoa KHCB</v>
      </c>
      <c r="F123" s="1174">
        <v>4.32</v>
      </c>
      <c r="G123" s="1175"/>
      <c r="H123" s="1392">
        <f t="shared" si="15"/>
        <v>0</v>
      </c>
      <c r="I123" s="1176"/>
      <c r="J123" s="1174">
        <v>4.32</v>
      </c>
      <c r="K123" s="1175"/>
      <c r="L123" s="1392">
        <f t="shared" si="16"/>
        <v>0</v>
      </c>
      <c r="M123" s="1176"/>
      <c r="N123" s="1174">
        <v>4.32</v>
      </c>
      <c r="O123" s="1175"/>
      <c r="P123" s="1393">
        <f t="shared" si="17"/>
        <v>0</v>
      </c>
      <c r="Q123" s="1176"/>
      <c r="R123" s="1138" t="str">
        <f>IFERROR(INDEX('[18]Gui chi Quynh'!$E$11:$E$397,MATCH(B123,'[18]Gui chi Quynh'!$B$11:$B$397,0)),"")</f>
        <v>A4</v>
      </c>
      <c r="S123" s="1138">
        <f t="shared" si="18"/>
        <v>0.5</v>
      </c>
      <c r="T123" s="1138" t="str">
        <f>VLOOKUP(B123,'[19]Gui chi Quynh'!$B$11:$E$397,4,FALSE)</f>
        <v>A DN</v>
      </c>
      <c r="U123" s="1138">
        <f t="shared" si="19"/>
        <v>0</v>
      </c>
      <c r="V123" s="1138" t="str">
        <f>VLOOKUP(B123,'[20]Gui chi Quynh'!$B$11:$E$396,4,FALSE)</f>
        <v>A3</v>
      </c>
      <c r="W123" s="1138">
        <f t="shared" si="20"/>
        <v>0.6</v>
      </c>
      <c r="X123" s="1138">
        <f>IFERROR(INDEX('[21]CN BC'!$J$10:$J$275,MATCH(B123,'[21]CN BC'!$H$10:$H$275,0)),"")</f>
        <v>23</v>
      </c>
      <c r="Y123" s="1138">
        <f>IFERROR(INDEX('[22]CN BC'!$J$10:$J$274,MATCH(B123,'[22]CN BC'!$H$10:$H$274,0)),"")</f>
        <v>0</v>
      </c>
      <c r="Z123" s="1138">
        <f>VLOOKUP(B123,'[23]CN BC'!$H$10:$J$275,3,FALSE)</f>
        <v>19</v>
      </c>
      <c r="AA123" s="1139">
        <f t="shared" si="21"/>
        <v>23</v>
      </c>
      <c r="AB123" s="1139">
        <f t="shared" si="22"/>
        <v>0</v>
      </c>
      <c r="AC123" s="1139">
        <f t="shared" si="23"/>
        <v>19</v>
      </c>
      <c r="AD123" s="1140"/>
      <c r="AE123" s="1141">
        <f t="shared" si="24"/>
        <v>11119680</v>
      </c>
      <c r="AF123" s="1519">
        <f t="shared" si="25"/>
        <v>4.7519999999999998</v>
      </c>
      <c r="AG123" s="1224">
        <v>2340000</v>
      </c>
      <c r="AH123" s="1521">
        <f t="shared" si="26"/>
        <v>11119680</v>
      </c>
      <c r="AI123" s="1142">
        <f t="shared" si="14"/>
        <v>106</v>
      </c>
      <c r="AJ123" s="1143">
        <f>IFERROR(INDEX('[17]CN BC'!$M$10:$M$276,MATCH(B123,'[17]CN BC'!$H$10:$H$276,0)),"")</f>
        <v>0</v>
      </c>
      <c r="AK123" s="1144" t="str">
        <f>VLOOKUP(B123,TH.T4!B126:AC456,28,FALSE)</f>
        <v>KHCB</v>
      </c>
      <c r="AL123" s="1130"/>
      <c r="AN123" s="1147"/>
    </row>
    <row r="124" spans="1:50" s="1148" customFormat="1" ht="30" customHeight="1">
      <c r="A124" s="1132">
        <f>_xlfn.AGGREGATE(4,7,A$17:A123)+1</f>
        <v>107</v>
      </c>
      <c r="B124" s="1215" t="s">
        <v>1485</v>
      </c>
      <c r="C124" s="1216" t="s">
        <v>1699</v>
      </c>
      <c r="D124" s="1347" t="s">
        <v>373</v>
      </c>
      <c r="E124" s="579" t="str">
        <f>VLOOKUP(B124,TH.T6!B36:J366,9,FALSE)</f>
        <v>Giảng viên khoa KHCB</v>
      </c>
      <c r="F124" s="1217">
        <v>3.99</v>
      </c>
      <c r="G124" s="1218"/>
      <c r="H124" s="1394">
        <f t="shared" si="15"/>
        <v>0</v>
      </c>
      <c r="I124" s="1219"/>
      <c r="J124" s="1217">
        <v>3.99</v>
      </c>
      <c r="K124" s="1218"/>
      <c r="L124" s="1394">
        <f t="shared" si="16"/>
        <v>0</v>
      </c>
      <c r="M124" s="1219"/>
      <c r="N124" s="1217">
        <v>4.32</v>
      </c>
      <c r="O124" s="1218"/>
      <c r="P124" s="1395">
        <f t="shared" si="17"/>
        <v>0</v>
      </c>
      <c r="Q124" s="1219"/>
      <c r="R124" s="1219" t="str">
        <f>IFERROR(INDEX('[18]Gui chi Quynh'!$E$11:$E$397,MATCH(B124,'[18]Gui chi Quynh'!$B$11:$B$397,0)),"")</f>
        <v>A4</v>
      </c>
      <c r="S124" s="1219">
        <f t="shared" si="18"/>
        <v>0.5</v>
      </c>
      <c r="T124" s="1219" t="str">
        <f>VLOOKUP(B124,'[19]Gui chi Quynh'!$B$11:$E$397,4,FALSE)</f>
        <v>A DN</v>
      </c>
      <c r="U124" s="1219">
        <f t="shared" si="19"/>
        <v>0</v>
      </c>
      <c r="V124" s="1219" t="str">
        <f>VLOOKUP(B124,'[20]Gui chi Quynh'!$B$11:$E$396,4,FALSE)</f>
        <v>A4</v>
      </c>
      <c r="W124" s="1219">
        <f t="shared" si="20"/>
        <v>0.5</v>
      </c>
      <c r="X124" s="1219">
        <f>IFERROR(INDEX('[21]CN BC'!$J$10:$J$275,MATCH(B124,'[21]CN BC'!$H$10:$H$275,0)),"")</f>
        <v>23</v>
      </c>
      <c r="Y124" s="1219">
        <f>IFERROR(INDEX('[22]CN BC'!$J$10:$J$274,MATCH(B124,'[22]CN BC'!$H$10:$H$274,0)),"")</f>
        <v>0</v>
      </c>
      <c r="Z124" s="1219">
        <f>VLOOKUP(B124,'[23]CN BC'!$H$10:$J$275,3,FALSE)</f>
        <v>19</v>
      </c>
      <c r="AA124" s="1348">
        <f t="shared" si="21"/>
        <v>23</v>
      </c>
      <c r="AB124" s="1348">
        <f t="shared" si="22"/>
        <v>0</v>
      </c>
      <c r="AC124" s="1348">
        <f t="shared" si="23"/>
        <v>19</v>
      </c>
      <c r="AD124" s="1220"/>
      <c r="AE124" s="1349">
        <f t="shared" si="24"/>
        <v>9722700</v>
      </c>
      <c r="AF124" s="1548">
        <f t="shared" si="25"/>
        <v>4.1550000000000002</v>
      </c>
      <c r="AG124" s="1359">
        <v>2340000</v>
      </c>
      <c r="AH124" s="1549">
        <f t="shared" si="26"/>
        <v>9722700</v>
      </c>
      <c r="AI124" s="1221">
        <f t="shared" si="14"/>
        <v>107</v>
      </c>
      <c r="AJ124" s="1350" t="s">
        <v>2362</v>
      </c>
      <c r="AK124" s="1144" t="str">
        <f>VLOOKUP(B124,TH.T4!B127:AC457,28,FALSE)</f>
        <v>KHCB</v>
      </c>
      <c r="AL124" s="1130"/>
      <c r="AM124" s="1146"/>
      <c r="AN124" s="1147"/>
      <c r="AO124" s="1146"/>
      <c r="AP124" s="1146"/>
      <c r="AQ124" s="1146"/>
      <c r="AR124" s="1146"/>
      <c r="AS124" s="1146"/>
      <c r="AT124" s="1146"/>
      <c r="AU124" s="1146"/>
      <c r="AV124" s="1146"/>
      <c r="AW124" s="1146"/>
      <c r="AX124" s="1146"/>
    </row>
    <row r="125" spans="1:50" s="1148" customFormat="1" ht="30" customHeight="1">
      <c r="A125" s="1132">
        <f>_xlfn.AGGREGATE(4,7,A$17:A124)+1</f>
        <v>108</v>
      </c>
      <c r="B125" s="1133" t="s">
        <v>1559</v>
      </c>
      <c r="C125" s="1149" t="s">
        <v>1647</v>
      </c>
      <c r="D125" s="1154" t="s">
        <v>406</v>
      </c>
      <c r="E125" s="1058" t="str">
        <f>VLOOKUP(B125,TH.T6!B37:J367,9,FALSE)</f>
        <v>Giảng viên khoa KHCB</v>
      </c>
      <c r="F125" s="1160">
        <v>3.66</v>
      </c>
      <c r="G125" s="1170"/>
      <c r="H125" s="1392">
        <f t="shared" si="15"/>
        <v>0</v>
      </c>
      <c r="I125" s="1138"/>
      <c r="J125" s="1160">
        <v>3.66</v>
      </c>
      <c r="K125" s="1170"/>
      <c r="L125" s="1392">
        <f t="shared" si="16"/>
        <v>0</v>
      </c>
      <c r="M125" s="1138"/>
      <c r="N125" s="1160">
        <v>3.66</v>
      </c>
      <c r="O125" s="1170"/>
      <c r="P125" s="1393">
        <f t="shared" si="17"/>
        <v>0</v>
      </c>
      <c r="Q125" s="1138"/>
      <c r="R125" s="1138" t="str">
        <f>IFERROR(INDEX('[18]Gui chi Quynh'!$E$11:$E$397,MATCH(B125,'[18]Gui chi Quynh'!$B$11:$B$397,0)),"")</f>
        <v>A4</v>
      </c>
      <c r="S125" s="1138">
        <f t="shared" si="18"/>
        <v>0.5</v>
      </c>
      <c r="T125" s="1138" t="str">
        <f>VLOOKUP(B125,'[19]Gui chi Quynh'!$B$11:$E$397,4,FALSE)</f>
        <v>A DN</v>
      </c>
      <c r="U125" s="1138">
        <f t="shared" si="19"/>
        <v>0</v>
      </c>
      <c r="V125" s="1138" t="str">
        <f>VLOOKUP(B125,'[20]Gui chi Quynh'!$B$11:$E$396,4,FALSE)</f>
        <v>A4</v>
      </c>
      <c r="W125" s="1138">
        <f t="shared" si="20"/>
        <v>0.5</v>
      </c>
      <c r="X125" s="1138">
        <f>IFERROR(INDEX('[21]CN BC'!$J$10:$J$275,MATCH(B125,'[21]CN BC'!$H$10:$H$275,0)),"")</f>
        <v>23</v>
      </c>
      <c r="Y125" s="1138">
        <f>IFERROR(INDEX('[22]CN BC'!$J$10:$J$274,MATCH(B125,'[22]CN BC'!$H$10:$H$274,0)),"")</f>
        <v>0</v>
      </c>
      <c r="Z125" s="1138">
        <f>VLOOKUP(B125,'[23]CN BC'!$H$10:$J$275,3,FALSE)</f>
        <v>19</v>
      </c>
      <c r="AA125" s="1139">
        <f t="shared" si="21"/>
        <v>23</v>
      </c>
      <c r="AB125" s="1139">
        <f t="shared" si="22"/>
        <v>0</v>
      </c>
      <c r="AC125" s="1139">
        <f t="shared" si="23"/>
        <v>19</v>
      </c>
      <c r="AD125" s="1140"/>
      <c r="AE125" s="1141">
        <f t="shared" si="24"/>
        <v>8564400</v>
      </c>
      <c r="AF125" s="1519">
        <f t="shared" si="25"/>
        <v>3.66</v>
      </c>
      <c r="AG125" s="1224">
        <v>2340000</v>
      </c>
      <c r="AH125" s="1521">
        <f t="shared" si="26"/>
        <v>8564400</v>
      </c>
      <c r="AI125" s="1142">
        <f t="shared" si="14"/>
        <v>108</v>
      </c>
      <c r="AJ125" s="1143">
        <f>IFERROR(INDEX('[17]CN BC'!$M$10:$M$276,MATCH(B125,'[17]CN BC'!$H$10:$H$276,0)),"")</f>
        <v>0</v>
      </c>
      <c r="AK125" s="1144" t="str">
        <f>VLOOKUP(B125,TH.T4!B128:AC458,28,FALSE)</f>
        <v>KHCB</v>
      </c>
      <c r="AL125" s="1130"/>
      <c r="AM125" s="1146"/>
      <c r="AN125" s="1147"/>
      <c r="AO125" s="1146"/>
      <c r="AP125" s="1146"/>
      <c r="AQ125" s="1146"/>
      <c r="AR125" s="1146"/>
      <c r="AS125" s="1146"/>
      <c r="AT125" s="1146"/>
      <c r="AU125" s="1146"/>
      <c r="AV125" s="1146"/>
      <c r="AW125" s="1146"/>
      <c r="AX125" s="1146"/>
    </row>
    <row r="126" spans="1:50" s="1148" customFormat="1" ht="30" customHeight="1">
      <c r="A126" s="1132">
        <f>_xlfn.AGGREGATE(4,7,A$17:A125)+1</f>
        <v>109</v>
      </c>
      <c r="B126" s="1133" t="s">
        <v>1868</v>
      </c>
      <c r="C126" s="1153" t="s">
        <v>1700</v>
      </c>
      <c r="D126" s="1154" t="s">
        <v>1303</v>
      </c>
      <c r="E126" s="1058" t="str">
        <f>VLOOKUP(B126,TH.T6!B38:J368,9,FALSE)</f>
        <v>Giảng viên Khoa KHCB</v>
      </c>
      <c r="F126" s="1136">
        <v>4.6500000000000004</v>
      </c>
      <c r="G126" s="1137"/>
      <c r="H126" s="1392">
        <f t="shared" si="15"/>
        <v>0</v>
      </c>
      <c r="I126" s="1138"/>
      <c r="J126" s="1136">
        <v>4.6500000000000004</v>
      </c>
      <c r="K126" s="1137"/>
      <c r="L126" s="1392">
        <f t="shared" si="16"/>
        <v>0</v>
      </c>
      <c r="M126" s="1138"/>
      <c r="N126" s="1136">
        <v>4.6500000000000004</v>
      </c>
      <c r="O126" s="1137"/>
      <c r="P126" s="1393">
        <f t="shared" si="17"/>
        <v>0</v>
      </c>
      <c r="Q126" s="1138"/>
      <c r="R126" s="1138" t="str">
        <f>IFERROR(INDEX('[18]Gui chi Quynh'!$E$11:$E$397,MATCH(B126,'[18]Gui chi Quynh'!$B$11:$B$397,0)),"")</f>
        <v>A4</v>
      </c>
      <c r="S126" s="1138">
        <f t="shared" si="18"/>
        <v>0.5</v>
      </c>
      <c r="T126" s="1138" t="str">
        <f>VLOOKUP(B126,'[19]Gui chi Quynh'!$B$11:$E$397,4,FALSE)</f>
        <v>A DN</v>
      </c>
      <c r="U126" s="1138">
        <f t="shared" si="19"/>
        <v>0</v>
      </c>
      <c r="V126" s="1138" t="str">
        <f>VLOOKUP(B126,'[20]Gui chi Quynh'!$B$11:$E$396,4,FALSE)</f>
        <v>A3</v>
      </c>
      <c r="W126" s="1138">
        <f t="shared" si="20"/>
        <v>0.6</v>
      </c>
      <c r="X126" s="1138">
        <f>IFERROR(INDEX('[21]CN BC'!$J$10:$J$275,MATCH(B126,'[21]CN BC'!$H$10:$H$275,0)),"")</f>
        <v>21</v>
      </c>
      <c r="Y126" s="1138">
        <f>IFERROR(INDEX('[22]CN BC'!$J$10:$J$274,MATCH(B126,'[22]CN BC'!$H$10:$H$274,0)),"")</f>
        <v>0</v>
      </c>
      <c r="Z126" s="1138">
        <f>VLOOKUP(B126,'[23]CN BC'!$H$10:$J$275,3,FALSE)</f>
        <v>19</v>
      </c>
      <c r="AA126" s="1139">
        <f t="shared" si="21"/>
        <v>21</v>
      </c>
      <c r="AB126" s="1139">
        <f t="shared" si="22"/>
        <v>0</v>
      </c>
      <c r="AC126" s="1139">
        <f t="shared" si="23"/>
        <v>19</v>
      </c>
      <c r="AD126" s="1140"/>
      <c r="AE126" s="1141">
        <f t="shared" si="24"/>
        <v>11496013</v>
      </c>
      <c r="AF126" s="1519">
        <f t="shared" si="25"/>
        <v>4.9128260683760683</v>
      </c>
      <c r="AG126" s="1224">
        <v>2340000</v>
      </c>
      <c r="AH126" s="1521">
        <f t="shared" si="26"/>
        <v>11496013</v>
      </c>
      <c r="AI126" s="1142">
        <f t="shared" si="14"/>
        <v>109</v>
      </c>
      <c r="AJ126" s="1143">
        <f>IFERROR(INDEX('[17]CN BC'!$M$10:$M$276,MATCH(B126,'[17]CN BC'!$H$10:$H$276,0)),"")</f>
        <v>0</v>
      </c>
      <c r="AK126" s="1144" t="str">
        <f>VLOOKUP(B126,TH.T4!B129:AC459,28,FALSE)</f>
        <v>KHCB</v>
      </c>
      <c r="AL126" s="1130"/>
      <c r="AM126" s="1146"/>
      <c r="AN126" s="1147"/>
      <c r="AO126" s="1146"/>
      <c r="AP126" s="1146"/>
      <c r="AQ126" s="1146"/>
      <c r="AR126" s="1146"/>
      <c r="AS126" s="1146"/>
      <c r="AT126" s="1146"/>
    </row>
    <row r="127" spans="1:50" s="1148" customFormat="1" ht="30" customHeight="1">
      <c r="A127" s="1132">
        <f>_xlfn.AGGREGATE(4,7,A$17:A126)+1</f>
        <v>110</v>
      </c>
      <c r="B127" s="1133" t="s">
        <v>1869</v>
      </c>
      <c r="C127" s="1149" t="s">
        <v>1701</v>
      </c>
      <c r="D127" s="1154" t="s">
        <v>1304</v>
      </c>
      <c r="E127" s="1058" t="str">
        <f>VLOOKUP(B127,TH.T6!B39:J369,9,FALSE)</f>
        <v>Giảng viên Khoa KHCB</v>
      </c>
      <c r="F127" s="1160">
        <v>4.32</v>
      </c>
      <c r="G127" s="1137"/>
      <c r="H127" s="1392">
        <f t="shared" si="15"/>
        <v>0</v>
      </c>
      <c r="I127" s="1138"/>
      <c r="J127" s="1160">
        <v>4.32</v>
      </c>
      <c r="K127" s="1137"/>
      <c r="L127" s="1392">
        <f t="shared" si="16"/>
        <v>0</v>
      </c>
      <c r="M127" s="1138"/>
      <c r="N127" s="1160">
        <v>4.32</v>
      </c>
      <c r="O127" s="1137"/>
      <c r="P127" s="1393">
        <f t="shared" si="17"/>
        <v>0</v>
      </c>
      <c r="Q127" s="1138"/>
      <c r="R127" s="1138" t="str">
        <f>IFERROR(INDEX('[18]Gui chi Quynh'!$E$11:$E$397,MATCH(B127,'[18]Gui chi Quynh'!$B$11:$B$397,0)),"")</f>
        <v>A3</v>
      </c>
      <c r="S127" s="1138">
        <f t="shared" si="18"/>
        <v>0.6</v>
      </c>
      <c r="T127" s="1138" t="str">
        <f>VLOOKUP(B127,'[19]Gui chi Quynh'!$B$11:$E$397,4,FALSE)</f>
        <v>A DN</v>
      </c>
      <c r="U127" s="1138">
        <f t="shared" si="19"/>
        <v>0</v>
      </c>
      <c r="V127" s="1138" t="str">
        <f>VLOOKUP(B127,'[20]Gui chi Quynh'!$B$11:$E$396,4,FALSE)</f>
        <v>A3</v>
      </c>
      <c r="W127" s="1138">
        <f t="shared" si="20"/>
        <v>0.6</v>
      </c>
      <c r="X127" s="1138">
        <f>IFERROR(INDEX('[21]CN BC'!$J$10:$J$275,MATCH(B127,'[21]CN BC'!$H$10:$H$275,0)),"")</f>
        <v>21</v>
      </c>
      <c r="Y127" s="1138">
        <f>IFERROR(INDEX('[22]CN BC'!$J$10:$J$274,MATCH(B127,'[22]CN BC'!$H$10:$H$274,0)),"")</f>
        <v>0</v>
      </c>
      <c r="Z127" s="1138">
        <f>VLOOKUP(B127,'[23]CN BC'!$H$10:$J$275,3,FALSE)</f>
        <v>19</v>
      </c>
      <c r="AA127" s="1139">
        <f t="shared" si="21"/>
        <v>21</v>
      </c>
      <c r="AB127" s="1139">
        <f t="shared" si="22"/>
        <v>0</v>
      </c>
      <c r="AC127" s="1139">
        <f t="shared" si="23"/>
        <v>19</v>
      </c>
      <c r="AD127" s="1140"/>
      <c r="AE127" s="1141">
        <f t="shared" si="24"/>
        <v>11603144</v>
      </c>
      <c r="AF127" s="1519">
        <f t="shared" si="25"/>
        <v>4.9586085470085468</v>
      </c>
      <c r="AG127" s="1224">
        <v>2340000</v>
      </c>
      <c r="AH127" s="1521">
        <f t="shared" si="26"/>
        <v>11603144</v>
      </c>
      <c r="AI127" s="1142">
        <f t="shared" si="14"/>
        <v>110</v>
      </c>
      <c r="AJ127" s="1143">
        <f>IFERROR(INDEX('[17]CN BC'!$M$10:$M$276,MATCH(B127,'[17]CN BC'!$H$10:$H$276,0)),"")</f>
        <v>0</v>
      </c>
      <c r="AK127" s="1144" t="str">
        <f>VLOOKUP(B127,TH.T4!B130:AC460,28,FALSE)</f>
        <v>KHCB</v>
      </c>
      <c r="AL127" s="1130"/>
      <c r="AM127" s="1146"/>
      <c r="AN127" s="1147"/>
      <c r="AO127" s="1146"/>
      <c r="AP127" s="1146"/>
      <c r="AQ127" s="1146"/>
      <c r="AR127" s="1146"/>
      <c r="AS127" s="1146"/>
      <c r="AT127" s="1146"/>
      <c r="AU127" s="1146"/>
      <c r="AV127" s="1146"/>
      <c r="AW127" s="1146"/>
      <c r="AX127" s="1146"/>
    </row>
    <row r="128" spans="1:50" s="1148" customFormat="1" ht="30" customHeight="1">
      <c r="A128" s="1132">
        <f>_xlfn.AGGREGATE(4,7,A$17:A127)+1</f>
        <v>111</v>
      </c>
      <c r="B128" s="1215" t="s">
        <v>1870</v>
      </c>
      <c r="C128" s="1216" t="s">
        <v>1702</v>
      </c>
      <c r="D128" s="1347" t="s">
        <v>1306</v>
      </c>
      <c r="E128" s="579" t="str">
        <f>VLOOKUP(B128,TH.T6!B40:J370,9,FALSE)</f>
        <v>Giảng viên Khoa KHCB</v>
      </c>
      <c r="F128" s="1217">
        <v>4.9800000000000004</v>
      </c>
      <c r="G128" s="1218">
        <v>0.08</v>
      </c>
      <c r="H128" s="1394">
        <f t="shared" si="15"/>
        <v>0.39800000000000002</v>
      </c>
      <c r="I128" s="1219"/>
      <c r="J128" s="1217">
        <v>4.9800000000000004</v>
      </c>
      <c r="K128" s="1218">
        <v>0.08</v>
      </c>
      <c r="L128" s="1394">
        <f t="shared" si="16"/>
        <v>0.39800000000000002</v>
      </c>
      <c r="M128" s="1219"/>
      <c r="N128" s="1217">
        <v>4.9800000000000004</v>
      </c>
      <c r="O128" s="1218">
        <v>0.09</v>
      </c>
      <c r="P128" s="1395">
        <f t="shared" si="17"/>
        <v>0.44800000000000001</v>
      </c>
      <c r="Q128" s="1219"/>
      <c r="R128" s="1219" t="str">
        <f>IFERROR(INDEX('[18]Gui chi Quynh'!$E$11:$E$397,MATCH(B128,'[18]Gui chi Quynh'!$B$11:$B$397,0)),"")</f>
        <v>A3</v>
      </c>
      <c r="S128" s="1219">
        <f t="shared" si="18"/>
        <v>0.6</v>
      </c>
      <c r="T128" s="1219" t="str">
        <f>VLOOKUP(B128,'[19]Gui chi Quynh'!$B$11:$E$397,4,FALSE)</f>
        <v>A DN</v>
      </c>
      <c r="U128" s="1219">
        <f t="shared" si="19"/>
        <v>0</v>
      </c>
      <c r="V128" s="1219" t="str">
        <f>VLOOKUP(B128,'[20]Gui chi Quynh'!$B$11:$E$396,4,FALSE)</f>
        <v>A3</v>
      </c>
      <c r="W128" s="1219">
        <f t="shared" si="20"/>
        <v>0.6</v>
      </c>
      <c r="X128" s="1219">
        <f>IFERROR(INDEX('[21]CN BC'!$J$10:$J$275,MATCH(B128,'[21]CN BC'!$H$10:$H$275,0)),"")</f>
        <v>22</v>
      </c>
      <c r="Y128" s="1219">
        <f>IFERROR(INDEX('[22]CN BC'!$J$10:$J$274,MATCH(B128,'[22]CN BC'!$H$10:$H$274,0)),"")</f>
        <v>0</v>
      </c>
      <c r="Z128" s="1219">
        <f>VLOOKUP(B128,'[23]CN BC'!$H$10:$J$275,3,FALSE)</f>
        <v>19</v>
      </c>
      <c r="AA128" s="1348">
        <f t="shared" si="21"/>
        <v>22</v>
      </c>
      <c r="AB128" s="1348">
        <f t="shared" si="22"/>
        <v>0</v>
      </c>
      <c r="AC128" s="1348">
        <f t="shared" si="23"/>
        <v>19</v>
      </c>
      <c r="AD128" s="1220"/>
      <c r="AE128" s="1349">
        <f t="shared" si="24"/>
        <v>14843332</v>
      </c>
      <c r="AF128" s="1548">
        <f t="shared" si="25"/>
        <v>6.3433042735042733</v>
      </c>
      <c r="AG128" s="1359">
        <v>2340000</v>
      </c>
      <c r="AH128" s="1549">
        <f t="shared" si="26"/>
        <v>14843332</v>
      </c>
      <c r="AI128" s="1221">
        <f t="shared" si="14"/>
        <v>111</v>
      </c>
      <c r="AJ128" s="1350" t="s">
        <v>2362</v>
      </c>
      <c r="AK128" s="1144" t="str">
        <f>VLOOKUP(B128,TH.T4!B131:AC461,28,FALSE)</f>
        <v>KHCB</v>
      </c>
      <c r="AL128" s="1130"/>
      <c r="AM128" s="1146"/>
      <c r="AN128" s="1158"/>
    </row>
    <row r="129" spans="1:50" s="1148" customFormat="1" ht="26.25" customHeight="1">
      <c r="A129" s="1132">
        <f>_xlfn.AGGREGATE(4,7,A$17:A128)+1</f>
        <v>112</v>
      </c>
      <c r="B129" s="1133" t="s">
        <v>847</v>
      </c>
      <c r="C129" s="1153" t="s">
        <v>1703</v>
      </c>
      <c r="D129" s="1154" t="s">
        <v>1307</v>
      </c>
      <c r="E129" s="1058" t="str">
        <f>VLOOKUP(B129,TH.T6!B41:J371,9,FALSE)</f>
        <v>Giảng viên khoa KHCB</v>
      </c>
      <c r="F129" s="1160">
        <v>3.99</v>
      </c>
      <c r="G129" s="1137"/>
      <c r="H129" s="1392">
        <f t="shared" si="15"/>
        <v>0</v>
      </c>
      <c r="I129" s="1138"/>
      <c r="J129" s="1160">
        <v>3.99</v>
      </c>
      <c r="K129" s="1137"/>
      <c r="L129" s="1392">
        <f t="shared" si="16"/>
        <v>0</v>
      </c>
      <c r="M129" s="1138"/>
      <c r="N129" s="1160">
        <v>3.99</v>
      </c>
      <c r="O129" s="1137"/>
      <c r="P129" s="1393">
        <f t="shared" si="17"/>
        <v>0</v>
      </c>
      <c r="Q129" s="1138"/>
      <c r="R129" s="1138" t="str">
        <f>IFERROR(INDEX('[18]Gui chi Quynh'!$E$11:$E$397,MATCH(B129,'[18]Gui chi Quynh'!$B$11:$B$397,0)),"")</f>
        <v>A4</v>
      </c>
      <c r="S129" s="1138">
        <f t="shared" si="18"/>
        <v>0.5</v>
      </c>
      <c r="T129" s="1138" t="str">
        <f>VLOOKUP(B129,'[19]Gui chi Quynh'!$B$11:$E$397,4,FALSE)</f>
        <v>A DN</v>
      </c>
      <c r="U129" s="1138">
        <f t="shared" si="19"/>
        <v>0</v>
      </c>
      <c r="V129" s="1138" t="str">
        <f>VLOOKUP(B129,'[20]Gui chi Quynh'!$B$11:$E$396,4,FALSE)</f>
        <v>A4</v>
      </c>
      <c r="W129" s="1138">
        <f t="shared" si="20"/>
        <v>0.5</v>
      </c>
      <c r="X129" s="1138">
        <f>IFERROR(INDEX('[21]CN BC'!$J$10:$J$275,MATCH(B129,'[21]CN BC'!$H$10:$H$275,0)),"")</f>
        <v>21</v>
      </c>
      <c r="Y129" s="1138">
        <f>IFERROR(INDEX('[22]CN BC'!$J$10:$J$274,MATCH(B129,'[22]CN BC'!$H$10:$H$274,0)),"")</f>
        <v>0</v>
      </c>
      <c r="Z129" s="1138">
        <f>VLOOKUP(B129,'[23]CN BC'!$H$10:$J$275,3,FALSE)</f>
        <v>19</v>
      </c>
      <c r="AA129" s="1139">
        <f t="shared" si="21"/>
        <v>21</v>
      </c>
      <c r="AB129" s="1139">
        <f t="shared" si="22"/>
        <v>0</v>
      </c>
      <c r="AC129" s="1139">
        <f t="shared" si="23"/>
        <v>19</v>
      </c>
      <c r="AD129" s="1140"/>
      <c r="AE129" s="1141">
        <f t="shared" si="24"/>
        <v>8930661</v>
      </c>
      <c r="AF129" s="1519">
        <f t="shared" si="25"/>
        <v>3.8165217948717949</v>
      </c>
      <c r="AG129" s="1224">
        <v>2340000</v>
      </c>
      <c r="AH129" s="1521">
        <f t="shared" si="26"/>
        <v>8930661</v>
      </c>
      <c r="AI129" s="1211">
        <f t="shared" si="14"/>
        <v>112</v>
      </c>
      <c r="AJ129" s="1143">
        <f>IFERROR(INDEX('[17]CN BC'!$M$10:$M$276,MATCH(B129,'[17]CN BC'!$H$10:$H$276,0)),"")</f>
        <v>0</v>
      </c>
      <c r="AK129" s="1144" t="str">
        <f>VLOOKUP(B129,TH.T4!B132:AC462,28,FALSE)</f>
        <v>KHCB</v>
      </c>
      <c r="AL129" s="1171"/>
      <c r="AN129" s="1158"/>
    </row>
    <row r="130" spans="1:50" s="1148" customFormat="1" ht="30" customHeight="1">
      <c r="A130" s="1132">
        <f>_xlfn.AGGREGATE(4,7,A$17:A129)+1</f>
        <v>113</v>
      </c>
      <c r="B130" s="1133" t="s">
        <v>1486</v>
      </c>
      <c r="C130" s="1149" t="s">
        <v>1704</v>
      </c>
      <c r="D130" s="1166" t="s">
        <v>1588</v>
      </c>
      <c r="E130" s="1058" t="str">
        <f>VLOOKUP(B130,TH.T6!B42:J372,9,FALSE)</f>
        <v>Giảng viên khoa KHCB</v>
      </c>
      <c r="F130" s="1160">
        <v>3.66</v>
      </c>
      <c r="G130" s="1137"/>
      <c r="H130" s="1392">
        <f t="shared" si="15"/>
        <v>0</v>
      </c>
      <c r="I130" s="1138"/>
      <c r="J130" s="1160">
        <v>3.66</v>
      </c>
      <c r="K130" s="1137"/>
      <c r="L130" s="1392">
        <f t="shared" si="16"/>
        <v>0</v>
      </c>
      <c r="M130" s="1138"/>
      <c r="N130" s="1160">
        <v>3.66</v>
      </c>
      <c r="O130" s="1137"/>
      <c r="P130" s="1393">
        <f t="shared" si="17"/>
        <v>0</v>
      </c>
      <c r="Q130" s="1138"/>
      <c r="R130" s="1138" t="str">
        <f>IFERROR(INDEX('[18]Gui chi Quynh'!$E$11:$E$397,MATCH(B130,'[18]Gui chi Quynh'!$B$11:$B$397,0)),"")</f>
        <v>A4</v>
      </c>
      <c r="S130" s="1138">
        <f t="shared" si="18"/>
        <v>0.5</v>
      </c>
      <c r="T130" s="1138" t="str">
        <f>VLOOKUP(B130,'[19]Gui chi Quynh'!$B$11:$E$397,4,FALSE)</f>
        <v>A DN</v>
      </c>
      <c r="U130" s="1138">
        <f t="shared" si="19"/>
        <v>0</v>
      </c>
      <c r="V130" s="1138" t="str">
        <f>VLOOKUP(B130,'[20]Gui chi Quynh'!$B$11:$E$396,4,FALSE)</f>
        <v>A4</v>
      </c>
      <c r="W130" s="1138">
        <f t="shared" si="20"/>
        <v>0.5</v>
      </c>
      <c r="X130" s="1138">
        <f>IFERROR(INDEX('[21]CN BC'!$J$10:$J$275,MATCH(B130,'[21]CN BC'!$H$10:$H$275,0)),"")</f>
        <v>23</v>
      </c>
      <c r="Y130" s="1138">
        <f>IFERROR(INDEX('[22]CN BC'!$J$10:$J$274,MATCH(B130,'[22]CN BC'!$H$10:$H$274,0)),"")</f>
        <v>0</v>
      </c>
      <c r="Z130" s="1138">
        <f>VLOOKUP(B130,'[23]CN BC'!$H$10:$J$275,3,FALSE)</f>
        <v>19</v>
      </c>
      <c r="AA130" s="1139">
        <f t="shared" si="21"/>
        <v>23</v>
      </c>
      <c r="AB130" s="1139">
        <f t="shared" si="22"/>
        <v>0</v>
      </c>
      <c r="AC130" s="1139">
        <f t="shared" si="23"/>
        <v>19</v>
      </c>
      <c r="AD130" s="1140"/>
      <c r="AE130" s="1141">
        <f t="shared" si="24"/>
        <v>8564400</v>
      </c>
      <c r="AF130" s="1519">
        <f t="shared" si="25"/>
        <v>3.66</v>
      </c>
      <c r="AG130" s="1224">
        <v>2340000</v>
      </c>
      <c r="AH130" s="1521">
        <f t="shared" si="26"/>
        <v>8564400</v>
      </c>
      <c r="AI130" s="1211">
        <f t="shared" si="14"/>
        <v>113</v>
      </c>
      <c r="AJ130" s="1143">
        <f>IFERROR(INDEX('[17]CN BC'!$M$10:$M$276,MATCH(B130,'[17]CN BC'!$H$10:$H$276,0)),"")</f>
        <v>0</v>
      </c>
      <c r="AK130" s="1144" t="str">
        <f>VLOOKUP(B130,TH.T4!B133:AC463,28,FALSE)</f>
        <v>KHCB</v>
      </c>
      <c r="AL130" s="1130"/>
      <c r="AM130" s="1146"/>
      <c r="AN130" s="1147"/>
      <c r="AO130" s="1146"/>
      <c r="AP130" s="1146"/>
      <c r="AQ130" s="1146"/>
      <c r="AR130" s="1146"/>
      <c r="AS130" s="1146"/>
      <c r="AT130" s="1146"/>
      <c r="AU130" s="1146"/>
      <c r="AV130" s="1146"/>
      <c r="AW130" s="1146"/>
      <c r="AX130" s="1146"/>
    </row>
    <row r="131" spans="1:50" s="1146" customFormat="1" ht="30" customHeight="1">
      <c r="A131" s="1132">
        <f>_xlfn.AGGREGATE(4,7,A$17:A130)+1</f>
        <v>114</v>
      </c>
      <c r="B131" s="1133" t="s">
        <v>1871</v>
      </c>
      <c r="C131" s="1153" t="s">
        <v>1705</v>
      </c>
      <c r="D131" s="1154" t="s">
        <v>1309</v>
      </c>
      <c r="E131" s="1058" t="str">
        <f>VLOOKUP(B131,TH.T6!B43:J373,9,FALSE)</f>
        <v>Phó TK Khoa KHCB</v>
      </c>
      <c r="F131" s="1136">
        <v>4.9800000000000004</v>
      </c>
      <c r="G131" s="1137"/>
      <c r="H131" s="1392">
        <f t="shared" si="15"/>
        <v>0</v>
      </c>
      <c r="I131" s="1138">
        <v>0.35</v>
      </c>
      <c r="J131" s="1136">
        <v>4.9800000000000004</v>
      </c>
      <c r="K131" s="1137"/>
      <c r="L131" s="1392">
        <f t="shared" si="16"/>
        <v>0</v>
      </c>
      <c r="M131" s="1138">
        <v>0.35</v>
      </c>
      <c r="N131" s="1136">
        <v>4.9800000000000004</v>
      </c>
      <c r="O131" s="1137"/>
      <c r="P131" s="1393">
        <f t="shared" si="17"/>
        <v>0</v>
      </c>
      <c r="Q131" s="1138">
        <v>0.35</v>
      </c>
      <c r="R131" s="1138" t="str">
        <f>IFERROR(INDEX('[18]Gui chi Quynh'!$E$11:$E$397,MATCH(B131,'[18]Gui chi Quynh'!$B$11:$B$397,0)),"")</f>
        <v>A3</v>
      </c>
      <c r="S131" s="1138">
        <f t="shared" si="18"/>
        <v>0.6</v>
      </c>
      <c r="T131" s="1138" t="str">
        <f>VLOOKUP(B131,'[19]Gui chi Quynh'!$B$11:$E$397,4,FALSE)</f>
        <v>A3</v>
      </c>
      <c r="U131" s="1138">
        <f t="shared" si="19"/>
        <v>0.6</v>
      </c>
      <c r="V131" s="1138" t="str">
        <f>VLOOKUP(B131,'[20]Gui chi Quynh'!$B$11:$E$396,4,FALSE)</f>
        <v>A3</v>
      </c>
      <c r="W131" s="1138">
        <f t="shared" si="20"/>
        <v>0.6</v>
      </c>
      <c r="X131" s="1138">
        <f>IFERROR(INDEX('[21]CN BC'!$J$10:$J$275,MATCH(B131,'[21]CN BC'!$H$10:$H$275,0)),"")</f>
        <v>21</v>
      </c>
      <c r="Y131" s="1138">
        <f>IFERROR(INDEX('[22]CN BC'!$J$10:$J$274,MATCH(B131,'[22]CN BC'!$H$10:$H$274,0)),"")</f>
        <v>22</v>
      </c>
      <c r="Z131" s="1138">
        <f>VLOOKUP(B131,'[23]CN BC'!$H$10:$J$275,3,FALSE)</f>
        <v>19</v>
      </c>
      <c r="AA131" s="1139">
        <f t="shared" si="21"/>
        <v>21</v>
      </c>
      <c r="AB131" s="1139">
        <f t="shared" si="22"/>
        <v>22</v>
      </c>
      <c r="AC131" s="1139">
        <f t="shared" si="23"/>
        <v>19</v>
      </c>
      <c r="AD131" s="1140"/>
      <c r="AE131" s="1141">
        <f t="shared" si="24"/>
        <v>21799237</v>
      </c>
      <c r="AF131" s="1519">
        <f t="shared" si="25"/>
        <v>9.3159132478632483</v>
      </c>
      <c r="AG131" s="1224">
        <v>2340000</v>
      </c>
      <c r="AH131" s="1521">
        <f t="shared" si="26"/>
        <v>21799237</v>
      </c>
      <c r="AI131" s="1211">
        <f t="shared" si="14"/>
        <v>114</v>
      </c>
      <c r="AJ131" s="1143">
        <f>IFERROR(INDEX('[17]CN BC'!$M$10:$M$276,MATCH(B131,'[17]CN BC'!$H$10:$H$276,0)),"")</f>
        <v>0</v>
      </c>
      <c r="AK131" s="1144" t="str">
        <f>VLOOKUP(B131,TH.T4!B134:AC464,28,FALSE)</f>
        <v>KHCB</v>
      </c>
      <c r="AL131" s="1130"/>
      <c r="AN131" s="1147"/>
    </row>
    <row r="132" spans="1:50" s="1148" customFormat="1" ht="30" customHeight="1">
      <c r="A132" s="1132">
        <f>_xlfn.AGGREGATE(4,7,A$17:A131)+1</f>
        <v>115</v>
      </c>
      <c r="B132" s="1215" t="s">
        <v>1872</v>
      </c>
      <c r="C132" s="1216" t="s">
        <v>1706</v>
      </c>
      <c r="D132" s="1347" t="s">
        <v>1311</v>
      </c>
      <c r="E132" s="579" t="str">
        <f>VLOOKUP(B132,TH.T6!B44:J374,9,FALSE)</f>
        <v>Giảng viên Khoa KHCB</v>
      </c>
      <c r="F132" s="1217">
        <v>4.9800000000000004</v>
      </c>
      <c r="G132" s="1218">
        <v>0.05</v>
      </c>
      <c r="H132" s="1394">
        <f t="shared" si="15"/>
        <v>0.249</v>
      </c>
      <c r="I132" s="1219"/>
      <c r="J132" s="1217">
        <v>4.9800000000000004</v>
      </c>
      <c r="K132" s="1218">
        <v>0.05</v>
      </c>
      <c r="L132" s="1394">
        <f t="shared" si="16"/>
        <v>0.249</v>
      </c>
      <c r="M132" s="1219"/>
      <c r="N132" s="1217">
        <v>4.9800000000000004</v>
      </c>
      <c r="O132" s="1218">
        <v>0.06</v>
      </c>
      <c r="P132" s="1395">
        <f t="shared" si="17"/>
        <v>0.29899999999999999</v>
      </c>
      <c r="Q132" s="1219"/>
      <c r="R132" s="1219" t="str">
        <f>IFERROR(INDEX('[18]Gui chi Quynh'!$E$11:$E$397,MATCH(B132,'[18]Gui chi Quynh'!$B$11:$B$397,0)),"")</f>
        <v>A4</v>
      </c>
      <c r="S132" s="1219">
        <f t="shared" si="18"/>
        <v>0.5</v>
      </c>
      <c r="T132" s="1219" t="str">
        <f>VLOOKUP(B132,'[19]Gui chi Quynh'!$B$11:$E$397,4,FALSE)</f>
        <v>A DN</v>
      </c>
      <c r="U132" s="1219">
        <f t="shared" si="19"/>
        <v>0</v>
      </c>
      <c r="V132" s="1219" t="str">
        <f>VLOOKUP(B132,'[20]Gui chi Quynh'!$B$11:$E$396,4,FALSE)</f>
        <v>A4</v>
      </c>
      <c r="W132" s="1219">
        <f t="shared" si="20"/>
        <v>0.5</v>
      </c>
      <c r="X132" s="1219">
        <f>IFERROR(INDEX('[21]CN BC'!$J$10:$J$275,MATCH(B132,'[21]CN BC'!$H$10:$H$275,0)),"")</f>
        <v>23</v>
      </c>
      <c r="Y132" s="1219">
        <f>IFERROR(INDEX('[22]CN BC'!$J$10:$J$274,MATCH(B132,'[22]CN BC'!$H$10:$H$274,0)),"")</f>
        <v>0</v>
      </c>
      <c r="Z132" s="1219">
        <f>VLOOKUP(B132,'[23]CN BC'!$H$10:$J$275,3,FALSE)</f>
        <v>19</v>
      </c>
      <c r="AA132" s="1348">
        <f t="shared" si="21"/>
        <v>23</v>
      </c>
      <c r="AB132" s="1348">
        <f t="shared" si="22"/>
        <v>0</v>
      </c>
      <c r="AC132" s="1348">
        <f t="shared" si="23"/>
        <v>19</v>
      </c>
      <c r="AD132" s="1220"/>
      <c r="AE132" s="1349">
        <f t="shared" si="24"/>
        <v>12294360</v>
      </c>
      <c r="AF132" s="1548">
        <f t="shared" si="25"/>
        <v>5.2539999999999996</v>
      </c>
      <c r="AG132" s="1359">
        <v>2340000</v>
      </c>
      <c r="AH132" s="1549">
        <f t="shared" si="26"/>
        <v>12294359.999999998</v>
      </c>
      <c r="AI132" s="1354">
        <f t="shared" si="14"/>
        <v>115</v>
      </c>
      <c r="AJ132" s="1350" t="s">
        <v>2362</v>
      </c>
      <c r="AK132" s="1144" t="str">
        <f>VLOOKUP(B132,TH.T4!B135:AC465,28,FALSE)</f>
        <v>KHCB</v>
      </c>
      <c r="AL132" s="1130"/>
      <c r="AM132" s="1146"/>
      <c r="AN132" s="1158"/>
    </row>
    <row r="133" spans="1:50" s="1148" customFormat="1" ht="32.25" customHeight="1">
      <c r="A133" s="1132">
        <f>_xlfn.AGGREGATE(4,7,A$17:A132)+1</f>
        <v>116</v>
      </c>
      <c r="B133" s="1133" t="s">
        <v>1487</v>
      </c>
      <c r="C133" s="1153" t="s">
        <v>1707</v>
      </c>
      <c r="D133" s="1154" t="s">
        <v>1312</v>
      </c>
      <c r="E133" s="1058" t="str">
        <f>VLOOKUP(B133,TH.T6!B45:J375,9,FALSE)</f>
        <v>Giảng viên khoa KHCB</v>
      </c>
      <c r="F133" s="1160">
        <v>3.99</v>
      </c>
      <c r="G133" s="1137"/>
      <c r="H133" s="1392">
        <f t="shared" si="15"/>
        <v>0</v>
      </c>
      <c r="I133" s="1138"/>
      <c r="J133" s="1160">
        <v>3.99</v>
      </c>
      <c r="K133" s="1137"/>
      <c r="L133" s="1392">
        <f t="shared" si="16"/>
        <v>0</v>
      </c>
      <c r="M133" s="1138"/>
      <c r="N133" s="1160">
        <v>3.99</v>
      </c>
      <c r="O133" s="1137"/>
      <c r="P133" s="1393">
        <f t="shared" si="17"/>
        <v>0</v>
      </c>
      <c r="Q133" s="1138"/>
      <c r="R133" s="1138" t="str">
        <f>IFERROR(INDEX('[18]Gui chi Quynh'!$E$11:$E$397,MATCH(B133,'[18]Gui chi Quynh'!$B$11:$B$397,0)),"")</f>
        <v>A4</v>
      </c>
      <c r="S133" s="1138">
        <f t="shared" si="18"/>
        <v>0.5</v>
      </c>
      <c r="T133" s="1138" t="str">
        <f>VLOOKUP(B133,'[19]Gui chi Quynh'!$B$11:$E$397,4,FALSE)</f>
        <v>A DN</v>
      </c>
      <c r="U133" s="1138">
        <f t="shared" si="19"/>
        <v>0</v>
      </c>
      <c r="V133" s="1138" t="str">
        <f>VLOOKUP(B133,'[20]Gui chi Quynh'!$B$11:$E$396,4,FALSE)</f>
        <v>A3</v>
      </c>
      <c r="W133" s="1138">
        <f t="shared" si="20"/>
        <v>0.6</v>
      </c>
      <c r="X133" s="1138">
        <f>IFERROR(INDEX('[21]CN BC'!$J$10:$J$275,MATCH(B133,'[21]CN BC'!$H$10:$H$275,0)),"")</f>
        <v>23</v>
      </c>
      <c r="Y133" s="1138">
        <f>IFERROR(INDEX('[22]CN BC'!$J$10:$J$274,MATCH(B133,'[22]CN BC'!$H$10:$H$274,0)),"")</f>
        <v>0</v>
      </c>
      <c r="Z133" s="1138">
        <f>VLOOKUP(B133,'[23]CN BC'!$H$10:$J$275,3,FALSE)</f>
        <v>19</v>
      </c>
      <c r="AA133" s="1139">
        <f t="shared" si="21"/>
        <v>23</v>
      </c>
      <c r="AB133" s="1139">
        <f t="shared" si="22"/>
        <v>0</v>
      </c>
      <c r="AC133" s="1139">
        <f t="shared" si="23"/>
        <v>19</v>
      </c>
      <c r="AD133" s="1140"/>
      <c r="AE133" s="1141">
        <f t="shared" si="24"/>
        <v>10270260</v>
      </c>
      <c r="AF133" s="1519">
        <f t="shared" si="25"/>
        <v>4.3890000000000002</v>
      </c>
      <c r="AG133" s="1224">
        <v>2340000</v>
      </c>
      <c r="AH133" s="1521">
        <f t="shared" si="26"/>
        <v>10270260</v>
      </c>
      <c r="AI133" s="1142">
        <f t="shared" si="14"/>
        <v>116</v>
      </c>
      <c r="AJ133" s="1143">
        <f>IFERROR(INDEX('[17]CN BC'!$M$10:$M$276,MATCH(B133,'[17]CN BC'!$H$10:$H$276,0)),"")</f>
        <v>0</v>
      </c>
      <c r="AK133" s="1144" t="str">
        <f>VLOOKUP(B133,TH.T4!B136:AC466,28,FALSE)</f>
        <v>KHCB</v>
      </c>
      <c r="AL133" s="1130"/>
      <c r="AM133" s="1146"/>
      <c r="AN133" s="1158"/>
    </row>
    <row r="134" spans="1:50" s="1148" customFormat="1" ht="30" customHeight="1">
      <c r="A134" s="1132">
        <f>_xlfn.AGGREGATE(4,7,A$17:A133)+1</f>
        <v>117</v>
      </c>
      <c r="B134" s="1133" t="s">
        <v>1488</v>
      </c>
      <c r="C134" s="1153" t="s">
        <v>1708</v>
      </c>
      <c r="D134" s="1154" t="s">
        <v>374</v>
      </c>
      <c r="E134" s="1058" t="str">
        <f>VLOOKUP(B134,TH.T6!B46:J376,9,FALSE)</f>
        <v>Giảng viên khoa KHCB</v>
      </c>
      <c r="F134" s="1160">
        <v>3.66</v>
      </c>
      <c r="G134" s="1137"/>
      <c r="H134" s="1392">
        <f t="shared" si="15"/>
        <v>0</v>
      </c>
      <c r="I134" s="1138"/>
      <c r="J134" s="1160">
        <v>3.66</v>
      </c>
      <c r="K134" s="1137"/>
      <c r="L134" s="1392">
        <f t="shared" si="16"/>
        <v>0</v>
      </c>
      <c r="M134" s="1138"/>
      <c r="N134" s="1160">
        <v>3.66</v>
      </c>
      <c r="O134" s="1137"/>
      <c r="P134" s="1393">
        <f t="shared" si="17"/>
        <v>0</v>
      </c>
      <c r="Q134" s="1138"/>
      <c r="R134" s="1138" t="str">
        <f>IFERROR(INDEX('[18]Gui chi Quynh'!$E$11:$E$397,MATCH(B134,'[18]Gui chi Quynh'!$B$11:$B$397,0)),"")</f>
        <v>A3</v>
      </c>
      <c r="S134" s="1138">
        <f t="shared" si="18"/>
        <v>0.6</v>
      </c>
      <c r="T134" s="1138" t="str">
        <f>VLOOKUP(B134,'[19]Gui chi Quynh'!$B$11:$E$397,4,FALSE)</f>
        <v>A DN</v>
      </c>
      <c r="U134" s="1138">
        <f t="shared" si="19"/>
        <v>0</v>
      </c>
      <c r="V134" s="1138" t="str">
        <f>VLOOKUP(B134,'[20]Gui chi Quynh'!$B$11:$E$396,4,FALSE)</f>
        <v>A3</v>
      </c>
      <c r="W134" s="1138">
        <f t="shared" si="20"/>
        <v>0.6</v>
      </c>
      <c r="X134" s="1138">
        <f>IFERROR(INDEX('[21]CN BC'!$J$10:$J$275,MATCH(B134,'[21]CN BC'!$H$10:$H$275,0)),"")</f>
        <v>21</v>
      </c>
      <c r="Y134" s="1138">
        <f>IFERROR(INDEX('[22]CN BC'!$J$10:$J$274,MATCH(B134,'[22]CN BC'!$H$10:$H$274,0)),"")</f>
        <v>0</v>
      </c>
      <c r="Z134" s="1138">
        <f>VLOOKUP(B134,'[23]CN BC'!$H$10:$J$275,3,FALSE)</f>
        <v>19</v>
      </c>
      <c r="AA134" s="1139">
        <f t="shared" si="21"/>
        <v>21</v>
      </c>
      <c r="AB134" s="1139">
        <f t="shared" si="22"/>
        <v>0</v>
      </c>
      <c r="AC134" s="1139">
        <f t="shared" si="23"/>
        <v>19</v>
      </c>
      <c r="AD134" s="1140"/>
      <c r="AE134" s="1141">
        <f t="shared" si="24"/>
        <v>9830442</v>
      </c>
      <c r="AF134" s="1519">
        <f t="shared" si="25"/>
        <v>4.2010435897435894</v>
      </c>
      <c r="AG134" s="1224">
        <v>2340000</v>
      </c>
      <c r="AH134" s="1521">
        <f t="shared" si="26"/>
        <v>9830442</v>
      </c>
      <c r="AI134" s="1142">
        <f t="shared" si="14"/>
        <v>117</v>
      </c>
      <c r="AJ134" s="1143">
        <f>IFERROR(INDEX('[17]CN BC'!$M$10:$M$276,MATCH(B134,'[17]CN BC'!$H$10:$H$276,0)),"")</f>
        <v>0</v>
      </c>
      <c r="AK134" s="1144" t="str">
        <f>VLOOKUP(B134,TH.T4!B137:AC467,28,FALSE)</f>
        <v>KHCB</v>
      </c>
      <c r="AL134" s="1130"/>
      <c r="AM134" s="1146"/>
      <c r="AN134" s="1147"/>
      <c r="AO134" s="1146"/>
      <c r="AP134" s="1146"/>
      <c r="AQ134" s="1146"/>
      <c r="AR134" s="1146"/>
      <c r="AS134" s="1146"/>
      <c r="AT134" s="1146"/>
    </row>
    <row r="135" spans="1:50" s="1148" customFormat="1" ht="30" customHeight="1">
      <c r="A135" s="1132">
        <f>_xlfn.AGGREGATE(4,7,A$17:A134)+1</f>
        <v>118</v>
      </c>
      <c r="B135" s="1133" t="s">
        <v>1489</v>
      </c>
      <c r="C135" s="1153" t="s">
        <v>1709</v>
      </c>
      <c r="D135" s="1150" t="s">
        <v>1424</v>
      </c>
      <c r="E135" s="1058" t="str">
        <f>VLOOKUP(B135,TH.T6!B47:J377,9,FALSE)</f>
        <v>Giảng viên khoa KHCB</v>
      </c>
      <c r="F135" s="1160">
        <v>3.33</v>
      </c>
      <c r="G135" s="1137"/>
      <c r="H135" s="1392">
        <f t="shared" si="15"/>
        <v>0</v>
      </c>
      <c r="I135" s="1138"/>
      <c r="J135" s="1160">
        <v>3.33</v>
      </c>
      <c r="K135" s="1137"/>
      <c r="L135" s="1392">
        <f t="shared" si="16"/>
        <v>0</v>
      </c>
      <c r="M135" s="1138"/>
      <c r="N135" s="1160">
        <v>3.33</v>
      </c>
      <c r="O135" s="1137"/>
      <c r="P135" s="1393">
        <f t="shared" si="17"/>
        <v>0</v>
      </c>
      <c r="Q135" s="1138"/>
      <c r="R135" s="1138" t="str">
        <f>IFERROR(INDEX('[18]Gui chi Quynh'!$E$11:$E$397,MATCH(B135,'[18]Gui chi Quynh'!$B$11:$B$397,0)),"")</f>
        <v>A4</v>
      </c>
      <c r="S135" s="1138">
        <f t="shared" si="18"/>
        <v>0.5</v>
      </c>
      <c r="T135" s="1138" t="str">
        <f>VLOOKUP(B135,'[19]Gui chi Quynh'!$B$11:$E$397,4,FALSE)</f>
        <v>A DN</v>
      </c>
      <c r="U135" s="1138">
        <f t="shared" si="19"/>
        <v>0</v>
      </c>
      <c r="V135" s="1138" t="str">
        <f>VLOOKUP(B135,'[20]Gui chi Quynh'!$B$11:$E$396,4,FALSE)</f>
        <v>A3</v>
      </c>
      <c r="W135" s="1138">
        <f t="shared" si="20"/>
        <v>0.6</v>
      </c>
      <c r="X135" s="1138">
        <f>IFERROR(INDEX('[21]CN BC'!$J$10:$J$275,MATCH(B135,'[21]CN BC'!$H$10:$H$275,0)),"")</f>
        <v>23</v>
      </c>
      <c r="Y135" s="1138">
        <f>IFERROR(INDEX('[22]CN BC'!$J$10:$J$274,MATCH(B135,'[22]CN BC'!$H$10:$H$274,0)),"")</f>
        <v>0</v>
      </c>
      <c r="Z135" s="1138">
        <f>VLOOKUP(B135,'[23]CN BC'!$H$10:$J$275,3,FALSE)</f>
        <v>19</v>
      </c>
      <c r="AA135" s="1139">
        <f t="shared" si="21"/>
        <v>23</v>
      </c>
      <c r="AB135" s="1139">
        <f t="shared" si="22"/>
        <v>0</v>
      </c>
      <c r="AC135" s="1139">
        <f t="shared" si="23"/>
        <v>19</v>
      </c>
      <c r="AD135" s="1140"/>
      <c r="AE135" s="1141">
        <f t="shared" si="24"/>
        <v>8571420</v>
      </c>
      <c r="AF135" s="1519">
        <f t="shared" si="25"/>
        <v>3.6629999999999998</v>
      </c>
      <c r="AG135" s="1224">
        <v>2340000</v>
      </c>
      <c r="AH135" s="1521">
        <f t="shared" si="26"/>
        <v>8571420</v>
      </c>
      <c r="AI135" s="1142">
        <f t="shared" si="14"/>
        <v>118</v>
      </c>
      <c r="AJ135" s="1143">
        <f>IFERROR(INDEX('[17]CN BC'!$M$10:$M$276,MATCH(B135,'[17]CN BC'!$H$10:$H$276,0)),"")</f>
        <v>0</v>
      </c>
      <c r="AK135" s="1144" t="str">
        <f>VLOOKUP(B135,TH.T4!B138:AC468,28,FALSE)</f>
        <v>KHCB</v>
      </c>
      <c r="AL135" s="1130"/>
      <c r="AM135" s="1146"/>
      <c r="AN135" s="1147"/>
      <c r="AO135" s="1146"/>
      <c r="AP135" s="1146"/>
      <c r="AQ135" s="1146"/>
      <c r="AR135" s="1146"/>
      <c r="AS135" s="1146"/>
      <c r="AT135" s="1146"/>
    </row>
    <row r="136" spans="1:50" s="1148" customFormat="1" ht="42" customHeight="1">
      <c r="A136" s="1132">
        <f>_xlfn.AGGREGATE(4,7,A$17:A135)+1</f>
        <v>119</v>
      </c>
      <c r="B136" s="1133" t="s">
        <v>1490</v>
      </c>
      <c r="C136" s="1153" t="s">
        <v>1710</v>
      </c>
      <c r="D136" s="1150" t="s">
        <v>1425</v>
      </c>
      <c r="E136" s="1058" t="str">
        <f>VLOOKUP(B136,TH.T6!B48:J378,9,FALSE)</f>
        <v>Giảng viên khoa KHCB</v>
      </c>
      <c r="F136" s="1160">
        <v>3.33</v>
      </c>
      <c r="G136" s="1137"/>
      <c r="H136" s="1392">
        <f t="shared" si="15"/>
        <v>0</v>
      </c>
      <c r="I136" s="1138"/>
      <c r="J136" s="1160">
        <v>3.33</v>
      </c>
      <c r="K136" s="1137"/>
      <c r="L136" s="1392">
        <f t="shared" si="16"/>
        <v>0</v>
      </c>
      <c r="M136" s="1138"/>
      <c r="N136" s="1160">
        <v>3.33</v>
      </c>
      <c r="O136" s="1137"/>
      <c r="P136" s="1393">
        <f t="shared" si="17"/>
        <v>0</v>
      </c>
      <c r="Q136" s="1138"/>
      <c r="R136" s="1138" t="str">
        <f>IFERROR(INDEX('[18]Gui chi Quynh'!$E$11:$E$397,MATCH(B136,'[18]Gui chi Quynh'!$B$11:$B$397,0)),"")</f>
        <v>A4</v>
      </c>
      <c r="S136" s="1138">
        <f t="shared" si="18"/>
        <v>0.5</v>
      </c>
      <c r="T136" s="1138" t="str">
        <f>VLOOKUP(B136,'[19]Gui chi Quynh'!$B$11:$E$397,4,FALSE)</f>
        <v>A DN</v>
      </c>
      <c r="U136" s="1138">
        <f t="shared" si="19"/>
        <v>0</v>
      </c>
      <c r="V136" s="1138" t="str">
        <f>VLOOKUP(B136,'[20]Gui chi Quynh'!$B$11:$E$396,4,FALSE)</f>
        <v>A4</v>
      </c>
      <c r="W136" s="1138">
        <f t="shared" si="20"/>
        <v>0.5</v>
      </c>
      <c r="X136" s="1138">
        <f>IFERROR(INDEX('[21]CN BC'!$J$10:$J$275,MATCH(B136,'[21]CN BC'!$H$10:$H$275,0)),"")</f>
        <v>21</v>
      </c>
      <c r="Y136" s="1138">
        <f>IFERROR(INDEX('[22]CN BC'!$J$10:$J$274,MATCH(B136,'[22]CN BC'!$H$10:$H$274,0)),"")</f>
        <v>0</v>
      </c>
      <c r="Z136" s="1138">
        <f>VLOOKUP(B136,'[23]CN BC'!$H$10:$J$275,3,FALSE)</f>
        <v>19</v>
      </c>
      <c r="AA136" s="1139">
        <f t="shared" si="21"/>
        <v>21</v>
      </c>
      <c r="AB136" s="1139">
        <f t="shared" si="22"/>
        <v>0</v>
      </c>
      <c r="AC136" s="1139">
        <f t="shared" si="23"/>
        <v>19</v>
      </c>
      <c r="AD136" s="1140"/>
      <c r="AE136" s="1141">
        <f t="shared" si="24"/>
        <v>7453409</v>
      </c>
      <c r="AF136" s="1519">
        <f t="shared" si="25"/>
        <v>3.1852175213675213</v>
      </c>
      <c r="AG136" s="1224">
        <v>2340000</v>
      </c>
      <c r="AH136" s="1521">
        <f t="shared" si="26"/>
        <v>7453409</v>
      </c>
      <c r="AI136" s="1142">
        <f t="shared" si="14"/>
        <v>119</v>
      </c>
      <c r="AJ136" s="1143">
        <f>IFERROR(INDEX('[17]CN BC'!$M$10:$M$276,MATCH(B136,'[17]CN BC'!$H$10:$H$276,0)),"")</f>
        <v>0</v>
      </c>
      <c r="AK136" s="1189" t="str">
        <f>VLOOKUP(B136,TH.T4!B139:AC469,28,FALSE)</f>
        <v>KHCB</v>
      </c>
      <c r="AL136" s="1171"/>
      <c r="AN136" s="1158"/>
    </row>
    <row r="137" spans="1:50" s="1148" customFormat="1" ht="30" customHeight="1">
      <c r="A137" s="1132">
        <f>_xlfn.AGGREGATE(4,7,A$17:A136)+1</f>
        <v>120</v>
      </c>
      <c r="B137" s="1215" t="s">
        <v>1873</v>
      </c>
      <c r="C137" s="1216" t="s">
        <v>1711</v>
      </c>
      <c r="D137" s="1347" t="s">
        <v>1322</v>
      </c>
      <c r="E137" s="579" t="str">
        <f>VLOOKUP(B137,TH.T6!B49:J379,9,FALSE)</f>
        <v>Giảng viên Khoa KHCB</v>
      </c>
      <c r="F137" s="1358">
        <v>3.99</v>
      </c>
      <c r="G137" s="1218"/>
      <c r="H137" s="1394">
        <f t="shared" si="15"/>
        <v>0</v>
      </c>
      <c r="I137" s="1219">
        <f>0.25</f>
        <v>0.25</v>
      </c>
      <c r="J137" s="1358">
        <v>3.99</v>
      </c>
      <c r="K137" s="1218"/>
      <c r="L137" s="1394">
        <f t="shared" si="16"/>
        <v>0</v>
      </c>
      <c r="M137" s="1219">
        <f>0.25</f>
        <v>0.25</v>
      </c>
      <c r="N137" s="1358">
        <v>4.32</v>
      </c>
      <c r="O137" s="1218"/>
      <c r="P137" s="1395">
        <f t="shared" si="17"/>
        <v>0</v>
      </c>
      <c r="Q137" s="1219">
        <f>0.25</f>
        <v>0.25</v>
      </c>
      <c r="R137" s="1219" t="str">
        <f>IFERROR(INDEX('[18]Gui chi Quynh'!$E$11:$E$397,MATCH(B137,'[18]Gui chi Quynh'!$B$11:$B$397,0)),"")</f>
        <v>A3</v>
      </c>
      <c r="S137" s="1219">
        <f t="shared" si="18"/>
        <v>0.6</v>
      </c>
      <c r="T137" s="1219" t="str">
        <f>VLOOKUP(B137,'[19]Gui chi Quynh'!$B$11:$E$397,4,FALSE)</f>
        <v>A DN</v>
      </c>
      <c r="U137" s="1219">
        <f t="shared" si="19"/>
        <v>0</v>
      </c>
      <c r="V137" s="1219" t="str">
        <f>VLOOKUP(B137,'[20]Gui chi Quynh'!$B$11:$E$396,4,FALSE)</f>
        <v>A4</v>
      </c>
      <c r="W137" s="1219">
        <f t="shared" si="20"/>
        <v>0.5</v>
      </c>
      <c r="X137" s="1219">
        <f>IFERROR(INDEX('[21]CN BC'!$J$10:$J$275,MATCH(B137,'[21]CN BC'!$H$10:$H$275,0)),"")</f>
        <v>22</v>
      </c>
      <c r="Y137" s="1219">
        <f>IFERROR(INDEX('[22]CN BC'!$J$10:$J$274,MATCH(B137,'[22]CN BC'!$H$10:$H$274,0)),"")</f>
        <v>0</v>
      </c>
      <c r="Z137" s="1219">
        <f>VLOOKUP(B137,'[23]CN BC'!$H$10:$J$275,3,FALSE)</f>
        <v>19</v>
      </c>
      <c r="AA137" s="1348">
        <f t="shared" si="21"/>
        <v>22</v>
      </c>
      <c r="AB137" s="1348">
        <f t="shared" si="22"/>
        <v>0</v>
      </c>
      <c r="AC137" s="1348">
        <f t="shared" si="23"/>
        <v>19</v>
      </c>
      <c r="AD137" s="1220"/>
      <c r="AE137" s="1349">
        <f t="shared" si="24"/>
        <v>11041036</v>
      </c>
      <c r="AF137" s="1548">
        <f t="shared" si="25"/>
        <v>4.7183914529914528</v>
      </c>
      <c r="AG137" s="1359">
        <v>2340000</v>
      </c>
      <c r="AH137" s="1549">
        <f t="shared" si="26"/>
        <v>11041036</v>
      </c>
      <c r="AI137" s="1221">
        <f t="shared" si="14"/>
        <v>120</v>
      </c>
      <c r="AJ137" s="1350" t="s">
        <v>2363</v>
      </c>
      <c r="AK137" s="1144" t="str">
        <f>VLOOKUP(B137,TH.T4!B140:AC470,28,FALSE)</f>
        <v>KHCB</v>
      </c>
      <c r="AL137" s="1130"/>
      <c r="AM137" s="1146"/>
      <c r="AN137" s="1147"/>
      <c r="AO137" s="1146"/>
      <c r="AP137" s="1146"/>
      <c r="AQ137" s="1146"/>
      <c r="AR137" s="1146"/>
      <c r="AS137" s="1146"/>
      <c r="AT137" s="1146"/>
      <c r="AU137" s="1146"/>
      <c r="AV137" s="1146"/>
      <c r="AW137" s="1146"/>
      <c r="AX137" s="1146"/>
    </row>
    <row r="138" spans="1:50" s="1148" customFormat="1" ht="30" customHeight="1">
      <c r="A138" s="1132">
        <f>_xlfn.AGGREGATE(4,7,A$17:A137)+1</f>
        <v>121</v>
      </c>
      <c r="B138" s="1133" t="s">
        <v>1491</v>
      </c>
      <c r="C138" s="1153" t="s">
        <v>1712</v>
      </c>
      <c r="D138" s="1154" t="s">
        <v>1323</v>
      </c>
      <c r="E138" s="1058" t="str">
        <f>VLOOKUP(B138,TH.T6!B50:J380,9,FALSE)</f>
        <v>Giảng viên khoa KHCB</v>
      </c>
      <c r="F138" s="1160">
        <v>4.32</v>
      </c>
      <c r="G138" s="1137"/>
      <c r="H138" s="1392">
        <f t="shared" si="15"/>
        <v>0</v>
      </c>
      <c r="I138" s="1138"/>
      <c r="J138" s="1160">
        <v>4.32</v>
      </c>
      <c r="K138" s="1137"/>
      <c r="L138" s="1392">
        <f t="shared" si="16"/>
        <v>0</v>
      </c>
      <c r="M138" s="1138"/>
      <c r="N138" s="1160">
        <v>4.32</v>
      </c>
      <c r="O138" s="1137"/>
      <c r="P138" s="1393">
        <f t="shared" si="17"/>
        <v>0</v>
      </c>
      <c r="Q138" s="1138"/>
      <c r="R138" s="1138" t="str">
        <f>IFERROR(INDEX('[18]Gui chi Quynh'!$E$11:$E$397,MATCH(B138,'[18]Gui chi Quynh'!$B$11:$B$397,0)),"")</f>
        <v>A3</v>
      </c>
      <c r="S138" s="1138">
        <f t="shared" si="18"/>
        <v>0.6</v>
      </c>
      <c r="T138" s="1138" t="str">
        <f>VLOOKUP(B138,'[19]Gui chi Quynh'!$B$11:$E$397,4,FALSE)</f>
        <v>A DN</v>
      </c>
      <c r="U138" s="1138">
        <f t="shared" si="19"/>
        <v>0</v>
      </c>
      <c r="V138" s="1138" t="str">
        <f>VLOOKUP(B138,'[20]Gui chi Quynh'!$B$11:$E$396,4,FALSE)</f>
        <v>A4</v>
      </c>
      <c r="W138" s="1138">
        <f t="shared" si="20"/>
        <v>0.5</v>
      </c>
      <c r="X138" s="1138">
        <f>IFERROR(INDEX('[21]CN BC'!$J$10:$J$275,MATCH(B138,'[21]CN BC'!$H$10:$H$275,0)),"")</f>
        <v>22</v>
      </c>
      <c r="Y138" s="1138">
        <f>IFERROR(INDEX('[22]CN BC'!$J$10:$J$274,MATCH(B138,'[22]CN BC'!$H$10:$H$274,0)),"")</f>
        <v>0</v>
      </c>
      <c r="Z138" s="1138">
        <f>VLOOKUP(B138,'[23]CN BC'!$H$10:$J$275,3,FALSE)</f>
        <v>19</v>
      </c>
      <c r="AA138" s="1139">
        <f t="shared" si="21"/>
        <v>22</v>
      </c>
      <c r="AB138" s="1139">
        <f t="shared" si="22"/>
        <v>0</v>
      </c>
      <c r="AC138" s="1139">
        <f t="shared" si="23"/>
        <v>19</v>
      </c>
      <c r="AD138" s="1140"/>
      <c r="AE138" s="1141">
        <f t="shared" si="24"/>
        <v>10855972</v>
      </c>
      <c r="AF138" s="1519">
        <f t="shared" si="25"/>
        <v>4.6393042735042735</v>
      </c>
      <c r="AG138" s="1224">
        <v>2340000</v>
      </c>
      <c r="AH138" s="1521">
        <f t="shared" si="26"/>
        <v>10855972</v>
      </c>
      <c r="AI138" s="1142">
        <f t="shared" si="14"/>
        <v>121</v>
      </c>
      <c r="AJ138" s="1143">
        <f>IFERROR(INDEX('[17]CN BC'!$M$10:$M$276,MATCH(B138,'[17]CN BC'!$H$10:$H$276,0)),"")</f>
        <v>0</v>
      </c>
      <c r="AK138" s="1144" t="str">
        <f>VLOOKUP(B138,TH.T4!B141:AC471,28,FALSE)</f>
        <v>KHCB</v>
      </c>
      <c r="AL138" s="1130"/>
      <c r="AM138" s="1146"/>
      <c r="AN138" s="1147"/>
      <c r="AO138" s="1146"/>
      <c r="AP138" s="1146"/>
      <c r="AQ138" s="1146"/>
      <c r="AR138" s="1146"/>
      <c r="AS138" s="1146"/>
      <c r="AT138" s="1146"/>
    </row>
    <row r="139" spans="1:50" s="1148" customFormat="1" ht="30" customHeight="1">
      <c r="A139" s="1132">
        <f>_xlfn.AGGREGATE(4,7,A$17:A138)+1</f>
        <v>122</v>
      </c>
      <c r="B139" s="1133" t="s">
        <v>845</v>
      </c>
      <c r="C139" s="1153" t="s">
        <v>1713</v>
      </c>
      <c r="D139" s="1154" t="s">
        <v>1324</v>
      </c>
      <c r="E139" s="1058" t="str">
        <f>VLOOKUP(B139,TH.T6!B51:J381,9,FALSE)</f>
        <v>Giảng viên khoa KHCB</v>
      </c>
      <c r="F139" s="1160">
        <v>3.99</v>
      </c>
      <c r="G139" s="1137"/>
      <c r="H139" s="1392">
        <f t="shared" si="15"/>
        <v>0</v>
      </c>
      <c r="I139" s="1138"/>
      <c r="J139" s="1160">
        <v>3.99</v>
      </c>
      <c r="K139" s="1137"/>
      <c r="L139" s="1392">
        <f t="shared" si="16"/>
        <v>0</v>
      </c>
      <c r="M139" s="1138"/>
      <c r="N139" s="1160">
        <v>3.99</v>
      </c>
      <c r="O139" s="1137"/>
      <c r="P139" s="1393">
        <f t="shared" si="17"/>
        <v>0</v>
      </c>
      <c r="Q139" s="1138"/>
      <c r="R139" s="1138" t="str">
        <f>IFERROR(INDEX('[18]Gui chi Quynh'!$E$11:$E$397,MATCH(B139,'[18]Gui chi Quynh'!$B$11:$B$397,0)),"")</f>
        <v>A3</v>
      </c>
      <c r="S139" s="1138">
        <f t="shared" si="18"/>
        <v>0.6</v>
      </c>
      <c r="T139" s="1138" t="str">
        <f>VLOOKUP(B139,'[19]Gui chi Quynh'!$B$11:$E$397,4,FALSE)</f>
        <v>A DN</v>
      </c>
      <c r="U139" s="1138">
        <f t="shared" si="19"/>
        <v>0</v>
      </c>
      <c r="V139" s="1138" t="str">
        <f>VLOOKUP(B139,'[20]Gui chi Quynh'!$B$11:$E$396,4,FALSE)</f>
        <v>A4</v>
      </c>
      <c r="W139" s="1138">
        <f t="shared" si="20"/>
        <v>0.5</v>
      </c>
      <c r="X139" s="1138">
        <f>IFERROR(INDEX('[21]CN BC'!$J$10:$J$275,MATCH(B139,'[21]CN BC'!$H$10:$H$275,0)),"")</f>
        <v>22</v>
      </c>
      <c r="Y139" s="1138">
        <f>IFERROR(INDEX('[22]CN BC'!$J$10:$J$274,MATCH(B139,'[22]CN BC'!$H$10:$H$274,0)),"")</f>
        <v>0</v>
      </c>
      <c r="Z139" s="1138">
        <f>VLOOKUP(B139,'[23]CN BC'!$H$10:$J$275,3,FALSE)</f>
        <v>19</v>
      </c>
      <c r="AA139" s="1139">
        <f t="shared" si="21"/>
        <v>22</v>
      </c>
      <c r="AB139" s="1139">
        <f t="shared" si="22"/>
        <v>0</v>
      </c>
      <c r="AC139" s="1139">
        <f t="shared" si="23"/>
        <v>19</v>
      </c>
      <c r="AD139" s="1140"/>
      <c r="AE139" s="1141">
        <f t="shared" si="24"/>
        <v>10026697</v>
      </c>
      <c r="AF139" s="1519">
        <f t="shared" si="25"/>
        <v>4.2849132478632477</v>
      </c>
      <c r="AG139" s="1224">
        <v>2340000</v>
      </c>
      <c r="AH139" s="1521">
        <f t="shared" si="26"/>
        <v>10026697</v>
      </c>
      <c r="AI139" s="1142">
        <f t="shared" si="14"/>
        <v>122</v>
      </c>
      <c r="AJ139" s="1143">
        <f>IFERROR(INDEX('[17]CN BC'!$M$10:$M$276,MATCH(B139,'[17]CN BC'!$H$10:$H$276,0)),"")</f>
        <v>0</v>
      </c>
      <c r="AK139" s="1144" t="str">
        <f>VLOOKUP(B139,TH.T4!B142:AC472,28,FALSE)</f>
        <v>KHCB</v>
      </c>
      <c r="AL139" s="1130"/>
      <c r="AM139" s="1146"/>
      <c r="AN139" s="1147"/>
      <c r="AO139" s="1146"/>
      <c r="AP139" s="1146"/>
      <c r="AQ139" s="1146"/>
      <c r="AR139" s="1146"/>
      <c r="AS139" s="1146"/>
      <c r="AT139" s="1146"/>
    </row>
    <row r="140" spans="1:50" s="1148" customFormat="1" ht="31.5" customHeight="1">
      <c r="A140" s="1132">
        <f>_xlfn.AGGREGATE(4,7,A$17:A139)+1</f>
        <v>123</v>
      </c>
      <c r="B140" s="1133" t="s">
        <v>1492</v>
      </c>
      <c r="C140" s="1149" t="s">
        <v>1714</v>
      </c>
      <c r="D140" s="1212" t="s">
        <v>1938</v>
      </c>
      <c r="E140" s="1058" t="str">
        <f>VLOOKUP(B140,TH.T6!B52:J382,9,FALSE)</f>
        <v>Giảng viên khoa KHCB</v>
      </c>
      <c r="F140" s="1160">
        <v>3.99</v>
      </c>
      <c r="G140" s="1137"/>
      <c r="H140" s="1392">
        <f t="shared" si="15"/>
        <v>0</v>
      </c>
      <c r="I140" s="1138"/>
      <c r="J140" s="1160">
        <v>3.99</v>
      </c>
      <c r="K140" s="1137"/>
      <c r="L140" s="1392">
        <f t="shared" si="16"/>
        <v>0</v>
      </c>
      <c r="M140" s="1138"/>
      <c r="N140" s="1160">
        <v>3.99</v>
      </c>
      <c r="O140" s="1137"/>
      <c r="P140" s="1393">
        <f t="shared" si="17"/>
        <v>0</v>
      </c>
      <c r="Q140" s="1138"/>
      <c r="R140" s="1138" t="str">
        <f>IFERROR(INDEX('[18]Gui chi Quynh'!$E$11:$E$397,MATCH(B140,'[18]Gui chi Quynh'!$B$11:$B$397,0)),"")</f>
        <v>A3</v>
      </c>
      <c r="S140" s="1138">
        <f t="shared" si="18"/>
        <v>0.6</v>
      </c>
      <c r="T140" s="1138" t="str">
        <f>VLOOKUP(B140,'[19]Gui chi Quynh'!$B$11:$E$397,4,FALSE)</f>
        <v>A DN</v>
      </c>
      <c r="U140" s="1138">
        <f t="shared" si="19"/>
        <v>0</v>
      </c>
      <c r="V140" s="1138" t="str">
        <f>VLOOKUP(B140,'[20]Gui chi Quynh'!$B$11:$E$396,4,FALSE)</f>
        <v>A4</v>
      </c>
      <c r="W140" s="1138">
        <f t="shared" si="20"/>
        <v>0.5</v>
      </c>
      <c r="X140" s="1138">
        <f>IFERROR(INDEX('[21]CN BC'!$J$10:$J$275,MATCH(B140,'[21]CN BC'!$H$10:$H$275,0)),"")</f>
        <v>22</v>
      </c>
      <c r="Y140" s="1138">
        <f>IFERROR(INDEX('[22]CN BC'!$J$10:$J$274,MATCH(B140,'[22]CN BC'!$H$10:$H$274,0)),"")</f>
        <v>0</v>
      </c>
      <c r="Z140" s="1138">
        <f>VLOOKUP(B140,'[23]CN BC'!$H$10:$J$275,3,FALSE)</f>
        <v>19</v>
      </c>
      <c r="AA140" s="1139">
        <f t="shared" si="21"/>
        <v>22</v>
      </c>
      <c r="AB140" s="1139">
        <f t="shared" si="22"/>
        <v>0</v>
      </c>
      <c r="AC140" s="1139">
        <f t="shared" si="23"/>
        <v>19</v>
      </c>
      <c r="AD140" s="1140"/>
      <c r="AE140" s="1141">
        <f t="shared" si="24"/>
        <v>10026697</v>
      </c>
      <c r="AF140" s="1519">
        <f t="shared" si="25"/>
        <v>4.2849132478632477</v>
      </c>
      <c r="AG140" s="1224">
        <v>2340000</v>
      </c>
      <c r="AH140" s="1521">
        <f t="shared" si="26"/>
        <v>10026697</v>
      </c>
      <c r="AI140" s="1142">
        <f t="shared" si="14"/>
        <v>123</v>
      </c>
      <c r="AJ140" s="1143">
        <f>IFERROR(INDEX('[17]CN BC'!$M$10:$M$276,MATCH(B140,'[17]CN BC'!$H$10:$H$276,0)),"")</f>
        <v>0</v>
      </c>
      <c r="AK140" s="1144" t="str">
        <f>VLOOKUP(B140,TH.T4!B143:AC473,28,FALSE)</f>
        <v>KHCB</v>
      </c>
      <c r="AL140" s="1130"/>
      <c r="AM140" s="1146"/>
      <c r="AN140" s="1147"/>
      <c r="AO140" s="1146"/>
      <c r="AP140" s="1146"/>
      <c r="AQ140" s="1146"/>
      <c r="AR140" s="1146"/>
      <c r="AS140" s="1146"/>
      <c r="AT140" s="1146"/>
      <c r="AU140" s="1146"/>
      <c r="AV140" s="1146"/>
      <c r="AW140" s="1146"/>
      <c r="AX140" s="1146"/>
    </row>
    <row r="141" spans="1:50" s="1148" customFormat="1" ht="31.5" customHeight="1">
      <c r="A141" s="1132">
        <f>_xlfn.AGGREGATE(4,7,A$17:A140)+1</f>
        <v>124</v>
      </c>
      <c r="B141" s="1133" t="s">
        <v>1558</v>
      </c>
      <c r="C141" s="1153" t="s">
        <v>1715</v>
      </c>
      <c r="D141" s="1154" t="s">
        <v>21</v>
      </c>
      <c r="E141" s="1058" t="str">
        <f>VLOOKUP(B141,TH.T6!B53:J383,9,FALSE)</f>
        <v>Giảng viên khoa KHCB</v>
      </c>
      <c r="F141" s="1160">
        <v>4.32</v>
      </c>
      <c r="G141" s="1137"/>
      <c r="H141" s="1392">
        <f t="shared" si="15"/>
        <v>0</v>
      </c>
      <c r="I141" s="1138"/>
      <c r="J141" s="1160">
        <v>4.32</v>
      </c>
      <c r="K141" s="1137"/>
      <c r="L141" s="1392">
        <f t="shared" si="16"/>
        <v>0</v>
      </c>
      <c r="M141" s="1138"/>
      <c r="N141" s="1160">
        <v>4.32</v>
      </c>
      <c r="O141" s="1137"/>
      <c r="P141" s="1393">
        <f t="shared" si="17"/>
        <v>0</v>
      </c>
      <c r="Q141" s="1138"/>
      <c r="R141" s="1138" t="str">
        <f>IFERROR(INDEX('[18]Gui chi Quynh'!$E$11:$E$397,MATCH(B141,'[18]Gui chi Quynh'!$B$11:$B$397,0)),"")</f>
        <v>A3</v>
      </c>
      <c r="S141" s="1138">
        <f t="shared" si="18"/>
        <v>0.6</v>
      </c>
      <c r="T141" s="1138" t="str">
        <f>VLOOKUP(B141,'[19]Gui chi Quynh'!$B$11:$E$397,4,FALSE)</f>
        <v>A DN</v>
      </c>
      <c r="U141" s="1138">
        <f t="shared" si="19"/>
        <v>0</v>
      </c>
      <c r="V141" s="1138" t="str">
        <f>VLOOKUP(B141,'[20]Gui chi Quynh'!$B$11:$E$396,4,FALSE)</f>
        <v>A4</v>
      </c>
      <c r="W141" s="1138">
        <f t="shared" si="20"/>
        <v>0.5</v>
      </c>
      <c r="X141" s="1138">
        <f>IFERROR(INDEX('[21]CN BC'!$J$10:$J$275,MATCH(B141,'[21]CN BC'!$H$10:$H$275,0)),"")</f>
        <v>22</v>
      </c>
      <c r="Y141" s="1138">
        <f>IFERROR(INDEX('[22]CN BC'!$J$10:$J$274,MATCH(B141,'[22]CN BC'!$H$10:$H$274,0)),"")</f>
        <v>0</v>
      </c>
      <c r="Z141" s="1138">
        <f>VLOOKUP(B141,'[23]CN BC'!$H$10:$J$275,3,FALSE)</f>
        <v>19</v>
      </c>
      <c r="AA141" s="1139">
        <f t="shared" si="21"/>
        <v>22</v>
      </c>
      <c r="AB141" s="1139">
        <f t="shared" si="22"/>
        <v>0</v>
      </c>
      <c r="AC141" s="1139">
        <f t="shared" si="23"/>
        <v>19</v>
      </c>
      <c r="AD141" s="1140"/>
      <c r="AE141" s="1141">
        <f t="shared" si="24"/>
        <v>10855972</v>
      </c>
      <c r="AF141" s="1519">
        <f t="shared" si="25"/>
        <v>4.6393042735042735</v>
      </c>
      <c r="AG141" s="1224">
        <v>2340000</v>
      </c>
      <c r="AH141" s="1521">
        <f t="shared" si="26"/>
        <v>10855972</v>
      </c>
      <c r="AI141" s="1142">
        <f t="shared" si="14"/>
        <v>124</v>
      </c>
      <c r="AJ141" s="1143">
        <f>IFERROR(INDEX('[17]CN BC'!$M$10:$M$276,MATCH(B141,'[17]CN BC'!$H$10:$H$276,0)),"")</f>
        <v>0</v>
      </c>
      <c r="AK141" s="1144" t="str">
        <f>VLOOKUP(B141,TH.T4!B144:AC474,28,FALSE)</f>
        <v>KHCB</v>
      </c>
      <c r="AL141" s="1130"/>
      <c r="AM141" s="1146"/>
      <c r="AN141" s="1147"/>
      <c r="AO141" s="1146"/>
      <c r="AP141" s="1146"/>
      <c r="AQ141" s="1146"/>
      <c r="AR141" s="1146"/>
      <c r="AS141" s="1146"/>
      <c r="AT141" s="1146"/>
    </row>
    <row r="142" spans="1:50" s="1148" customFormat="1" ht="31.5" customHeight="1">
      <c r="A142" s="1132">
        <f>_xlfn.AGGREGATE(4,7,A$17:A141)+1</f>
        <v>125</v>
      </c>
      <c r="B142" s="1133" t="s">
        <v>1493</v>
      </c>
      <c r="C142" s="1153" t="s">
        <v>1716</v>
      </c>
      <c r="D142" s="1154" t="s">
        <v>1330</v>
      </c>
      <c r="E142" s="1058" t="str">
        <f>VLOOKUP(B142,TH.T6!B54:J384,9,FALSE)</f>
        <v>Giảng viên khoa Ngoại ngữ</v>
      </c>
      <c r="F142" s="1136">
        <v>4.6500000000000004</v>
      </c>
      <c r="G142" s="1137"/>
      <c r="H142" s="1392">
        <f t="shared" si="15"/>
        <v>0</v>
      </c>
      <c r="I142" s="1138"/>
      <c r="J142" s="1136">
        <v>4.6500000000000004</v>
      </c>
      <c r="K142" s="1137"/>
      <c r="L142" s="1392">
        <f t="shared" si="16"/>
        <v>0</v>
      </c>
      <c r="M142" s="1138"/>
      <c r="N142" s="1136">
        <v>4.6500000000000004</v>
      </c>
      <c r="O142" s="1137"/>
      <c r="P142" s="1393">
        <f t="shared" si="17"/>
        <v>0</v>
      </c>
      <c r="Q142" s="1138"/>
      <c r="R142" s="1138" t="str">
        <f>IFERROR(INDEX('[18]Gui chi Quynh'!$E$11:$E$397,MATCH(B142,'[18]Gui chi Quynh'!$B$11:$B$397,0)),"")</f>
        <v>A3</v>
      </c>
      <c r="S142" s="1138">
        <f t="shared" si="18"/>
        <v>0.6</v>
      </c>
      <c r="T142" s="1138" t="str">
        <f>VLOOKUP(B142,'[19]Gui chi Quynh'!$B$11:$E$397,4,FALSE)</f>
        <v>A DN</v>
      </c>
      <c r="U142" s="1138">
        <f t="shared" si="19"/>
        <v>0</v>
      </c>
      <c r="V142" s="1138" t="str">
        <f>VLOOKUP(B142,'[20]Gui chi Quynh'!$B$11:$E$396,4,FALSE)</f>
        <v>A4</v>
      </c>
      <c r="W142" s="1138">
        <f t="shared" si="20"/>
        <v>0.5</v>
      </c>
      <c r="X142" s="1138">
        <f>IFERROR(INDEX('[21]CN BC'!$J$10:$J$275,MATCH(B142,'[21]CN BC'!$H$10:$H$275,0)),"")</f>
        <v>21</v>
      </c>
      <c r="Y142" s="1138">
        <f>IFERROR(INDEX('[22]CN BC'!$J$10:$J$274,MATCH(B142,'[22]CN BC'!$H$10:$H$274,0)),"")</f>
        <v>0</v>
      </c>
      <c r="Z142" s="1138">
        <f>VLOOKUP(B142,'[23]CN BC'!$H$10:$J$275,3,FALSE)</f>
        <v>19</v>
      </c>
      <c r="AA142" s="1139">
        <f t="shared" si="21"/>
        <v>21</v>
      </c>
      <c r="AB142" s="1139">
        <f t="shared" si="22"/>
        <v>0</v>
      </c>
      <c r="AC142" s="1139">
        <f t="shared" si="23"/>
        <v>19</v>
      </c>
      <c r="AD142" s="1140"/>
      <c r="AE142" s="1141">
        <f t="shared" si="24"/>
        <v>11401396</v>
      </c>
      <c r="AF142" s="1519">
        <f t="shared" si="25"/>
        <v>4.8723914529914527</v>
      </c>
      <c r="AG142" s="1224">
        <v>2340000</v>
      </c>
      <c r="AH142" s="1521">
        <f t="shared" si="26"/>
        <v>11401396</v>
      </c>
      <c r="AI142" s="1142">
        <f t="shared" si="14"/>
        <v>125</v>
      </c>
      <c r="AJ142" s="1143">
        <f>IFERROR(INDEX('[17]CN BC'!$M$10:$M$276,MATCH(B142,'[17]CN BC'!$H$10:$H$276,0)),"")</f>
        <v>0</v>
      </c>
      <c r="AK142" s="1144" t="str">
        <f>VLOOKUP(B142,TH.T4!B145:AC475,28,FALSE)</f>
        <v>NN</v>
      </c>
      <c r="AL142" s="1130"/>
      <c r="AM142" s="1146"/>
      <c r="AN142" s="1147"/>
    </row>
    <row r="143" spans="1:50" s="1148" customFormat="1" ht="31.5" customHeight="1">
      <c r="A143" s="1132">
        <f>_xlfn.AGGREGATE(4,7,A$17:A142)+1</f>
        <v>126</v>
      </c>
      <c r="B143" s="1133" t="s">
        <v>1874</v>
      </c>
      <c r="C143" s="1153" t="s">
        <v>1717</v>
      </c>
      <c r="D143" s="1154" t="s">
        <v>1331</v>
      </c>
      <c r="E143" s="1058" t="str">
        <f>VLOOKUP(B143,TH.T6!B55:J385,9,FALSE)</f>
        <v>Giảng viên khoa Ngoại ngữ</v>
      </c>
      <c r="F143" s="1136">
        <v>4.6500000000000004</v>
      </c>
      <c r="G143" s="1137"/>
      <c r="H143" s="1392">
        <f t="shared" si="15"/>
        <v>0</v>
      </c>
      <c r="I143" s="1138"/>
      <c r="J143" s="1136">
        <v>4.6500000000000004</v>
      </c>
      <c r="K143" s="1137"/>
      <c r="L143" s="1392">
        <f t="shared" si="16"/>
        <v>0</v>
      </c>
      <c r="M143" s="1138"/>
      <c r="N143" s="1136">
        <v>4.6500000000000004</v>
      </c>
      <c r="O143" s="1137"/>
      <c r="P143" s="1393">
        <f t="shared" si="17"/>
        <v>0</v>
      </c>
      <c r="Q143" s="1138"/>
      <c r="R143" s="1138" t="str">
        <f>IFERROR(INDEX('[18]Gui chi Quynh'!$E$11:$E$397,MATCH(B143,'[18]Gui chi Quynh'!$B$11:$B$397,0)),"")</f>
        <v>A3</v>
      </c>
      <c r="S143" s="1138">
        <f t="shared" si="18"/>
        <v>0.6</v>
      </c>
      <c r="T143" s="1138" t="str">
        <f>VLOOKUP(B143,'[19]Gui chi Quynh'!$B$11:$E$397,4,FALSE)</f>
        <v>A DN</v>
      </c>
      <c r="U143" s="1138">
        <f t="shared" si="19"/>
        <v>0</v>
      </c>
      <c r="V143" s="1138" t="str">
        <f>VLOOKUP(B143,'[20]Gui chi Quynh'!$B$11:$E$396,4,FALSE)</f>
        <v>A4</v>
      </c>
      <c r="W143" s="1138">
        <f t="shared" si="20"/>
        <v>0.5</v>
      </c>
      <c r="X143" s="1138">
        <f>IFERROR(INDEX('[21]CN BC'!$J$10:$J$275,MATCH(B143,'[21]CN BC'!$H$10:$H$275,0)),"")</f>
        <v>23</v>
      </c>
      <c r="Y143" s="1138">
        <f>IFERROR(INDEX('[22]CN BC'!$J$10:$J$274,MATCH(B143,'[22]CN BC'!$H$10:$H$274,0)),"")</f>
        <v>0</v>
      </c>
      <c r="Z143" s="1138">
        <f>VLOOKUP(B143,'[23]CN BC'!$H$10:$J$275,3,FALSE)</f>
        <v>19</v>
      </c>
      <c r="AA143" s="1139">
        <f t="shared" si="21"/>
        <v>23</v>
      </c>
      <c r="AB143" s="1139">
        <f t="shared" si="22"/>
        <v>0</v>
      </c>
      <c r="AC143" s="1139">
        <f t="shared" si="23"/>
        <v>19</v>
      </c>
      <c r="AD143" s="1140"/>
      <c r="AE143" s="1141">
        <f t="shared" si="24"/>
        <v>11969100</v>
      </c>
      <c r="AF143" s="1519">
        <f t="shared" si="25"/>
        <v>5.1150000000000002</v>
      </c>
      <c r="AG143" s="1224">
        <v>2340000</v>
      </c>
      <c r="AH143" s="1521">
        <f t="shared" si="26"/>
        <v>11969100</v>
      </c>
      <c r="AI143" s="1142">
        <f t="shared" si="14"/>
        <v>126</v>
      </c>
      <c r="AJ143" s="1143">
        <f>IFERROR(INDEX('[17]CN BC'!$M$10:$M$276,MATCH(B143,'[17]CN BC'!$H$10:$H$276,0)),"")</f>
        <v>0</v>
      </c>
      <c r="AK143" s="1144" t="str">
        <f>VLOOKUP(B143,TH.T4!B146:AC476,28,FALSE)</f>
        <v>NN</v>
      </c>
      <c r="AL143" s="1130"/>
      <c r="AM143" s="1146"/>
      <c r="AN143" s="1147"/>
      <c r="AO143" s="1146"/>
      <c r="AP143" s="1146"/>
      <c r="AQ143" s="1146"/>
      <c r="AR143" s="1146"/>
      <c r="AS143" s="1146"/>
      <c r="AT143" s="1146"/>
    </row>
    <row r="144" spans="1:50" s="1148" customFormat="1" ht="31.5" customHeight="1">
      <c r="A144" s="1132">
        <f>_xlfn.AGGREGATE(4,7,A$17:A143)+1</f>
        <v>127</v>
      </c>
      <c r="B144" s="1133" t="s">
        <v>1875</v>
      </c>
      <c r="C144" s="1153" t="s">
        <v>1718</v>
      </c>
      <c r="D144" s="1154" t="s">
        <v>1332</v>
      </c>
      <c r="E144" s="1058" t="str">
        <f>VLOOKUP(B144,TH.T6!B56:J386,9,FALSE)</f>
        <v>Giảng viên khoa Ngoại ngữ</v>
      </c>
      <c r="F144" s="1136">
        <v>4.6500000000000004</v>
      </c>
      <c r="G144" s="1137"/>
      <c r="H144" s="1392">
        <f t="shared" si="15"/>
        <v>0</v>
      </c>
      <c r="I144" s="1138"/>
      <c r="J144" s="1136">
        <v>4.6500000000000004</v>
      </c>
      <c r="K144" s="1137"/>
      <c r="L144" s="1392">
        <f t="shared" si="16"/>
        <v>0</v>
      </c>
      <c r="M144" s="1138"/>
      <c r="N144" s="1136">
        <v>4.6500000000000004</v>
      </c>
      <c r="O144" s="1137"/>
      <c r="P144" s="1393">
        <f t="shared" si="17"/>
        <v>0</v>
      </c>
      <c r="Q144" s="1138"/>
      <c r="R144" s="1138" t="str">
        <f>IFERROR(INDEX('[18]Gui chi Quynh'!$E$11:$E$397,MATCH(B144,'[18]Gui chi Quynh'!$B$11:$B$397,0)),"")</f>
        <v>A3</v>
      </c>
      <c r="S144" s="1138">
        <f t="shared" si="18"/>
        <v>0.6</v>
      </c>
      <c r="T144" s="1138" t="str">
        <f>VLOOKUP(B144,'[19]Gui chi Quynh'!$B$11:$E$397,4,FALSE)</f>
        <v>A DN</v>
      </c>
      <c r="U144" s="1138">
        <f t="shared" si="19"/>
        <v>0</v>
      </c>
      <c r="V144" s="1138" t="str">
        <f>VLOOKUP(B144,'[20]Gui chi Quynh'!$B$11:$E$396,4,FALSE)</f>
        <v>A4</v>
      </c>
      <c r="W144" s="1138">
        <f t="shared" si="20"/>
        <v>0.5</v>
      </c>
      <c r="X144" s="1138">
        <f>IFERROR(INDEX('[21]CN BC'!$J$10:$J$275,MATCH(B144,'[21]CN BC'!$H$10:$H$275,0)),"")</f>
        <v>23</v>
      </c>
      <c r="Y144" s="1138">
        <f>IFERROR(INDEX('[22]CN BC'!$J$10:$J$274,MATCH(B144,'[22]CN BC'!$H$10:$H$274,0)),"")</f>
        <v>0</v>
      </c>
      <c r="Z144" s="1138">
        <f>VLOOKUP(B144,'[23]CN BC'!$H$10:$J$275,3,FALSE)</f>
        <v>19</v>
      </c>
      <c r="AA144" s="1139">
        <f t="shared" si="21"/>
        <v>23</v>
      </c>
      <c r="AB144" s="1139">
        <f t="shared" si="22"/>
        <v>0</v>
      </c>
      <c r="AC144" s="1139">
        <f t="shared" si="23"/>
        <v>19</v>
      </c>
      <c r="AD144" s="1140"/>
      <c r="AE144" s="1141">
        <f t="shared" si="24"/>
        <v>11969100</v>
      </c>
      <c r="AF144" s="1519">
        <f t="shared" si="25"/>
        <v>5.1150000000000002</v>
      </c>
      <c r="AG144" s="1224">
        <v>2340000</v>
      </c>
      <c r="AH144" s="1521">
        <f t="shared" si="26"/>
        <v>11969100</v>
      </c>
      <c r="AI144" s="1142">
        <f t="shared" si="14"/>
        <v>127</v>
      </c>
      <c r="AJ144" s="1143">
        <f>IFERROR(INDEX('[17]CN BC'!$M$10:$M$276,MATCH(B144,'[17]CN BC'!$H$10:$H$276,0)),"")</f>
        <v>0</v>
      </c>
      <c r="AK144" s="1144" t="str">
        <f>VLOOKUP(B144,TH.T4!B147:AC477,28,FALSE)</f>
        <v>NN</v>
      </c>
      <c r="AL144" s="1130"/>
      <c r="AM144" s="1146"/>
      <c r="AN144" s="1147"/>
    </row>
    <row r="145" spans="1:50" s="1148" customFormat="1" ht="31.5" customHeight="1">
      <c r="A145" s="1132">
        <f>_xlfn.AGGREGATE(4,7,A$17:A144)+1</f>
        <v>128</v>
      </c>
      <c r="B145" s="1133" t="s">
        <v>1494</v>
      </c>
      <c r="C145" s="1153" t="s">
        <v>1719</v>
      </c>
      <c r="D145" s="1154" t="s">
        <v>1333</v>
      </c>
      <c r="E145" s="1058" t="str">
        <f>VLOOKUP(B145,TH.T6!B57:J387,9,FALSE)</f>
        <v>Giảng viên khoa Ngoại ngữ</v>
      </c>
      <c r="F145" s="1160">
        <v>3.99</v>
      </c>
      <c r="G145" s="1137"/>
      <c r="H145" s="1392">
        <f t="shared" si="15"/>
        <v>0</v>
      </c>
      <c r="I145" s="1138"/>
      <c r="J145" s="1160">
        <v>3.99</v>
      </c>
      <c r="K145" s="1137"/>
      <c r="L145" s="1392">
        <f t="shared" si="16"/>
        <v>0</v>
      </c>
      <c r="M145" s="1138"/>
      <c r="N145" s="1160">
        <v>3.99</v>
      </c>
      <c r="O145" s="1137"/>
      <c r="P145" s="1393">
        <f t="shared" si="17"/>
        <v>0</v>
      </c>
      <c r="Q145" s="1138"/>
      <c r="R145" s="1138" t="str">
        <f>IFERROR(INDEX('[18]Gui chi Quynh'!$E$11:$E$397,MATCH(B145,'[18]Gui chi Quynh'!$B$11:$B$397,0)),"")</f>
        <v>A3</v>
      </c>
      <c r="S145" s="1138">
        <f t="shared" si="18"/>
        <v>0.6</v>
      </c>
      <c r="T145" s="1138" t="str">
        <f>VLOOKUP(B145,'[19]Gui chi Quynh'!$B$11:$E$397,4,FALSE)</f>
        <v>A DN</v>
      </c>
      <c r="U145" s="1138">
        <f t="shared" si="19"/>
        <v>0</v>
      </c>
      <c r="V145" s="1138" t="str">
        <f>VLOOKUP(B145,'[20]Gui chi Quynh'!$B$11:$E$396,4,FALSE)</f>
        <v>A4</v>
      </c>
      <c r="W145" s="1138">
        <f t="shared" si="20"/>
        <v>0.5</v>
      </c>
      <c r="X145" s="1138">
        <f>IFERROR(INDEX('[21]CN BC'!$J$10:$J$275,MATCH(B145,'[21]CN BC'!$H$10:$H$275,0)),"")</f>
        <v>23</v>
      </c>
      <c r="Y145" s="1138">
        <f>IFERROR(INDEX('[22]CN BC'!$J$10:$J$274,MATCH(B145,'[22]CN BC'!$H$10:$H$274,0)),"")</f>
        <v>0</v>
      </c>
      <c r="Z145" s="1138">
        <f>VLOOKUP(B145,'[23]CN BC'!$H$10:$J$275,3,FALSE)</f>
        <v>19</v>
      </c>
      <c r="AA145" s="1139">
        <f t="shared" si="21"/>
        <v>23</v>
      </c>
      <c r="AB145" s="1139">
        <f t="shared" si="22"/>
        <v>0</v>
      </c>
      <c r="AC145" s="1139">
        <f t="shared" si="23"/>
        <v>19</v>
      </c>
      <c r="AD145" s="1140"/>
      <c r="AE145" s="1141">
        <f t="shared" si="24"/>
        <v>10270260</v>
      </c>
      <c r="AF145" s="1519">
        <f t="shared" si="25"/>
        <v>4.3890000000000002</v>
      </c>
      <c r="AG145" s="1224">
        <v>2340000</v>
      </c>
      <c r="AH145" s="1521">
        <f t="shared" si="26"/>
        <v>10270260</v>
      </c>
      <c r="AI145" s="1142">
        <f t="shared" ref="AI145:AI155" si="27">A145</f>
        <v>128</v>
      </c>
      <c r="AJ145" s="1143">
        <f>IFERROR(INDEX('[17]CN BC'!$M$10:$M$276,MATCH(B145,'[17]CN BC'!$H$10:$H$276,0)),"")</f>
        <v>0</v>
      </c>
      <c r="AK145" s="1144" t="str">
        <f>VLOOKUP(B145,TH.T4!B148:AC478,28,FALSE)</f>
        <v>NN</v>
      </c>
      <c r="AL145" s="1130"/>
      <c r="AM145" s="1146"/>
      <c r="AN145" s="1147"/>
      <c r="AO145" s="1146"/>
      <c r="AP145" s="1146"/>
      <c r="AQ145" s="1146"/>
      <c r="AR145" s="1146"/>
      <c r="AS145" s="1146"/>
      <c r="AT145" s="1146"/>
    </row>
    <row r="146" spans="1:50" s="1148" customFormat="1" ht="31.5" customHeight="1">
      <c r="A146" s="1132">
        <f>_xlfn.AGGREGATE(4,7,A$17:A145)+1</f>
        <v>129</v>
      </c>
      <c r="B146" s="1133" t="s">
        <v>1495</v>
      </c>
      <c r="C146" s="1153" t="s">
        <v>1720</v>
      </c>
      <c r="D146" s="1154" t="s">
        <v>1335</v>
      </c>
      <c r="E146" s="1058" t="str">
        <f>VLOOKUP(B146,TH.T6!B58:J388,9,FALSE)</f>
        <v>Giảng viên khoa Ngoại ngữ</v>
      </c>
      <c r="F146" s="1136">
        <v>4.9800000000000004</v>
      </c>
      <c r="G146" s="1137"/>
      <c r="H146" s="1392">
        <f t="shared" si="15"/>
        <v>0</v>
      </c>
      <c r="I146" s="1138"/>
      <c r="J146" s="1136">
        <v>4.9800000000000004</v>
      </c>
      <c r="K146" s="1137"/>
      <c r="L146" s="1392">
        <f t="shared" si="16"/>
        <v>0</v>
      </c>
      <c r="M146" s="1138"/>
      <c r="N146" s="1136">
        <v>4.9800000000000004</v>
      </c>
      <c r="O146" s="1137"/>
      <c r="P146" s="1393">
        <f t="shared" si="17"/>
        <v>0</v>
      </c>
      <c r="Q146" s="1138"/>
      <c r="R146" s="1138" t="str">
        <f>IFERROR(INDEX('[18]Gui chi Quynh'!$E$11:$E$397,MATCH(B146,'[18]Gui chi Quynh'!$B$11:$B$397,0)),"")</f>
        <v>A3</v>
      </c>
      <c r="S146" s="1138">
        <f t="shared" si="18"/>
        <v>0.6</v>
      </c>
      <c r="T146" s="1138" t="str">
        <f>VLOOKUP(B146,'[19]Gui chi Quynh'!$B$11:$E$397,4,FALSE)</f>
        <v>A DN</v>
      </c>
      <c r="U146" s="1138">
        <f t="shared" si="19"/>
        <v>0</v>
      </c>
      <c r="V146" s="1138" t="str">
        <f>VLOOKUP(B146,'[20]Gui chi Quynh'!$B$11:$E$396,4,FALSE)</f>
        <v>A4</v>
      </c>
      <c r="W146" s="1138">
        <f t="shared" si="20"/>
        <v>0.5</v>
      </c>
      <c r="X146" s="1138">
        <f>IFERROR(INDEX('[21]CN BC'!$J$10:$J$275,MATCH(B146,'[21]CN BC'!$H$10:$H$275,0)),"")</f>
        <v>21</v>
      </c>
      <c r="Y146" s="1138">
        <f>IFERROR(INDEX('[22]CN BC'!$J$10:$J$274,MATCH(B146,'[22]CN BC'!$H$10:$H$274,0)),"")</f>
        <v>0</v>
      </c>
      <c r="Z146" s="1138">
        <f>VLOOKUP(B146,'[23]CN BC'!$H$10:$J$275,3,FALSE)</f>
        <v>19</v>
      </c>
      <c r="AA146" s="1139">
        <f t="shared" si="21"/>
        <v>21</v>
      </c>
      <c r="AB146" s="1139">
        <f t="shared" si="22"/>
        <v>0</v>
      </c>
      <c r="AC146" s="1139">
        <f t="shared" si="23"/>
        <v>19</v>
      </c>
      <c r="AD146" s="1140"/>
      <c r="AE146" s="1141">
        <f t="shared" si="24"/>
        <v>12210527</v>
      </c>
      <c r="AF146" s="1519">
        <f t="shared" ref="AF146:AF209" si="28">AE146/AG146</f>
        <v>5.2181739316239319</v>
      </c>
      <c r="AG146" s="1224">
        <v>2340000</v>
      </c>
      <c r="AH146" s="1521">
        <f t="shared" ref="AH146:AH209" si="29">AF146*AG146</f>
        <v>12210527</v>
      </c>
      <c r="AI146" s="1142">
        <f t="shared" si="27"/>
        <v>129</v>
      </c>
      <c r="AJ146" s="1143">
        <f>IFERROR(INDEX('[17]CN BC'!$M$10:$M$276,MATCH(B146,'[17]CN BC'!$H$10:$H$276,0)),"")</f>
        <v>0</v>
      </c>
      <c r="AK146" s="1144" t="str">
        <f>VLOOKUP(B146,TH.T4!B149:AC479,28,FALSE)</f>
        <v>NN</v>
      </c>
      <c r="AL146" s="1130"/>
      <c r="AM146" s="1146"/>
      <c r="AN146" s="1147"/>
      <c r="AO146" s="1146"/>
      <c r="AP146" s="1146"/>
      <c r="AQ146" s="1146"/>
      <c r="AR146" s="1146"/>
      <c r="AS146" s="1146"/>
      <c r="AT146" s="1146"/>
    </row>
    <row r="147" spans="1:50" s="1148" customFormat="1" ht="31.5" customHeight="1">
      <c r="A147" s="1132">
        <f>_xlfn.AGGREGATE(4,7,A$17:A146)+1</f>
        <v>130</v>
      </c>
      <c r="B147" s="1133" t="s">
        <v>1876</v>
      </c>
      <c r="C147" s="1153" t="s">
        <v>1721</v>
      </c>
      <c r="D147" s="1154" t="s">
        <v>504</v>
      </c>
      <c r="E147" s="1058" t="str">
        <f>VLOOKUP(B147,TH.T6!B59:J389,9,FALSE)</f>
        <v>Giảng viên khoa Ngoại ngữ</v>
      </c>
      <c r="F147" s="1160">
        <v>3.99</v>
      </c>
      <c r="G147" s="1137"/>
      <c r="H147" s="1392">
        <f t="shared" ref="H147:H211" si="30">ROUND(F147*G147,3)</f>
        <v>0</v>
      </c>
      <c r="I147" s="1138"/>
      <c r="J147" s="1160">
        <v>3.99</v>
      </c>
      <c r="K147" s="1137"/>
      <c r="L147" s="1392">
        <f t="shared" ref="L147:L211" si="31">ROUND(J147*K147,3)</f>
        <v>0</v>
      </c>
      <c r="M147" s="1138"/>
      <c r="N147" s="1160">
        <v>3.99</v>
      </c>
      <c r="O147" s="1137"/>
      <c r="P147" s="1393">
        <f t="shared" ref="P147:P211" si="32">ROUND(N147*O147,3)</f>
        <v>0</v>
      </c>
      <c r="Q147" s="1138"/>
      <c r="R147" s="1138" t="str">
        <f>IFERROR(INDEX('[18]Gui chi Quynh'!$E$11:$E$397,MATCH(B147,'[18]Gui chi Quynh'!$B$11:$B$397,0)),"")</f>
        <v>A3</v>
      </c>
      <c r="S147" s="1138">
        <f t="shared" ref="S147:S211" si="33">IF(R147="A1",0.8,IF(R147="A2",0.7,IF(R147="A3",0.6,IF(R147="A4",0.5,IF(R147="B1",0.35,IF(R147="B2",0.25,IF(R147="C1",0.15,IF(R147="C2",0.1,0))))))))</f>
        <v>0.6</v>
      </c>
      <c r="T147" s="1138" t="str">
        <f>VLOOKUP(B147,'[19]Gui chi Quynh'!$B$11:$E$397,4,FALSE)</f>
        <v>A DN</v>
      </c>
      <c r="U147" s="1138">
        <f t="shared" ref="U147:U210" si="34">IF(T147="A1",0.8,IF(T147="A2",0.7,IF(T147="A3",0.6,IF(T147="A4",0.5,IF(T147="B1",0.35,IF(T147="B2",0.25,IF(T147="C1",0.15,IF(T147="C2",0.1,0))))))))</f>
        <v>0</v>
      </c>
      <c r="V147" s="1138" t="str">
        <f>VLOOKUP(B147,'[20]Gui chi Quynh'!$B$11:$E$396,4,FALSE)</f>
        <v>A3</v>
      </c>
      <c r="W147" s="1138">
        <f t="shared" ref="W147:W210" si="35">IF(V147="A1",0.8,IF(V147="A2",0.7,IF(V147="A3",0.6,IF(V147="A4",0.5,IF(V147="B1",0.35,IF(V147="B2",0.25,IF(V147="C1",0.15,IF(V147="C2",0.1,0))))))))</f>
        <v>0.6</v>
      </c>
      <c r="X147" s="1138">
        <f>IFERROR(INDEX('[21]CN BC'!$J$10:$J$275,MATCH(B147,'[21]CN BC'!$H$10:$H$275,0)),"")</f>
        <v>21</v>
      </c>
      <c r="Y147" s="1138">
        <f>IFERROR(INDEX('[22]CN BC'!$J$10:$J$274,MATCH(B147,'[22]CN BC'!$H$10:$H$274,0)),"")</f>
        <v>0</v>
      </c>
      <c r="Z147" s="1138">
        <f>VLOOKUP(B147,'[23]CN BC'!$H$10:$J$275,3,FALSE)</f>
        <v>19</v>
      </c>
      <c r="AA147" s="1139">
        <f t="shared" ref="AA147:AA211" si="36">IF(X147&gt;=$AA$12,$AA$12,IF(X147&lt;$AA$12,X147))</f>
        <v>21</v>
      </c>
      <c r="AB147" s="1139">
        <f t="shared" ref="AB147:AB210" si="37">IF(Y147&gt;=$AB$12,$AB$12,IF(Y147&lt;$AB$12,Y147))</f>
        <v>0</v>
      </c>
      <c r="AC147" s="1139">
        <f t="shared" ref="AC147:AC211" si="38">IF(Z147&gt;=$AC$12,$AC$12,IF(Z147&lt;$AC$12,Z147))</f>
        <v>19</v>
      </c>
      <c r="AD147" s="1140"/>
      <c r="AE147" s="1141">
        <f t="shared" ref="AE147:AE210" si="39">ROUND(((((((F147+H147+I147)*$AE$12/$AA$12*AA147)*S147)+((J147+L147+M147)*$AE$12/$AB$12*AB147)*U147)+((N147+P147+Q147)*$AE$12/$AC$12*AC147)*W147)+AD147),0)</f>
        <v>10716793</v>
      </c>
      <c r="AF147" s="1519">
        <f t="shared" si="28"/>
        <v>4.5798260683760681</v>
      </c>
      <c r="AG147" s="1224">
        <v>2340000</v>
      </c>
      <c r="AH147" s="1521">
        <f t="shared" si="29"/>
        <v>10716793</v>
      </c>
      <c r="AI147" s="1142">
        <f t="shared" si="27"/>
        <v>130</v>
      </c>
      <c r="AJ147" s="1143">
        <f>IFERROR(INDEX('[17]CN BC'!$M$10:$M$276,MATCH(B147,'[17]CN BC'!$H$10:$H$276,0)),"")</f>
        <v>0</v>
      </c>
      <c r="AK147" s="1144" t="str">
        <f>VLOOKUP(B147,TH.T4!B150:AC480,28,FALSE)</f>
        <v>NN</v>
      </c>
      <c r="AL147" s="1130"/>
      <c r="AM147" s="1146"/>
      <c r="AN147" s="1147"/>
      <c r="AO147" s="1146"/>
      <c r="AP147" s="1146"/>
      <c r="AQ147" s="1146"/>
      <c r="AR147" s="1146"/>
      <c r="AS147" s="1146"/>
      <c r="AT147" s="1146"/>
    </row>
    <row r="148" spans="1:50" s="1148" customFormat="1" ht="31.5" customHeight="1">
      <c r="A148" s="1132">
        <f>_xlfn.AGGREGATE(4,7,A$17:A147)+1</f>
        <v>131</v>
      </c>
      <c r="B148" s="1133" t="s">
        <v>1496</v>
      </c>
      <c r="C148" s="1153" t="s">
        <v>1722</v>
      </c>
      <c r="D148" s="1150" t="s">
        <v>1589</v>
      </c>
      <c r="E148" s="1058" t="str">
        <f>VLOOKUP(B148,TH.T6!B60:J390,9,FALSE)</f>
        <v>Giảng viên khoa Ngoại ngữ</v>
      </c>
      <c r="F148" s="1160">
        <v>3.33</v>
      </c>
      <c r="G148" s="1137"/>
      <c r="H148" s="1392">
        <f t="shared" si="30"/>
        <v>0</v>
      </c>
      <c r="I148" s="1138">
        <v>0.45</v>
      </c>
      <c r="J148" s="1160">
        <v>3.33</v>
      </c>
      <c r="K148" s="1137"/>
      <c r="L148" s="1392">
        <f t="shared" si="31"/>
        <v>0</v>
      </c>
      <c r="M148" s="1138">
        <v>0.45</v>
      </c>
      <c r="N148" s="1160">
        <v>3.33</v>
      </c>
      <c r="O148" s="1137"/>
      <c r="P148" s="1393">
        <f t="shared" si="32"/>
        <v>0</v>
      </c>
      <c r="Q148" s="1138">
        <v>0.45</v>
      </c>
      <c r="R148" s="1138" t="str">
        <f>IFERROR(INDEX('[18]Gui chi Quynh'!$E$11:$E$397,MATCH(B148,'[18]Gui chi Quynh'!$B$11:$B$397,0)),"")</f>
        <v>A2</v>
      </c>
      <c r="S148" s="1138">
        <f t="shared" si="33"/>
        <v>0.7</v>
      </c>
      <c r="T148" s="1138" t="str">
        <f>VLOOKUP(B148,'[19]Gui chi Quynh'!$B$11:$E$397,4,FALSE)</f>
        <v>A2</v>
      </c>
      <c r="U148" s="1138">
        <f t="shared" si="34"/>
        <v>0.7</v>
      </c>
      <c r="V148" s="1138" t="str">
        <f>VLOOKUP(B148,'[20]Gui chi Quynh'!$B$11:$E$396,4,FALSE)</f>
        <v>A2</v>
      </c>
      <c r="W148" s="1138">
        <f t="shared" si="35"/>
        <v>0.7</v>
      </c>
      <c r="X148" s="1138">
        <f>IFERROR(INDEX('[21]CN BC'!$J$10:$J$275,MATCH(B148,'[21]CN BC'!$H$10:$H$275,0)),"")</f>
        <v>23</v>
      </c>
      <c r="Y148" s="1138">
        <f>IFERROR(INDEX('[22]CN BC'!$J$10:$J$274,MATCH(B148,'[22]CN BC'!$H$10:$H$274,0)),"")</f>
        <v>22</v>
      </c>
      <c r="Z148" s="1138">
        <f>VLOOKUP(B148,'[23]CN BC'!$H$10:$J$275,3,FALSE)</f>
        <v>19</v>
      </c>
      <c r="AA148" s="1139">
        <f t="shared" si="36"/>
        <v>23</v>
      </c>
      <c r="AB148" s="1139">
        <f t="shared" si="37"/>
        <v>22</v>
      </c>
      <c r="AC148" s="1139">
        <f t="shared" si="38"/>
        <v>19</v>
      </c>
      <c r="AD148" s="1140"/>
      <c r="AE148" s="1141">
        <f t="shared" si="39"/>
        <v>18574920</v>
      </c>
      <c r="AF148" s="1519">
        <f t="shared" si="28"/>
        <v>7.9379999999999997</v>
      </c>
      <c r="AG148" s="1224">
        <v>2340000</v>
      </c>
      <c r="AH148" s="1521">
        <f t="shared" si="29"/>
        <v>18574920</v>
      </c>
      <c r="AI148" s="1142">
        <f t="shared" si="27"/>
        <v>131</v>
      </c>
      <c r="AJ148" s="1143">
        <f>IFERROR(INDEX('[17]CN BC'!$M$10:$M$276,MATCH(B148,'[17]CN BC'!$H$10:$H$276,0)),"")</f>
        <v>0</v>
      </c>
      <c r="AK148" s="1144" t="str">
        <f>VLOOKUP(B148,TH.T4!B151:AC481,28,FALSE)</f>
        <v>NN</v>
      </c>
      <c r="AL148" s="1130"/>
      <c r="AM148" s="1146"/>
      <c r="AN148" s="1147"/>
      <c r="AO148" s="1146"/>
      <c r="AP148" s="1146"/>
      <c r="AQ148" s="1146"/>
      <c r="AR148" s="1146"/>
      <c r="AS148" s="1146"/>
      <c r="AT148" s="1146"/>
    </row>
    <row r="149" spans="1:50" s="1148" customFormat="1" ht="31.5" customHeight="1">
      <c r="A149" s="1132">
        <f>_xlfn.AGGREGATE(4,7,A$17:A148)+1</f>
        <v>132</v>
      </c>
      <c r="B149" s="1133" t="s">
        <v>1497</v>
      </c>
      <c r="C149" s="1153" t="s">
        <v>1723</v>
      </c>
      <c r="D149" s="1150" t="s">
        <v>1590</v>
      </c>
      <c r="E149" s="1058" t="str">
        <f>VLOOKUP(B149,TH.T6!B61:J391,9,FALSE)</f>
        <v>Giảng viên khoa Ngoại ngữ</v>
      </c>
      <c r="F149" s="1160">
        <v>3</v>
      </c>
      <c r="G149" s="1137"/>
      <c r="H149" s="1392">
        <f t="shared" si="30"/>
        <v>0</v>
      </c>
      <c r="I149" s="1138"/>
      <c r="J149" s="1160">
        <v>3</v>
      </c>
      <c r="K149" s="1137"/>
      <c r="L149" s="1392">
        <f t="shared" si="31"/>
        <v>0</v>
      </c>
      <c r="M149" s="1138"/>
      <c r="N149" s="1160">
        <v>3</v>
      </c>
      <c r="O149" s="1137"/>
      <c r="P149" s="1393">
        <f t="shared" si="32"/>
        <v>0</v>
      </c>
      <c r="Q149" s="1138"/>
      <c r="R149" s="1138" t="str">
        <f>IFERROR(INDEX('[18]Gui chi Quynh'!$E$11:$E$397,MATCH(B149,'[18]Gui chi Quynh'!$B$11:$B$397,0)),"")</f>
        <v>A3</v>
      </c>
      <c r="S149" s="1138">
        <f t="shared" si="33"/>
        <v>0.6</v>
      </c>
      <c r="T149" s="1138" t="str">
        <f>VLOOKUP(B149,'[19]Gui chi Quynh'!$B$11:$E$397,4,FALSE)</f>
        <v>A DN</v>
      </c>
      <c r="U149" s="1138">
        <f t="shared" si="34"/>
        <v>0</v>
      </c>
      <c r="V149" s="1138" t="str">
        <f>VLOOKUP(B149,'[20]Gui chi Quynh'!$B$11:$E$396,4,FALSE)</f>
        <v>A4</v>
      </c>
      <c r="W149" s="1138">
        <f t="shared" si="35"/>
        <v>0.5</v>
      </c>
      <c r="X149" s="1138">
        <f>IFERROR(INDEX('[21]CN BC'!$J$10:$J$275,MATCH(B149,'[21]CN BC'!$H$10:$H$275,0)),"")</f>
        <v>23</v>
      </c>
      <c r="Y149" s="1138">
        <f>IFERROR(INDEX('[22]CN BC'!$J$10:$J$274,MATCH(B149,'[22]CN BC'!$H$10:$H$274,0)),"")</f>
        <v>0</v>
      </c>
      <c r="Z149" s="1138">
        <f>VLOOKUP(B149,'[23]CN BC'!$H$10:$J$275,3,FALSE)</f>
        <v>19</v>
      </c>
      <c r="AA149" s="1139">
        <f t="shared" si="36"/>
        <v>23</v>
      </c>
      <c r="AB149" s="1139">
        <f t="shared" si="37"/>
        <v>0</v>
      </c>
      <c r="AC149" s="1139">
        <f t="shared" si="38"/>
        <v>19</v>
      </c>
      <c r="AD149" s="1140"/>
      <c r="AE149" s="1141">
        <f t="shared" si="39"/>
        <v>7722000</v>
      </c>
      <c r="AF149" s="1519">
        <f t="shared" si="28"/>
        <v>3.3</v>
      </c>
      <c r="AG149" s="1224">
        <v>2340000</v>
      </c>
      <c r="AH149" s="1521">
        <f t="shared" si="29"/>
        <v>7722000</v>
      </c>
      <c r="AI149" s="1142">
        <f t="shared" si="27"/>
        <v>132</v>
      </c>
      <c r="AJ149" s="1143">
        <f>IFERROR(INDEX('[17]CN BC'!$M$10:$M$276,MATCH(B149,'[17]CN BC'!$H$10:$H$276,0)),"")</f>
        <v>0</v>
      </c>
      <c r="AK149" s="1144" t="str">
        <f>VLOOKUP(B149,TH.T4!B152:AC482,28,FALSE)</f>
        <v>NN</v>
      </c>
      <c r="AL149" s="1130"/>
      <c r="AM149" s="1146"/>
      <c r="AN149" s="1147"/>
      <c r="AO149" s="1146"/>
      <c r="AP149" s="1146"/>
      <c r="AQ149" s="1146"/>
      <c r="AR149" s="1146"/>
      <c r="AS149" s="1146"/>
      <c r="AT149" s="1146"/>
    </row>
    <row r="150" spans="1:50" s="1148" customFormat="1" ht="31.5" customHeight="1">
      <c r="A150" s="1132">
        <f>_xlfn.AGGREGATE(4,7,A$17:A149)+1</f>
        <v>133</v>
      </c>
      <c r="B150" s="1133" t="s">
        <v>1929</v>
      </c>
      <c r="C150" s="1153" t="s">
        <v>1964</v>
      </c>
      <c r="D150" s="1188" t="s">
        <v>1932</v>
      </c>
      <c r="E150" s="1058" t="str">
        <f>VLOOKUP(B150,TH.T6!B62:J392,9,FALSE)</f>
        <v>Giảng viên khoa Ngoại ngữ</v>
      </c>
      <c r="F150" s="1136">
        <v>2.34</v>
      </c>
      <c r="G150" s="1137"/>
      <c r="H150" s="1392">
        <f t="shared" si="30"/>
        <v>0</v>
      </c>
      <c r="I150" s="1138"/>
      <c r="J150" s="1136">
        <v>2.34</v>
      </c>
      <c r="K150" s="1137"/>
      <c r="L150" s="1392">
        <f t="shared" si="31"/>
        <v>0</v>
      </c>
      <c r="M150" s="1138"/>
      <c r="N150" s="1136">
        <v>2.34</v>
      </c>
      <c r="O150" s="1137"/>
      <c r="P150" s="1393">
        <f t="shared" si="32"/>
        <v>0</v>
      </c>
      <c r="Q150" s="1138"/>
      <c r="R150" s="1138" t="str">
        <f>IFERROR(INDEX('[18]Gui chi Quynh'!$E$11:$E$397,MATCH(B150,'[18]Gui chi Quynh'!$B$11:$B$397,0)),"")</f>
        <v>A4</v>
      </c>
      <c r="S150" s="1138">
        <f t="shared" si="33"/>
        <v>0.5</v>
      </c>
      <c r="T150" s="1138" t="str">
        <f>VLOOKUP(B150,'[19]Gui chi Quynh'!$B$11:$E$397,4,FALSE)</f>
        <v>A DN</v>
      </c>
      <c r="U150" s="1138">
        <f t="shared" si="34"/>
        <v>0</v>
      </c>
      <c r="V150" s="1138" t="str">
        <f>VLOOKUP(B150,'[20]Gui chi Quynh'!$B$11:$E$396,4,FALSE)</f>
        <v>A4</v>
      </c>
      <c r="W150" s="1138">
        <f t="shared" si="35"/>
        <v>0.5</v>
      </c>
      <c r="X150" s="1138">
        <f>IFERROR(INDEX('[21]CN BC'!$J$10:$J$275,MATCH(B150,'[21]CN BC'!$H$10:$H$275,0)),"")</f>
        <v>23</v>
      </c>
      <c r="Y150" s="1138">
        <f>IFERROR(INDEX('[22]CN BC'!$J$10:$J$274,MATCH(B150,'[22]CN BC'!$H$10:$H$274,0)),"")</f>
        <v>0</v>
      </c>
      <c r="Z150" s="1138">
        <f>VLOOKUP(B150,'[23]CN BC'!$H$10:$J$275,3,FALSE)</f>
        <v>19</v>
      </c>
      <c r="AA150" s="1139">
        <f t="shared" si="36"/>
        <v>23</v>
      </c>
      <c r="AB150" s="1139">
        <f t="shared" si="37"/>
        <v>0</v>
      </c>
      <c r="AC150" s="1139">
        <f t="shared" si="38"/>
        <v>19</v>
      </c>
      <c r="AD150" s="1140"/>
      <c r="AE150" s="1141">
        <f t="shared" si="39"/>
        <v>5475600</v>
      </c>
      <c r="AF150" s="1519">
        <f t="shared" si="28"/>
        <v>2.34</v>
      </c>
      <c r="AG150" s="1224">
        <v>2340000</v>
      </c>
      <c r="AH150" s="1521">
        <f t="shared" si="29"/>
        <v>5475600</v>
      </c>
      <c r="AI150" s="1142">
        <f t="shared" si="27"/>
        <v>133</v>
      </c>
      <c r="AJ150" s="1143">
        <f>IFERROR(INDEX('[17]CN BC'!$M$10:$M$276,MATCH(B150,'[17]CN BC'!$H$10:$H$276,0)),"")</f>
        <v>0</v>
      </c>
      <c r="AK150" s="1144" t="str">
        <f>VLOOKUP(B150,TH.T4!B153:AC483,28,FALSE)</f>
        <v>NN</v>
      </c>
      <c r="AL150" s="1130"/>
      <c r="AM150" s="1146"/>
      <c r="AN150" s="1147"/>
      <c r="AO150" s="1146"/>
      <c r="AP150" s="1146"/>
      <c r="AQ150" s="1146"/>
      <c r="AR150" s="1146"/>
      <c r="AS150" s="1146"/>
      <c r="AT150" s="1146"/>
    </row>
    <row r="151" spans="1:50" s="1148" customFormat="1" ht="31.5" customHeight="1">
      <c r="A151" s="1132">
        <f>_xlfn.AGGREGATE(4,7,A$17:A150)+1</f>
        <v>134</v>
      </c>
      <c r="B151" s="1133" t="s">
        <v>1498</v>
      </c>
      <c r="C151" s="1153" t="s">
        <v>1724</v>
      </c>
      <c r="D151" s="1150" t="s">
        <v>1591</v>
      </c>
      <c r="E151" s="1058" t="str">
        <f>VLOOKUP(B151,TH.T6!B63:J393,9,FALSE)</f>
        <v>Giảng viên khoa Ngoại ngữ</v>
      </c>
      <c r="F151" s="1160">
        <v>3</v>
      </c>
      <c r="G151" s="1137"/>
      <c r="H151" s="1392">
        <f t="shared" si="30"/>
        <v>0</v>
      </c>
      <c r="I151" s="1138"/>
      <c r="J151" s="1160">
        <v>3</v>
      </c>
      <c r="K151" s="1137"/>
      <c r="L151" s="1392">
        <f t="shared" si="31"/>
        <v>0</v>
      </c>
      <c r="M151" s="1138"/>
      <c r="N151" s="1160">
        <v>3</v>
      </c>
      <c r="O151" s="1137"/>
      <c r="P151" s="1393">
        <f t="shared" si="32"/>
        <v>0</v>
      </c>
      <c r="Q151" s="1138"/>
      <c r="R151" s="1138" t="str">
        <f>IFERROR(INDEX('[18]Gui chi Quynh'!$E$11:$E$397,MATCH(B151,'[18]Gui chi Quynh'!$B$11:$B$397,0)),"")</f>
        <v>A3</v>
      </c>
      <c r="S151" s="1138">
        <f t="shared" si="33"/>
        <v>0.6</v>
      </c>
      <c r="T151" s="1138" t="str">
        <f>VLOOKUP(B151,'[19]Gui chi Quynh'!$B$11:$E$397,4,FALSE)</f>
        <v>A DN</v>
      </c>
      <c r="U151" s="1138">
        <f t="shared" si="34"/>
        <v>0</v>
      </c>
      <c r="V151" s="1138" t="str">
        <f>VLOOKUP(B151,'[20]Gui chi Quynh'!$B$11:$E$396,4,FALSE)</f>
        <v>A4</v>
      </c>
      <c r="W151" s="1138">
        <f t="shared" si="35"/>
        <v>0.5</v>
      </c>
      <c r="X151" s="1138">
        <f>IFERROR(INDEX('[21]CN BC'!$J$10:$J$275,MATCH(B151,'[21]CN BC'!$H$10:$H$275,0)),"")</f>
        <v>23</v>
      </c>
      <c r="Y151" s="1138">
        <f>IFERROR(INDEX('[22]CN BC'!$J$10:$J$274,MATCH(B151,'[22]CN BC'!$H$10:$H$274,0)),"")</f>
        <v>0</v>
      </c>
      <c r="Z151" s="1138">
        <f>VLOOKUP(B151,'[23]CN BC'!$H$10:$J$275,3,FALSE)</f>
        <v>19</v>
      </c>
      <c r="AA151" s="1139">
        <f t="shared" si="36"/>
        <v>23</v>
      </c>
      <c r="AB151" s="1139">
        <f t="shared" si="37"/>
        <v>0</v>
      </c>
      <c r="AC151" s="1139">
        <f t="shared" si="38"/>
        <v>19</v>
      </c>
      <c r="AD151" s="1140"/>
      <c r="AE151" s="1141">
        <f t="shared" si="39"/>
        <v>7722000</v>
      </c>
      <c r="AF151" s="1519">
        <f t="shared" si="28"/>
        <v>3.3</v>
      </c>
      <c r="AG151" s="1224">
        <v>2340000</v>
      </c>
      <c r="AH151" s="1521">
        <f t="shared" si="29"/>
        <v>7722000</v>
      </c>
      <c r="AI151" s="1142">
        <f t="shared" si="27"/>
        <v>134</v>
      </c>
      <c r="AJ151" s="1143">
        <f>IFERROR(INDEX('[17]CN BC'!$M$10:$M$276,MATCH(B151,'[17]CN BC'!$H$10:$H$276,0)),"")</f>
        <v>0</v>
      </c>
      <c r="AK151" s="1144" t="str">
        <f>VLOOKUP(B151,TH.T4!B154:AC484,28,FALSE)</f>
        <v>NN</v>
      </c>
      <c r="AL151" s="1130"/>
      <c r="AM151" s="1146"/>
      <c r="AN151" s="1158"/>
    </row>
    <row r="152" spans="1:50" s="1148" customFormat="1" ht="30.75" customHeight="1">
      <c r="A152" s="1132">
        <f>_xlfn.AGGREGATE(4,7,A$17:A151)+1</f>
        <v>135</v>
      </c>
      <c r="B152" s="1133" t="s">
        <v>1925</v>
      </c>
      <c r="C152" s="1153" t="s">
        <v>1965</v>
      </c>
      <c r="D152" s="1213" t="s">
        <v>1930</v>
      </c>
      <c r="E152" s="1058" t="str">
        <f>VLOOKUP(B152,TH.T6!B64:J394,9,FALSE)</f>
        <v>Giảng viên khoa Ngoại ngữ</v>
      </c>
      <c r="F152" s="1136">
        <v>2.67</v>
      </c>
      <c r="G152" s="1137"/>
      <c r="H152" s="1392">
        <f t="shared" si="30"/>
        <v>0</v>
      </c>
      <c r="I152" s="1138"/>
      <c r="J152" s="1136">
        <v>2.67</v>
      </c>
      <c r="K152" s="1137"/>
      <c r="L152" s="1392">
        <f t="shared" si="31"/>
        <v>0</v>
      </c>
      <c r="M152" s="1138"/>
      <c r="N152" s="1136">
        <v>2.67</v>
      </c>
      <c r="O152" s="1137"/>
      <c r="P152" s="1393">
        <f t="shared" si="32"/>
        <v>0</v>
      </c>
      <c r="Q152" s="1138"/>
      <c r="R152" s="1138" t="str">
        <f>IFERROR(INDEX('[18]Gui chi Quynh'!$E$11:$E$397,MATCH(B152,'[18]Gui chi Quynh'!$B$11:$B$397,0)),"")</f>
        <v>A3</v>
      </c>
      <c r="S152" s="1138">
        <f t="shared" si="33"/>
        <v>0.6</v>
      </c>
      <c r="T152" s="1138" t="str">
        <f>VLOOKUP(B152,'[19]Gui chi Quynh'!$B$11:$E$397,4,FALSE)</f>
        <v>A DN</v>
      </c>
      <c r="U152" s="1138">
        <f t="shared" si="34"/>
        <v>0</v>
      </c>
      <c r="V152" s="1138" t="str">
        <f>VLOOKUP(B152,'[20]Gui chi Quynh'!$B$11:$E$396,4,FALSE)</f>
        <v>A3</v>
      </c>
      <c r="W152" s="1138">
        <f t="shared" si="35"/>
        <v>0.6</v>
      </c>
      <c r="X152" s="1138">
        <f>IFERROR(INDEX('[21]CN BC'!$J$10:$J$275,MATCH(B152,'[21]CN BC'!$H$10:$H$275,0)),"")</f>
        <v>23</v>
      </c>
      <c r="Y152" s="1138">
        <f>IFERROR(INDEX('[22]CN BC'!$J$10:$J$274,MATCH(B152,'[22]CN BC'!$H$10:$H$274,0)),"")</f>
        <v>0</v>
      </c>
      <c r="Z152" s="1138">
        <f>VLOOKUP(B152,'[23]CN BC'!$H$10:$J$275,3,FALSE)</f>
        <v>19</v>
      </c>
      <c r="AA152" s="1139">
        <f t="shared" si="36"/>
        <v>23</v>
      </c>
      <c r="AB152" s="1139">
        <f t="shared" si="37"/>
        <v>0</v>
      </c>
      <c r="AC152" s="1139">
        <f t="shared" si="38"/>
        <v>19</v>
      </c>
      <c r="AD152" s="1140"/>
      <c r="AE152" s="1141">
        <f t="shared" si="39"/>
        <v>7497360</v>
      </c>
      <c r="AF152" s="1519">
        <f t="shared" si="28"/>
        <v>3.2040000000000002</v>
      </c>
      <c r="AG152" s="1224">
        <v>2340000</v>
      </c>
      <c r="AH152" s="1521">
        <f t="shared" si="29"/>
        <v>7497360</v>
      </c>
      <c r="AI152" s="1142">
        <f t="shared" si="27"/>
        <v>135</v>
      </c>
      <c r="AJ152" s="1143">
        <f>IFERROR(INDEX('[17]CN BC'!$M$10:$M$276,MATCH(B152,'[17]CN BC'!$H$10:$H$276,0)),"")</f>
        <v>0</v>
      </c>
      <c r="AK152" s="1144" t="str">
        <f>VLOOKUP(B152,TH.T4!B155:AC485,28,FALSE)</f>
        <v>NN</v>
      </c>
      <c r="AL152" s="1130"/>
      <c r="AM152" s="1146"/>
      <c r="AN152" s="1158"/>
    </row>
    <row r="153" spans="1:50" s="1148" customFormat="1" ht="40.5" customHeight="1">
      <c r="A153" s="1132">
        <f>_xlfn.AGGREGATE(4,7,A$17:A152)+1</f>
        <v>136</v>
      </c>
      <c r="B153" s="1429" t="s">
        <v>2018</v>
      </c>
      <c r="C153" s="1430"/>
      <c r="D153" s="1457"/>
      <c r="E153" s="1529" t="str">
        <f>VLOOKUP(B153,TH.T6!B65:J395,9,FALSE)</f>
        <v>Giảng viên khoa Ngoại ngữ</v>
      </c>
      <c r="F153" s="1458">
        <v>1.9890000000000001</v>
      </c>
      <c r="G153" s="1433"/>
      <c r="H153" s="1434">
        <f t="shared" si="30"/>
        <v>0</v>
      </c>
      <c r="I153" s="1435"/>
      <c r="J153" s="1458">
        <v>1.9890000000000001</v>
      </c>
      <c r="K153" s="1433"/>
      <c r="L153" s="1434">
        <f t="shared" si="31"/>
        <v>0</v>
      </c>
      <c r="M153" s="1435"/>
      <c r="N153" s="1458">
        <v>1.9890000000000001</v>
      </c>
      <c r="O153" s="1433"/>
      <c r="P153" s="1436">
        <f t="shared" si="32"/>
        <v>0</v>
      </c>
      <c r="Q153" s="1435"/>
      <c r="R153" s="1435" t="str">
        <f>IFERROR(INDEX('[18]Gui chi Quynh'!$E$11:$E$397,MATCH(B153,'[18]Gui chi Quynh'!$B$11:$B$397,0)),"")</f>
        <v>A DN</v>
      </c>
      <c r="S153" s="1435">
        <f t="shared" si="33"/>
        <v>0</v>
      </c>
      <c r="T153" s="1435" t="str">
        <f>VLOOKUP(B153,'[19]Gui chi Quynh'!$B$11:$E$397,4,FALSE)</f>
        <v>A DN</v>
      </c>
      <c r="U153" s="1435">
        <f t="shared" si="34"/>
        <v>0</v>
      </c>
      <c r="V153" s="1435" t="str">
        <f>VLOOKUP(B153,'[20]Gui chi Quynh'!$B$11:$E$396,4,FALSE)</f>
        <v>A4</v>
      </c>
      <c r="W153" s="1435">
        <f t="shared" si="35"/>
        <v>0.5</v>
      </c>
      <c r="X153" s="1435">
        <f>IFERROR(INDEX('[21]CN BC'!$J$10:$J$275,MATCH(B153,'[21]CN BC'!$H$10:$H$275,0)),"")</f>
        <v>0</v>
      </c>
      <c r="Y153" s="1435">
        <f>IFERROR(INDEX('[22]CN BC'!$J$10:$J$274,MATCH(B153,'[22]CN BC'!$H$10:$H$274,0)),"")</f>
        <v>0</v>
      </c>
      <c r="Z153" s="1435">
        <f>VLOOKUP(B153,'[23]CN BC'!$H$10:$J$275,3,FALSE)</f>
        <v>16</v>
      </c>
      <c r="AA153" s="1437">
        <f t="shared" si="36"/>
        <v>0</v>
      </c>
      <c r="AB153" s="1437">
        <f t="shared" si="37"/>
        <v>0</v>
      </c>
      <c r="AC153" s="1437">
        <f t="shared" si="38"/>
        <v>16</v>
      </c>
      <c r="AD153" s="1438"/>
      <c r="AE153" s="1439">
        <f t="shared" si="39"/>
        <v>1959688</v>
      </c>
      <c r="AF153" s="1530">
        <f t="shared" si="28"/>
        <v>0.83747350427350431</v>
      </c>
      <c r="AG153" s="1513">
        <v>2340000</v>
      </c>
      <c r="AH153" s="1531">
        <f t="shared" si="29"/>
        <v>1959688</v>
      </c>
      <c r="AI153" s="1440">
        <f t="shared" si="27"/>
        <v>136</v>
      </c>
      <c r="AJ153" s="1441" t="s">
        <v>2368</v>
      </c>
      <c r="AK153" s="1144" t="str">
        <f>VLOOKUP(B153,TH.T4!B156:AC486,28,FALSE)</f>
        <v>NN</v>
      </c>
      <c r="AL153" s="1171"/>
      <c r="AN153" s="1158"/>
    </row>
    <row r="154" spans="1:50" s="1148" customFormat="1" ht="30.75" customHeight="1">
      <c r="A154" s="1132">
        <f>_xlfn.AGGREGATE(4,7,A$17:A153)+1</f>
        <v>137</v>
      </c>
      <c r="B154" s="1133" t="s">
        <v>2024</v>
      </c>
      <c r="C154" s="1153"/>
      <c r="D154" s="1213"/>
      <c r="E154" s="1058" t="str">
        <f>VLOOKUP(B154,TH.T6!B66:J396,9,FALSE)</f>
        <v>Giảng viên khoa Ngoại ngữ</v>
      </c>
      <c r="F154" s="1136">
        <v>1.9890000000000001</v>
      </c>
      <c r="G154" s="1137"/>
      <c r="H154" s="1392">
        <f t="shared" si="30"/>
        <v>0</v>
      </c>
      <c r="I154" s="1138"/>
      <c r="J154" s="1136">
        <v>1.9890000000000001</v>
      </c>
      <c r="K154" s="1137"/>
      <c r="L154" s="1392">
        <f t="shared" si="31"/>
        <v>0</v>
      </c>
      <c r="M154" s="1138"/>
      <c r="N154" s="1136">
        <v>1.9890000000000001</v>
      </c>
      <c r="O154" s="1137"/>
      <c r="P154" s="1393">
        <f t="shared" si="32"/>
        <v>0</v>
      </c>
      <c r="Q154" s="1138"/>
      <c r="R154" s="1138" t="str">
        <f>IFERROR(INDEX('[18]Gui chi Quynh'!$E$11:$E$397,MATCH(B154,'[18]Gui chi Quynh'!$B$11:$B$397,0)),"")</f>
        <v>A3</v>
      </c>
      <c r="S154" s="1138">
        <f t="shared" si="33"/>
        <v>0.6</v>
      </c>
      <c r="T154" s="1138" t="str">
        <f>VLOOKUP(B154,'[19]Gui chi Quynh'!$B$11:$E$397,4,FALSE)</f>
        <v>A DN</v>
      </c>
      <c r="U154" s="1138">
        <f t="shared" si="34"/>
        <v>0</v>
      </c>
      <c r="V154" s="1138" t="str">
        <f>VLOOKUP(B154,'[20]Gui chi Quynh'!$B$11:$E$396,4,FALSE)</f>
        <v>A3</v>
      </c>
      <c r="W154" s="1138">
        <f t="shared" si="35"/>
        <v>0.6</v>
      </c>
      <c r="X154" s="1138">
        <f>IFERROR(INDEX('[21]CN BC'!$J$10:$J$275,MATCH(B154,'[21]CN BC'!$H$10:$H$275,0)),"")</f>
        <v>23</v>
      </c>
      <c r="Y154" s="1138">
        <f>IFERROR(INDEX('[22]CN BC'!$J$10:$J$274,MATCH(B154,'[22]CN BC'!$H$10:$H$274,0)),"")</f>
        <v>0</v>
      </c>
      <c r="Z154" s="1138">
        <f>VLOOKUP(B154,'[23]CN BC'!$H$10:$J$275,3,FALSE)</f>
        <v>19</v>
      </c>
      <c r="AA154" s="1139">
        <f t="shared" si="36"/>
        <v>23</v>
      </c>
      <c r="AB154" s="1139">
        <f t="shared" si="37"/>
        <v>0</v>
      </c>
      <c r="AC154" s="1139">
        <f t="shared" si="38"/>
        <v>19</v>
      </c>
      <c r="AD154" s="1140"/>
      <c r="AE154" s="1141">
        <f t="shared" si="39"/>
        <v>5585112</v>
      </c>
      <c r="AF154" s="1519">
        <f t="shared" si="28"/>
        <v>2.3868</v>
      </c>
      <c r="AG154" s="1224">
        <v>2340000</v>
      </c>
      <c r="AH154" s="1521">
        <f t="shared" si="29"/>
        <v>5585112</v>
      </c>
      <c r="AI154" s="1142">
        <f t="shared" si="27"/>
        <v>137</v>
      </c>
      <c r="AJ154" s="1143">
        <f>IFERROR(INDEX('[17]CN BC'!$M$10:$M$276,MATCH(B154,'[17]CN BC'!$H$10:$H$276,0)),"")</f>
        <v>0</v>
      </c>
      <c r="AK154" s="1144" t="str">
        <f>VLOOKUP(B154,TH.T4!B157:AC487,28,FALSE)</f>
        <v>NN</v>
      </c>
      <c r="AL154" s="1171"/>
      <c r="AN154" s="1158"/>
    </row>
    <row r="155" spans="1:50" s="1148" customFormat="1" ht="30.75" customHeight="1">
      <c r="A155" s="1132">
        <f>_xlfn.AGGREGATE(4,7,A$17:A154)+1</f>
        <v>138</v>
      </c>
      <c r="B155" s="1133" t="s">
        <v>2006</v>
      </c>
      <c r="C155" s="1153"/>
      <c r="D155" s="1213"/>
      <c r="E155" s="1058" t="str">
        <f>VLOOKUP(B155,TH.T6!B67:J397,9,FALSE)</f>
        <v>Giảng viên khoa Ngoại ngữ</v>
      </c>
      <c r="F155" s="1136">
        <v>2.34</v>
      </c>
      <c r="G155" s="1137"/>
      <c r="H155" s="1392">
        <f t="shared" si="30"/>
        <v>0</v>
      </c>
      <c r="I155" s="1138"/>
      <c r="J155" s="1136">
        <v>2.34</v>
      </c>
      <c r="K155" s="1137"/>
      <c r="L155" s="1392">
        <f t="shared" si="31"/>
        <v>0</v>
      </c>
      <c r="M155" s="1138"/>
      <c r="N155" s="1136">
        <v>2.34</v>
      </c>
      <c r="O155" s="1137"/>
      <c r="P155" s="1393">
        <f t="shared" si="32"/>
        <v>0</v>
      </c>
      <c r="Q155" s="1138"/>
      <c r="R155" s="1138" t="str">
        <f>IFERROR(INDEX('[18]Gui chi Quynh'!$E$11:$E$397,MATCH(B155,'[18]Gui chi Quynh'!$B$11:$B$397,0)),"")</f>
        <v>A3</v>
      </c>
      <c r="S155" s="1138">
        <f t="shared" si="33"/>
        <v>0.6</v>
      </c>
      <c r="T155" s="1138" t="str">
        <f>VLOOKUP(B155,'[19]Gui chi Quynh'!$B$11:$E$397,4,FALSE)</f>
        <v>A DN</v>
      </c>
      <c r="U155" s="1138">
        <f t="shared" si="34"/>
        <v>0</v>
      </c>
      <c r="V155" s="1138" t="str">
        <f>VLOOKUP(B155,'[20]Gui chi Quynh'!$B$11:$E$396,4,FALSE)</f>
        <v>A3</v>
      </c>
      <c r="W155" s="1138">
        <f t="shared" si="35"/>
        <v>0.6</v>
      </c>
      <c r="X155" s="1138">
        <f>IFERROR(INDEX('[21]CN BC'!$J$10:$J$275,MATCH(B155,'[21]CN BC'!$H$10:$H$275,0)),"")</f>
        <v>23</v>
      </c>
      <c r="Y155" s="1138">
        <f>IFERROR(INDEX('[22]CN BC'!$J$10:$J$274,MATCH(B155,'[22]CN BC'!$H$10:$H$274,0)),"")</f>
        <v>0</v>
      </c>
      <c r="Z155" s="1138">
        <f>VLOOKUP(B155,'[23]CN BC'!$H$10:$J$275,3,FALSE)</f>
        <v>19</v>
      </c>
      <c r="AA155" s="1139">
        <f t="shared" si="36"/>
        <v>23</v>
      </c>
      <c r="AB155" s="1139">
        <f t="shared" si="37"/>
        <v>0</v>
      </c>
      <c r="AC155" s="1139">
        <f t="shared" si="38"/>
        <v>19</v>
      </c>
      <c r="AD155" s="1140"/>
      <c r="AE155" s="1141">
        <f t="shared" si="39"/>
        <v>6570720</v>
      </c>
      <c r="AF155" s="1519">
        <f t="shared" si="28"/>
        <v>2.8079999999999998</v>
      </c>
      <c r="AG155" s="1224">
        <v>2340000</v>
      </c>
      <c r="AH155" s="1521">
        <f t="shared" si="29"/>
        <v>6570720</v>
      </c>
      <c r="AI155" s="1142">
        <f t="shared" si="27"/>
        <v>138</v>
      </c>
      <c r="AJ155" s="1143">
        <f>IFERROR(INDEX('[17]CN BC'!$M$10:$M$276,MATCH(B155,'[17]CN BC'!$H$10:$H$276,0)),"")</f>
        <v>0</v>
      </c>
      <c r="AK155" s="1144" t="str">
        <f>VLOOKUP(B155,TH.T4!B158:AC488,28,FALSE)</f>
        <v>NN</v>
      </c>
      <c r="AL155" s="1171"/>
      <c r="AN155" s="1158"/>
    </row>
    <row r="156" spans="1:50" s="1148" customFormat="1" ht="30.75" customHeight="1">
      <c r="A156" s="1132">
        <f>_xlfn.AGGREGATE(4,7,A$17:A155)+1</f>
        <v>139</v>
      </c>
      <c r="B156" s="1442" t="s">
        <v>2345</v>
      </c>
      <c r="C156" s="1443"/>
      <c r="D156" s="1455"/>
      <c r="E156" s="741" t="s">
        <v>2374</v>
      </c>
      <c r="F156" s="1456"/>
      <c r="G156" s="1446"/>
      <c r="H156" s="1447"/>
      <c r="I156" s="1448"/>
      <c r="J156" s="1456">
        <v>1.9890000000000001</v>
      </c>
      <c r="K156" s="1446"/>
      <c r="L156" s="1447">
        <f t="shared" si="31"/>
        <v>0</v>
      </c>
      <c r="M156" s="1448"/>
      <c r="N156" s="1456">
        <v>1.9890000000000001</v>
      </c>
      <c r="O156" s="1446"/>
      <c r="P156" s="1449">
        <f t="shared" si="32"/>
        <v>0</v>
      </c>
      <c r="Q156" s="1448"/>
      <c r="R156" s="1448"/>
      <c r="S156" s="1448">
        <f t="shared" si="33"/>
        <v>0</v>
      </c>
      <c r="T156" s="1448" t="str">
        <f>VLOOKUP(B156,'[19]Gui chi Quynh'!$B$11:$E$397,4,FALSE)</f>
        <v>A DN</v>
      </c>
      <c r="U156" s="1448">
        <f t="shared" si="34"/>
        <v>0</v>
      </c>
      <c r="V156" s="1448" t="str">
        <f>VLOOKUP(B156,'[20]Gui chi Quynh'!$B$11:$E$396,4,FALSE)</f>
        <v>A3</v>
      </c>
      <c r="W156" s="1448">
        <f t="shared" si="35"/>
        <v>0.6</v>
      </c>
      <c r="X156" s="1448">
        <v>0</v>
      </c>
      <c r="Y156" s="1448">
        <v>0</v>
      </c>
      <c r="Z156" s="1448">
        <f>VLOOKUP(B156,'[23]CN BC'!$H$10:$J$275,3,FALSE)</f>
        <v>19</v>
      </c>
      <c r="AA156" s="1450">
        <f t="shared" si="36"/>
        <v>0</v>
      </c>
      <c r="AB156" s="1450">
        <f t="shared" si="37"/>
        <v>0</v>
      </c>
      <c r="AC156" s="1450">
        <f t="shared" si="38"/>
        <v>19</v>
      </c>
      <c r="AD156" s="1451"/>
      <c r="AE156" s="1452">
        <f t="shared" si="39"/>
        <v>2792556</v>
      </c>
      <c r="AF156" s="1570">
        <f t="shared" si="28"/>
        <v>1.1934</v>
      </c>
      <c r="AG156" s="1514">
        <v>2340000</v>
      </c>
      <c r="AH156" s="1571">
        <f t="shared" si="29"/>
        <v>2792556</v>
      </c>
      <c r="AI156" s="1453"/>
      <c r="AJ156" s="1454" t="s">
        <v>2355</v>
      </c>
      <c r="AK156" s="1189"/>
      <c r="AL156" s="1171"/>
      <c r="AN156" s="1158"/>
    </row>
    <row r="157" spans="1:50" s="1148" customFormat="1" ht="30" customHeight="1">
      <c r="A157" s="1132">
        <f>_xlfn.AGGREGATE(4,7,A$17:A156)+1</f>
        <v>140</v>
      </c>
      <c r="B157" s="1133" t="s">
        <v>1499</v>
      </c>
      <c r="C157" s="1153" t="s">
        <v>1725</v>
      </c>
      <c r="D157" s="1154" t="s">
        <v>378</v>
      </c>
      <c r="E157" s="1058" t="str">
        <f>VLOOKUP(B157,TH.T6!B69:J399,9,FALSE)</f>
        <v>Phó Trưởng khoa LLCT</v>
      </c>
      <c r="F157" s="1160">
        <v>3.99</v>
      </c>
      <c r="G157" s="1222"/>
      <c r="H157" s="1392">
        <f t="shared" si="30"/>
        <v>0</v>
      </c>
      <c r="I157" s="1138">
        <v>0.35</v>
      </c>
      <c r="J157" s="1160">
        <v>3.99</v>
      </c>
      <c r="K157" s="1222"/>
      <c r="L157" s="1392">
        <f t="shared" si="31"/>
        <v>0</v>
      </c>
      <c r="M157" s="1138">
        <v>0.35</v>
      </c>
      <c r="N157" s="1160">
        <v>3.99</v>
      </c>
      <c r="O157" s="1222"/>
      <c r="P157" s="1393">
        <f t="shared" si="32"/>
        <v>0</v>
      </c>
      <c r="Q157" s="1138">
        <v>0.35</v>
      </c>
      <c r="R157" s="1138" t="str">
        <f>IFERROR(INDEX('[18]Gui chi Quynh'!$E$11:$E$397,MATCH(B157,'[18]Gui chi Quynh'!$B$11:$B$397,0)),"")</f>
        <v>A3</v>
      </c>
      <c r="S157" s="1138">
        <f t="shared" si="33"/>
        <v>0.6</v>
      </c>
      <c r="T157" s="1138" t="str">
        <f>VLOOKUP(B157,'[19]Gui chi Quynh'!$B$11:$E$397,4,FALSE)</f>
        <v>A3</v>
      </c>
      <c r="U157" s="1138">
        <f t="shared" si="34"/>
        <v>0.6</v>
      </c>
      <c r="V157" s="1138" t="str">
        <f>VLOOKUP(B157,'[20]Gui chi Quynh'!$B$11:$E$396,4,FALSE)</f>
        <v>A4</v>
      </c>
      <c r="W157" s="1138">
        <f t="shared" si="35"/>
        <v>0.5</v>
      </c>
      <c r="X157" s="1138">
        <f>IFERROR(INDEX('[21]CN BC'!$J$10:$J$275,MATCH(B157,'[21]CN BC'!$H$10:$H$275,0)),"")</f>
        <v>21</v>
      </c>
      <c r="Y157" s="1138">
        <f>IFERROR(INDEX('[22]CN BC'!$J$10:$J$274,MATCH(B157,'[22]CN BC'!$H$10:$H$274,0)),"")</f>
        <v>22</v>
      </c>
      <c r="Z157" s="1138">
        <f>VLOOKUP(B157,'[23]CN BC'!$H$10:$J$275,3,FALSE)</f>
        <v>19</v>
      </c>
      <c r="AA157" s="1139">
        <f t="shared" si="36"/>
        <v>21</v>
      </c>
      <c r="AB157" s="1139">
        <f t="shared" si="37"/>
        <v>22</v>
      </c>
      <c r="AC157" s="1139">
        <f t="shared" si="38"/>
        <v>19</v>
      </c>
      <c r="AD157" s="1140"/>
      <c r="AE157" s="1141">
        <f t="shared" si="39"/>
        <v>16734663</v>
      </c>
      <c r="AF157" s="1519">
        <f t="shared" si="28"/>
        <v>7.1515653846153846</v>
      </c>
      <c r="AG157" s="1224">
        <v>2340000</v>
      </c>
      <c r="AH157" s="1521">
        <f t="shared" si="29"/>
        <v>16734663</v>
      </c>
      <c r="AI157" s="1142">
        <f t="shared" ref="AI157:AI220" si="40">A157</f>
        <v>140</v>
      </c>
      <c r="AJ157" s="1143">
        <f>IFERROR(INDEX('[17]CN BC'!$M$10:$M$276,MATCH(B157,'[17]CN BC'!$H$10:$H$276,0)),"")</f>
        <v>0</v>
      </c>
      <c r="AK157" s="1144" t="str">
        <f>VLOOKUP(B157,TH.T4!B159:AC489,28,FALSE)</f>
        <v>LLCT</v>
      </c>
      <c r="AL157" s="1130"/>
      <c r="AM157" s="1146"/>
      <c r="AN157" s="1158"/>
    </row>
    <row r="158" spans="1:50" s="1146" customFormat="1" ht="28.5" customHeight="1">
      <c r="A158" s="1132">
        <f>_xlfn.AGGREGATE(4,7,A$17:A157)+1</f>
        <v>141</v>
      </c>
      <c r="B158" s="1215" t="s">
        <v>843</v>
      </c>
      <c r="C158" s="1216" t="s">
        <v>1726</v>
      </c>
      <c r="D158" s="1347" t="s">
        <v>1316</v>
      </c>
      <c r="E158" s="579" t="str">
        <f>VLOOKUP(B158,TH.T6!B70:J400,9,FALSE)</f>
        <v>Phó Trưởng khoa LLCT</v>
      </c>
      <c r="F158" s="1358">
        <v>3.99</v>
      </c>
      <c r="G158" s="1218"/>
      <c r="H158" s="1394">
        <f t="shared" si="30"/>
        <v>0</v>
      </c>
      <c r="I158" s="1219">
        <v>0.45</v>
      </c>
      <c r="J158" s="1358">
        <v>3.99</v>
      </c>
      <c r="K158" s="1218"/>
      <c r="L158" s="1394">
        <f t="shared" si="31"/>
        <v>0</v>
      </c>
      <c r="M158" s="1219">
        <v>0.45</v>
      </c>
      <c r="N158" s="1358">
        <v>4.32</v>
      </c>
      <c r="O158" s="1218"/>
      <c r="P158" s="1395">
        <f t="shared" si="32"/>
        <v>0</v>
      </c>
      <c r="Q158" s="1219">
        <v>0.45</v>
      </c>
      <c r="R158" s="1219" t="str">
        <f>IFERROR(INDEX('[18]Gui chi Quynh'!$E$11:$E$397,MATCH(B158,'[18]Gui chi Quynh'!$B$11:$B$397,0)),"")</f>
        <v>A2</v>
      </c>
      <c r="S158" s="1219">
        <f t="shared" si="33"/>
        <v>0.7</v>
      </c>
      <c r="T158" s="1219" t="str">
        <f>VLOOKUP(B158,'[19]Gui chi Quynh'!$B$11:$E$397,4,FALSE)</f>
        <v>A2</v>
      </c>
      <c r="U158" s="1219">
        <f t="shared" si="34"/>
        <v>0.7</v>
      </c>
      <c r="V158" s="1219" t="str">
        <f>VLOOKUP(B158,'[20]Gui chi Quynh'!$B$11:$E$396,4,FALSE)</f>
        <v>A2</v>
      </c>
      <c r="W158" s="1219">
        <f t="shared" si="35"/>
        <v>0.7</v>
      </c>
      <c r="X158" s="1219">
        <f>IFERROR(INDEX('[21]CN BC'!$J$10:$J$275,MATCH(B158,'[21]CN BC'!$H$10:$H$275,0)),"")</f>
        <v>23</v>
      </c>
      <c r="Y158" s="1219">
        <f>IFERROR(INDEX('[22]CN BC'!$J$10:$J$274,MATCH(B158,'[22]CN BC'!$H$10:$H$274,0)),"")</f>
        <v>22</v>
      </c>
      <c r="Z158" s="1219">
        <f>VLOOKUP(B158,'[23]CN BC'!$H$10:$J$275,3,FALSE)</f>
        <v>19</v>
      </c>
      <c r="AA158" s="1348">
        <f t="shared" si="36"/>
        <v>23</v>
      </c>
      <c r="AB158" s="1348">
        <f t="shared" si="37"/>
        <v>22</v>
      </c>
      <c r="AC158" s="1348">
        <f t="shared" si="38"/>
        <v>19</v>
      </c>
      <c r="AD158" s="1220"/>
      <c r="AE158" s="1349">
        <f t="shared" si="39"/>
        <v>22358700</v>
      </c>
      <c r="AF158" s="1548">
        <f t="shared" si="28"/>
        <v>9.5549999999999997</v>
      </c>
      <c r="AG158" s="1359">
        <v>2340000</v>
      </c>
      <c r="AH158" s="1549">
        <f t="shared" si="29"/>
        <v>22358700</v>
      </c>
      <c r="AI158" s="1221">
        <f t="shared" si="40"/>
        <v>141</v>
      </c>
      <c r="AJ158" s="1350" t="s">
        <v>2363</v>
      </c>
      <c r="AK158" s="1144" t="str">
        <f>VLOOKUP(B158,TH.T4!B160:AC490,28,FALSE)</f>
        <v>LLCT</v>
      </c>
      <c r="AL158" s="1130"/>
      <c r="AN158" s="1147"/>
    </row>
    <row r="159" spans="1:50" s="1148" customFormat="1" ht="28.5" customHeight="1">
      <c r="A159" s="1132">
        <f>_xlfn.AGGREGATE(4,7,A$17:A158)+1</f>
        <v>142</v>
      </c>
      <c r="B159" s="1215" t="s">
        <v>846</v>
      </c>
      <c r="C159" s="1216" t="s">
        <v>1727</v>
      </c>
      <c r="D159" s="1347" t="s">
        <v>1317</v>
      </c>
      <c r="E159" s="579" t="str">
        <f>VLOOKUP(B159,TH.T6!B71:J401,9,FALSE)</f>
        <v>Trưởng BM khoa LLCT</v>
      </c>
      <c r="F159" s="1358">
        <v>3.99</v>
      </c>
      <c r="G159" s="1218"/>
      <c r="H159" s="1394">
        <f t="shared" si="30"/>
        <v>0</v>
      </c>
      <c r="I159" s="1219">
        <v>0.25</v>
      </c>
      <c r="J159" s="1358">
        <v>3.99</v>
      </c>
      <c r="K159" s="1218"/>
      <c r="L159" s="1394">
        <f t="shared" si="31"/>
        <v>0</v>
      </c>
      <c r="M159" s="1219">
        <v>0.25</v>
      </c>
      <c r="N159" s="1358">
        <v>4.32</v>
      </c>
      <c r="O159" s="1218"/>
      <c r="P159" s="1395">
        <f t="shared" si="32"/>
        <v>0</v>
      </c>
      <c r="Q159" s="1219">
        <v>0.25</v>
      </c>
      <c r="R159" s="1219" t="str">
        <f>IFERROR(INDEX('[18]Gui chi Quynh'!$E$11:$E$397,MATCH(B159,'[18]Gui chi Quynh'!$B$11:$B$397,0)),"")</f>
        <v>A3</v>
      </c>
      <c r="S159" s="1219">
        <f t="shared" si="33"/>
        <v>0.6</v>
      </c>
      <c r="T159" s="1219" t="str">
        <f>VLOOKUP(B159,'[19]Gui chi Quynh'!$B$11:$E$397,4,FALSE)</f>
        <v>A DN</v>
      </c>
      <c r="U159" s="1219">
        <f t="shared" si="34"/>
        <v>0</v>
      </c>
      <c r="V159" s="1219" t="str">
        <f>VLOOKUP(B159,'[20]Gui chi Quynh'!$B$11:$E$396,4,FALSE)</f>
        <v>A3</v>
      </c>
      <c r="W159" s="1219">
        <f t="shared" si="35"/>
        <v>0.6</v>
      </c>
      <c r="X159" s="1219">
        <f>IFERROR(INDEX('[21]CN BC'!$J$10:$J$275,MATCH(B159,'[21]CN BC'!$H$10:$H$275,0)),"")</f>
        <v>23</v>
      </c>
      <c r="Y159" s="1219">
        <f>IFERROR(INDEX('[22]CN BC'!$J$10:$J$274,MATCH(B159,'[22]CN BC'!$H$10:$H$274,0)),"")</f>
        <v>0</v>
      </c>
      <c r="Z159" s="1219">
        <f>VLOOKUP(B159,'[23]CN BC'!$H$10:$J$275,3,FALSE)</f>
        <v>19</v>
      </c>
      <c r="AA159" s="1348">
        <f t="shared" si="36"/>
        <v>23</v>
      </c>
      <c r="AB159" s="1348">
        <f t="shared" si="37"/>
        <v>0</v>
      </c>
      <c r="AC159" s="1348">
        <f t="shared" si="38"/>
        <v>19</v>
      </c>
      <c r="AD159" s="1220"/>
      <c r="AE159" s="1349">
        <f t="shared" si="39"/>
        <v>12369240</v>
      </c>
      <c r="AF159" s="1548">
        <f t="shared" si="28"/>
        <v>5.2859999999999996</v>
      </c>
      <c r="AG159" s="1359">
        <v>2340000</v>
      </c>
      <c r="AH159" s="1549">
        <f t="shared" si="29"/>
        <v>12369239.999999998</v>
      </c>
      <c r="AI159" s="1221">
        <f t="shared" si="40"/>
        <v>142</v>
      </c>
      <c r="AJ159" s="1350" t="s">
        <v>2363</v>
      </c>
      <c r="AK159" s="1144" t="str">
        <f>VLOOKUP(B159,TH.T4!B161:AC491,28,FALSE)</f>
        <v>LLCT</v>
      </c>
      <c r="AL159" s="1130"/>
      <c r="AM159" s="1146"/>
      <c r="AN159" s="1147"/>
      <c r="AO159" s="1146"/>
      <c r="AP159" s="1146"/>
      <c r="AQ159" s="1146"/>
      <c r="AR159" s="1146"/>
      <c r="AS159" s="1146"/>
      <c r="AT159" s="1146"/>
      <c r="AU159" s="1146"/>
      <c r="AV159" s="1146"/>
      <c r="AW159" s="1146"/>
      <c r="AX159" s="1146"/>
    </row>
    <row r="160" spans="1:50" s="1148" customFormat="1" ht="33" customHeight="1">
      <c r="A160" s="1132">
        <f>_xlfn.AGGREGATE(4,7,A$17:A159)+1</f>
        <v>143</v>
      </c>
      <c r="B160" s="1133" t="s">
        <v>1500</v>
      </c>
      <c r="C160" s="1153" t="s">
        <v>1728</v>
      </c>
      <c r="D160" s="1154" t="s">
        <v>377</v>
      </c>
      <c r="E160" s="1058" t="str">
        <f>VLOOKUP(B160,TH.T6!B72:J402,9,FALSE)</f>
        <v>Giảng viên khoa LLCT</v>
      </c>
      <c r="F160" s="1160">
        <v>3.99</v>
      </c>
      <c r="G160" s="1137"/>
      <c r="H160" s="1392">
        <f t="shared" si="30"/>
        <v>0</v>
      </c>
      <c r="I160" s="1138"/>
      <c r="J160" s="1160">
        <v>3.99</v>
      </c>
      <c r="K160" s="1137"/>
      <c r="L160" s="1392">
        <f t="shared" si="31"/>
        <v>0</v>
      </c>
      <c r="M160" s="1138"/>
      <c r="N160" s="1160">
        <v>3.99</v>
      </c>
      <c r="O160" s="1137"/>
      <c r="P160" s="1393">
        <f t="shared" si="32"/>
        <v>0</v>
      </c>
      <c r="Q160" s="1138"/>
      <c r="R160" s="1138" t="str">
        <f>IFERROR(INDEX('[18]Gui chi Quynh'!$E$11:$E$397,MATCH(B160,'[18]Gui chi Quynh'!$B$11:$B$397,0)),"")</f>
        <v>A3</v>
      </c>
      <c r="S160" s="1138">
        <f t="shared" si="33"/>
        <v>0.6</v>
      </c>
      <c r="T160" s="1138" t="str">
        <f>VLOOKUP(B160,'[19]Gui chi Quynh'!$B$11:$E$397,4,FALSE)</f>
        <v>A DN</v>
      </c>
      <c r="U160" s="1138">
        <f t="shared" si="34"/>
        <v>0</v>
      </c>
      <c r="V160" s="1138" t="str">
        <f>VLOOKUP(B160,'[20]Gui chi Quynh'!$B$11:$E$396,4,FALSE)</f>
        <v>A3</v>
      </c>
      <c r="W160" s="1138">
        <f t="shared" si="35"/>
        <v>0.6</v>
      </c>
      <c r="X160" s="1138">
        <f>IFERROR(INDEX('[21]CN BC'!$J$10:$J$275,MATCH(B160,'[21]CN BC'!$H$10:$H$275,0)),"")</f>
        <v>23</v>
      </c>
      <c r="Y160" s="1138">
        <f>IFERROR(INDEX('[22]CN BC'!$J$10:$J$274,MATCH(B160,'[22]CN BC'!$H$10:$H$274,0)),"")</f>
        <v>0</v>
      </c>
      <c r="Z160" s="1138">
        <f>VLOOKUP(B160,'[23]CN BC'!$H$10:$J$275,3,FALSE)</f>
        <v>19</v>
      </c>
      <c r="AA160" s="1139">
        <f t="shared" si="36"/>
        <v>23</v>
      </c>
      <c r="AB160" s="1139">
        <f t="shared" si="37"/>
        <v>0</v>
      </c>
      <c r="AC160" s="1139">
        <f t="shared" si="38"/>
        <v>19</v>
      </c>
      <c r="AD160" s="1140"/>
      <c r="AE160" s="1141">
        <f t="shared" si="39"/>
        <v>11203920</v>
      </c>
      <c r="AF160" s="1519">
        <f t="shared" si="28"/>
        <v>4.7880000000000003</v>
      </c>
      <c r="AG160" s="1224">
        <v>2340000</v>
      </c>
      <c r="AH160" s="1521">
        <f t="shared" si="29"/>
        <v>11203920</v>
      </c>
      <c r="AI160" s="1142">
        <f t="shared" si="40"/>
        <v>143</v>
      </c>
      <c r="AJ160" s="1143">
        <f>IFERROR(INDEX('[17]CN BC'!$M$10:$M$276,MATCH(B160,'[17]CN BC'!$H$10:$H$276,0)),"")</f>
        <v>0</v>
      </c>
      <c r="AK160" s="1144" t="str">
        <f>VLOOKUP(B160,TH.T4!B162:AC492,28,FALSE)</f>
        <v>LLCT</v>
      </c>
      <c r="AL160" s="1171"/>
      <c r="AN160" s="1158"/>
    </row>
    <row r="161" spans="1:46" s="1148" customFormat="1" ht="30.75" customHeight="1">
      <c r="A161" s="1132">
        <f>_xlfn.AGGREGATE(4,7,A$17:A160)+1</f>
        <v>144</v>
      </c>
      <c r="B161" s="1133" t="s">
        <v>1877</v>
      </c>
      <c r="C161" s="1153" t="s">
        <v>1729</v>
      </c>
      <c r="D161" s="1154" t="s">
        <v>1320</v>
      </c>
      <c r="E161" s="1058" t="str">
        <f>VLOOKUP(B161,TH.T6!B73:J403,9,FALSE)</f>
        <v>Giảng viên khoa LLCT</v>
      </c>
      <c r="F161" s="1136">
        <v>4.6500000000000004</v>
      </c>
      <c r="G161" s="1137"/>
      <c r="H161" s="1392">
        <f t="shared" si="30"/>
        <v>0</v>
      </c>
      <c r="I161" s="1138"/>
      <c r="J161" s="1136">
        <v>4.6500000000000004</v>
      </c>
      <c r="K161" s="1137"/>
      <c r="L161" s="1392">
        <f t="shared" si="31"/>
        <v>0</v>
      </c>
      <c r="M161" s="1138"/>
      <c r="N161" s="1136">
        <v>4.6500000000000004</v>
      </c>
      <c r="O161" s="1137"/>
      <c r="P161" s="1393">
        <f t="shared" si="32"/>
        <v>0</v>
      </c>
      <c r="Q161" s="1138"/>
      <c r="R161" s="1138" t="str">
        <f>IFERROR(INDEX('[18]Gui chi Quynh'!$E$11:$E$397,MATCH(B161,'[18]Gui chi Quynh'!$B$11:$B$397,0)),"")</f>
        <v>A3</v>
      </c>
      <c r="S161" s="1138">
        <f t="shared" si="33"/>
        <v>0.6</v>
      </c>
      <c r="T161" s="1138" t="str">
        <f>VLOOKUP(B161,'[19]Gui chi Quynh'!$B$11:$E$397,4,FALSE)</f>
        <v>A DN</v>
      </c>
      <c r="U161" s="1138">
        <f t="shared" si="34"/>
        <v>0</v>
      </c>
      <c r="V161" s="1138" t="str">
        <f>VLOOKUP(B161,'[20]Gui chi Quynh'!$B$11:$E$396,4,FALSE)</f>
        <v>A3</v>
      </c>
      <c r="W161" s="1138">
        <f t="shared" si="35"/>
        <v>0.6</v>
      </c>
      <c r="X161" s="1138">
        <f>IFERROR(INDEX('[21]CN BC'!$J$10:$J$275,MATCH(B161,'[21]CN BC'!$H$10:$H$275,0)),"")</f>
        <v>23</v>
      </c>
      <c r="Y161" s="1138">
        <f>IFERROR(INDEX('[22]CN BC'!$J$10:$J$274,MATCH(B161,'[22]CN BC'!$H$10:$H$274,0)),"")</f>
        <v>0</v>
      </c>
      <c r="Z161" s="1138">
        <f>VLOOKUP(B161,'[23]CN BC'!$H$10:$J$275,3,FALSE)</f>
        <v>19</v>
      </c>
      <c r="AA161" s="1139">
        <f t="shared" si="36"/>
        <v>23</v>
      </c>
      <c r="AB161" s="1139">
        <f t="shared" si="37"/>
        <v>0</v>
      </c>
      <c r="AC161" s="1139">
        <f t="shared" si="38"/>
        <v>19</v>
      </c>
      <c r="AD161" s="1140"/>
      <c r="AE161" s="1141">
        <f t="shared" si="39"/>
        <v>13057200</v>
      </c>
      <c r="AF161" s="1519">
        <f t="shared" si="28"/>
        <v>5.58</v>
      </c>
      <c r="AG161" s="1224">
        <v>2340000</v>
      </c>
      <c r="AH161" s="1521">
        <f t="shared" si="29"/>
        <v>13057200</v>
      </c>
      <c r="AI161" s="1142">
        <f t="shared" si="40"/>
        <v>144</v>
      </c>
      <c r="AJ161" s="1143">
        <f>IFERROR(INDEX('[17]CN BC'!$M$10:$M$276,MATCH(B161,'[17]CN BC'!$H$10:$H$276,0)),"")</f>
        <v>0</v>
      </c>
      <c r="AK161" s="1144" t="str">
        <f>VLOOKUP(B161,TH.T4!B163:AC493,28,FALSE)</f>
        <v>LLCT</v>
      </c>
      <c r="AL161" s="1171"/>
      <c r="AN161" s="1158"/>
    </row>
    <row r="162" spans="1:46" s="1148" customFormat="1" ht="28.5" customHeight="1">
      <c r="A162" s="1132">
        <f>_xlfn.AGGREGATE(4,7,A$17:A161)+1</f>
        <v>145</v>
      </c>
      <c r="B162" s="1215" t="s">
        <v>1501</v>
      </c>
      <c r="C162" s="1216" t="s">
        <v>1730</v>
      </c>
      <c r="D162" s="1355" t="s">
        <v>314</v>
      </c>
      <c r="E162" s="579" t="str">
        <f>VLOOKUP(B162,TH.T6!B74:J404,9,FALSE)</f>
        <v>Giảng viên khoa LLCT</v>
      </c>
      <c r="F162" s="1358">
        <v>3.66</v>
      </c>
      <c r="G162" s="1218"/>
      <c r="H162" s="1394">
        <f t="shared" si="30"/>
        <v>0</v>
      </c>
      <c r="I162" s="1219"/>
      <c r="J162" s="1358">
        <v>3.66</v>
      </c>
      <c r="K162" s="1218"/>
      <c r="L162" s="1394">
        <f t="shared" si="31"/>
        <v>0</v>
      </c>
      <c r="M162" s="1219"/>
      <c r="N162" s="1358">
        <v>3.99</v>
      </c>
      <c r="O162" s="1218"/>
      <c r="P162" s="1395">
        <f t="shared" si="32"/>
        <v>0</v>
      </c>
      <c r="Q162" s="1219"/>
      <c r="R162" s="1219" t="str">
        <f>IFERROR(INDEX('[18]Gui chi Quynh'!$E$11:$E$397,MATCH(B162,'[18]Gui chi Quynh'!$B$11:$B$397,0)),"")</f>
        <v>A4</v>
      </c>
      <c r="S162" s="1219">
        <f t="shared" si="33"/>
        <v>0.5</v>
      </c>
      <c r="T162" s="1219" t="str">
        <f>VLOOKUP(B162,'[19]Gui chi Quynh'!$B$11:$E$397,4,FALSE)</f>
        <v>A DN</v>
      </c>
      <c r="U162" s="1219">
        <f t="shared" si="34"/>
        <v>0</v>
      </c>
      <c r="V162" s="1219" t="str">
        <f>VLOOKUP(B162,'[20]Gui chi Quynh'!$B$11:$E$396,4,FALSE)</f>
        <v>A3</v>
      </c>
      <c r="W162" s="1219">
        <f t="shared" si="35"/>
        <v>0.6</v>
      </c>
      <c r="X162" s="1219">
        <f>IFERROR(INDEX('[21]CN BC'!$J$10:$J$275,MATCH(B162,'[21]CN BC'!$H$10:$H$275,0)),"")</f>
        <v>23</v>
      </c>
      <c r="Y162" s="1219">
        <f>IFERROR(INDEX('[22]CN BC'!$J$10:$J$274,MATCH(B162,'[22]CN BC'!$H$10:$H$274,0)),"")</f>
        <v>0</v>
      </c>
      <c r="Z162" s="1219">
        <f>VLOOKUP(B162,'[23]CN BC'!$H$10:$J$275,3,FALSE)</f>
        <v>19</v>
      </c>
      <c r="AA162" s="1348">
        <f t="shared" si="36"/>
        <v>23</v>
      </c>
      <c r="AB162" s="1348">
        <f t="shared" si="37"/>
        <v>0</v>
      </c>
      <c r="AC162" s="1348">
        <f t="shared" si="38"/>
        <v>19</v>
      </c>
      <c r="AD162" s="1220"/>
      <c r="AE162" s="1349">
        <f t="shared" si="39"/>
        <v>9884160</v>
      </c>
      <c r="AF162" s="1548">
        <f t="shared" si="28"/>
        <v>4.2240000000000002</v>
      </c>
      <c r="AG162" s="1359">
        <v>2340000</v>
      </c>
      <c r="AH162" s="1549">
        <f t="shared" si="29"/>
        <v>9884160</v>
      </c>
      <c r="AI162" s="1221">
        <f t="shared" si="40"/>
        <v>145</v>
      </c>
      <c r="AJ162" s="1350" t="s">
        <v>2363</v>
      </c>
      <c r="AK162" s="1144" t="str">
        <f>VLOOKUP(B162,TH.T4!B164:AC494,28,FALSE)</f>
        <v>LLCT</v>
      </c>
      <c r="AL162" s="1130"/>
      <c r="AM162" s="1146"/>
      <c r="AN162" s="1147"/>
      <c r="AO162" s="1146"/>
      <c r="AP162" s="1146"/>
      <c r="AQ162" s="1146"/>
      <c r="AR162" s="1146"/>
      <c r="AS162" s="1146"/>
      <c r="AT162" s="1146"/>
    </row>
    <row r="163" spans="1:46" s="1148" customFormat="1" ht="28.5" customHeight="1">
      <c r="A163" s="1132">
        <f>_xlfn.AGGREGATE(4,7,A$17:A162)+1</f>
        <v>146</v>
      </c>
      <c r="B163" s="1215" t="s">
        <v>1878</v>
      </c>
      <c r="C163" s="1216" t="s">
        <v>1731</v>
      </c>
      <c r="D163" s="1347" t="s">
        <v>1314</v>
      </c>
      <c r="E163" s="579" t="str">
        <f>VLOOKUP(B163,TH.T6!B75:J405,9,FALSE)</f>
        <v>Giảng viên khoa LLCT</v>
      </c>
      <c r="F163" s="1217">
        <v>4.32</v>
      </c>
      <c r="G163" s="1218"/>
      <c r="H163" s="1394">
        <f t="shared" si="30"/>
        <v>0</v>
      </c>
      <c r="I163" s="1219"/>
      <c r="J163" s="1217">
        <v>4.32</v>
      </c>
      <c r="K163" s="1218"/>
      <c r="L163" s="1394">
        <f t="shared" si="31"/>
        <v>0</v>
      </c>
      <c r="M163" s="1219"/>
      <c r="N163" s="1217">
        <v>4.6500000000000004</v>
      </c>
      <c r="O163" s="1218"/>
      <c r="P163" s="1395">
        <f t="shared" si="32"/>
        <v>0</v>
      </c>
      <c r="Q163" s="1219"/>
      <c r="R163" s="1219" t="str">
        <f>IFERROR(INDEX('[18]Gui chi Quynh'!$E$11:$E$397,MATCH(B163,'[18]Gui chi Quynh'!$B$11:$B$397,0)),"")</f>
        <v>A4</v>
      </c>
      <c r="S163" s="1219">
        <f t="shared" si="33"/>
        <v>0.5</v>
      </c>
      <c r="T163" s="1219" t="str">
        <f>VLOOKUP(B163,'[19]Gui chi Quynh'!$B$11:$E$397,4,FALSE)</f>
        <v>A DN</v>
      </c>
      <c r="U163" s="1219">
        <f t="shared" si="34"/>
        <v>0</v>
      </c>
      <c r="V163" s="1219" t="str">
        <f>VLOOKUP(B163,'[20]Gui chi Quynh'!$B$11:$E$396,4,FALSE)</f>
        <v>A4</v>
      </c>
      <c r="W163" s="1219">
        <f t="shared" si="35"/>
        <v>0.5</v>
      </c>
      <c r="X163" s="1219">
        <f>IFERROR(INDEX('[21]CN BC'!$J$10:$J$275,MATCH(B163,'[21]CN BC'!$H$10:$H$275,0)),"")</f>
        <v>23</v>
      </c>
      <c r="Y163" s="1219">
        <f>IFERROR(INDEX('[22]CN BC'!$J$10:$J$274,MATCH(B163,'[22]CN BC'!$H$10:$H$274,0)),"")</f>
        <v>0</v>
      </c>
      <c r="Z163" s="1219">
        <f>VLOOKUP(B163,'[23]CN BC'!$H$10:$J$275,3,FALSE)</f>
        <v>19</v>
      </c>
      <c r="AA163" s="1348">
        <f t="shared" si="36"/>
        <v>23</v>
      </c>
      <c r="AB163" s="1348">
        <f t="shared" si="37"/>
        <v>0</v>
      </c>
      <c r="AC163" s="1348">
        <f t="shared" si="38"/>
        <v>19</v>
      </c>
      <c r="AD163" s="1220"/>
      <c r="AE163" s="1349">
        <f t="shared" si="39"/>
        <v>10494900</v>
      </c>
      <c r="AF163" s="1548">
        <f t="shared" si="28"/>
        <v>4.4850000000000003</v>
      </c>
      <c r="AG163" s="1359">
        <v>2340000</v>
      </c>
      <c r="AH163" s="1549">
        <f t="shared" si="29"/>
        <v>10494900</v>
      </c>
      <c r="AI163" s="1221">
        <f t="shared" si="40"/>
        <v>146</v>
      </c>
      <c r="AJ163" s="1350" t="s">
        <v>2363</v>
      </c>
      <c r="AK163" s="1144" t="str">
        <f>VLOOKUP(B163,TH.T4!B165:AC495,28,FALSE)</f>
        <v>LLCT</v>
      </c>
      <c r="AL163" s="1130"/>
      <c r="AM163" s="1146"/>
      <c r="AN163" s="1147"/>
      <c r="AO163" s="1146"/>
      <c r="AP163" s="1146"/>
      <c r="AQ163" s="1146"/>
      <c r="AR163" s="1146"/>
      <c r="AS163" s="1146"/>
      <c r="AT163" s="1146"/>
    </row>
    <row r="164" spans="1:46" s="1148" customFormat="1" ht="28.5" customHeight="1">
      <c r="A164" s="1132">
        <f>_xlfn.AGGREGATE(4,7,A$17:A163)+1</f>
        <v>147</v>
      </c>
      <c r="B164" s="1133" t="s">
        <v>1879</v>
      </c>
      <c r="C164" s="1153" t="s">
        <v>1732</v>
      </c>
      <c r="D164" s="1154" t="s">
        <v>1315</v>
      </c>
      <c r="E164" s="1058" t="str">
        <f>VLOOKUP(B164,TH.T6!B76:J406,9,FALSE)</f>
        <v>Giảng viên khoa LLCT</v>
      </c>
      <c r="F164" s="1160">
        <v>4.32</v>
      </c>
      <c r="G164" s="1137"/>
      <c r="H164" s="1392">
        <f t="shared" si="30"/>
        <v>0</v>
      </c>
      <c r="I164" s="1138"/>
      <c r="J164" s="1160">
        <v>4.32</v>
      </c>
      <c r="K164" s="1137"/>
      <c r="L164" s="1392">
        <f t="shared" si="31"/>
        <v>0</v>
      </c>
      <c r="M164" s="1138"/>
      <c r="N164" s="1160">
        <v>4.32</v>
      </c>
      <c r="O164" s="1137"/>
      <c r="P164" s="1393">
        <f t="shared" si="32"/>
        <v>0</v>
      </c>
      <c r="Q164" s="1138"/>
      <c r="R164" s="1138" t="str">
        <f>IFERROR(INDEX('[18]Gui chi Quynh'!$E$11:$E$397,MATCH(B164,'[18]Gui chi Quynh'!$B$11:$B$397,0)),"")</f>
        <v>A3</v>
      </c>
      <c r="S164" s="1138">
        <f t="shared" si="33"/>
        <v>0.6</v>
      </c>
      <c r="T164" s="1138" t="str">
        <f>VLOOKUP(B164,'[19]Gui chi Quynh'!$B$11:$E$397,4,FALSE)</f>
        <v>A DN</v>
      </c>
      <c r="U164" s="1138">
        <f t="shared" si="34"/>
        <v>0</v>
      </c>
      <c r="V164" s="1138" t="str">
        <f>VLOOKUP(B164,'[20]Gui chi Quynh'!$B$11:$E$396,4,FALSE)</f>
        <v>A1</v>
      </c>
      <c r="W164" s="1138">
        <f t="shared" si="35"/>
        <v>0.8</v>
      </c>
      <c r="X164" s="1138">
        <f>IFERROR(INDEX('[21]CN BC'!$J$10:$J$275,MATCH(B164,'[21]CN BC'!$H$10:$H$275,0)),"")</f>
        <v>21</v>
      </c>
      <c r="Y164" s="1138">
        <f>IFERROR(INDEX('[22]CN BC'!$J$10:$J$274,MATCH(B164,'[22]CN BC'!$H$10:$H$274,0)),"")</f>
        <v>0</v>
      </c>
      <c r="Z164" s="1138">
        <f>VLOOKUP(B164,'[23]CN BC'!$H$10:$J$275,3,FALSE)</f>
        <v>19</v>
      </c>
      <c r="AA164" s="1139">
        <f t="shared" si="36"/>
        <v>21</v>
      </c>
      <c r="AB164" s="1139">
        <f t="shared" si="37"/>
        <v>0</v>
      </c>
      <c r="AC164" s="1139">
        <f t="shared" si="38"/>
        <v>19</v>
      </c>
      <c r="AD164" s="1140"/>
      <c r="AE164" s="1141">
        <f t="shared" si="39"/>
        <v>13624904</v>
      </c>
      <c r="AF164" s="1519">
        <f t="shared" si="28"/>
        <v>5.8226085470085467</v>
      </c>
      <c r="AG164" s="1224">
        <v>2340000</v>
      </c>
      <c r="AH164" s="1521">
        <f t="shared" si="29"/>
        <v>13624904</v>
      </c>
      <c r="AI164" s="1142">
        <f t="shared" si="40"/>
        <v>147</v>
      </c>
      <c r="AJ164" s="1143">
        <f>IFERROR(INDEX('[17]CN BC'!$M$10:$M$276,MATCH(B164,'[17]CN BC'!$H$10:$H$276,0)),"")</f>
        <v>0</v>
      </c>
      <c r="AK164" s="1144" t="str">
        <f>VLOOKUP(B164,TH.T4!B166:AC496,28,FALSE)</f>
        <v>LLCT</v>
      </c>
      <c r="AL164" s="1130"/>
      <c r="AM164" s="1146"/>
      <c r="AN164" s="1147"/>
      <c r="AO164" s="1146"/>
      <c r="AP164" s="1146"/>
      <c r="AQ164" s="1146"/>
      <c r="AR164" s="1146"/>
      <c r="AS164" s="1146"/>
      <c r="AT164" s="1146"/>
    </row>
    <row r="165" spans="1:46" s="1148" customFormat="1" ht="28.5" customHeight="1">
      <c r="A165" s="1132">
        <f>_xlfn.AGGREGATE(4,7,A$17:A164)+1</f>
        <v>148</v>
      </c>
      <c r="B165" s="1215" t="s">
        <v>1502</v>
      </c>
      <c r="C165" s="1216" t="s">
        <v>1733</v>
      </c>
      <c r="D165" s="1347" t="s">
        <v>1318</v>
      </c>
      <c r="E165" s="579" t="s">
        <v>2375</v>
      </c>
      <c r="F165" s="1358">
        <v>3.66</v>
      </c>
      <c r="G165" s="1218"/>
      <c r="H165" s="1394">
        <f t="shared" si="30"/>
        <v>0</v>
      </c>
      <c r="I165" s="1219"/>
      <c r="J165" s="1358">
        <v>3.66</v>
      </c>
      <c r="K165" s="1218"/>
      <c r="L165" s="1394">
        <f t="shared" si="31"/>
        <v>0</v>
      </c>
      <c r="M165" s="1219"/>
      <c r="N165" s="1358">
        <v>3.99</v>
      </c>
      <c r="O165" s="1218"/>
      <c r="P165" s="1395">
        <f t="shared" si="32"/>
        <v>0</v>
      </c>
      <c r="Q165" s="1219"/>
      <c r="R165" s="1219" t="str">
        <f>IFERROR(INDEX('[18]Gui chi Quynh'!$E$11:$E$397,MATCH(B165,'[18]Gui chi Quynh'!$B$11:$B$397,0)),"")</f>
        <v>A3</v>
      </c>
      <c r="S165" s="1219">
        <f t="shared" si="33"/>
        <v>0.6</v>
      </c>
      <c r="T165" s="1219" t="str">
        <f>VLOOKUP(B165,'[19]Gui chi Quynh'!$B$11:$E$397,4,FALSE)</f>
        <v>A DN</v>
      </c>
      <c r="U165" s="1219">
        <f t="shared" si="34"/>
        <v>0</v>
      </c>
      <c r="V165" s="1219" t="str">
        <f>VLOOKUP(B165,'[20]Gui chi Quynh'!$B$11:$E$396,4,FALSE)</f>
        <v>A3</v>
      </c>
      <c r="W165" s="1219">
        <f t="shared" si="35"/>
        <v>0.6</v>
      </c>
      <c r="X165" s="1219">
        <f>IFERROR(INDEX('[21]CN BC'!$J$10:$J$275,MATCH(B165,'[21]CN BC'!$H$10:$H$275,0)),"")</f>
        <v>21</v>
      </c>
      <c r="Y165" s="1219">
        <f>IFERROR(INDEX('[22]CN BC'!$J$10:$J$274,MATCH(B165,'[22]CN BC'!$H$10:$H$274,0)),"")</f>
        <v>0</v>
      </c>
      <c r="Z165" s="1219">
        <f>VLOOKUP(B165,'[23]CN BC'!$H$10:$J$275,3,FALSE)</f>
        <v>19</v>
      </c>
      <c r="AA165" s="1348">
        <f t="shared" si="36"/>
        <v>21</v>
      </c>
      <c r="AB165" s="1348">
        <f t="shared" si="37"/>
        <v>0</v>
      </c>
      <c r="AC165" s="1348">
        <f t="shared" si="38"/>
        <v>19</v>
      </c>
      <c r="AD165" s="1220"/>
      <c r="AE165" s="1349">
        <f t="shared" si="39"/>
        <v>10293762</v>
      </c>
      <c r="AF165" s="1548">
        <f t="shared" si="28"/>
        <v>4.3990435897435898</v>
      </c>
      <c r="AG165" s="1359">
        <v>2340000</v>
      </c>
      <c r="AH165" s="1549">
        <f t="shared" si="29"/>
        <v>10293762</v>
      </c>
      <c r="AI165" s="1221">
        <f t="shared" si="40"/>
        <v>148</v>
      </c>
      <c r="AJ165" s="1350" t="s">
        <v>2363</v>
      </c>
      <c r="AK165" s="1144" t="str">
        <f>VLOOKUP(B165,TH.T4!B167:AC497,28,FALSE)</f>
        <v>LLCT</v>
      </c>
      <c r="AL165" s="1130"/>
      <c r="AM165" s="1146"/>
      <c r="AN165" s="1147"/>
      <c r="AO165" s="1146"/>
      <c r="AP165" s="1146"/>
      <c r="AQ165" s="1146"/>
      <c r="AR165" s="1146"/>
      <c r="AS165" s="1146"/>
      <c r="AT165" s="1146"/>
    </row>
    <row r="166" spans="1:46" s="1148" customFormat="1" ht="28.5" customHeight="1">
      <c r="A166" s="1132">
        <f>_xlfn.AGGREGATE(4,7,A$17:A165)+1</f>
        <v>149</v>
      </c>
      <c r="B166" s="1215" t="s">
        <v>1880</v>
      </c>
      <c r="C166" s="1216" t="s">
        <v>1734</v>
      </c>
      <c r="D166" s="1347" t="s">
        <v>375</v>
      </c>
      <c r="E166" s="579" t="str">
        <f>VLOOKUP(B166,TH.T6!B78:J408,9,FALSE)</f>
        <v>Giảng viên khoa LLCT</v>
      </c>
      <c r="F166" s="1358">
        <v>3.66</v>
      </c>
      <c r="G166" s="1218"/>
      <c r="H166" s="1394">
        <f t="shared" si="30"/>
        <v>0</v>
      </c>
      <c r="I166" s="1219"/>
      <c r="J166" s="1358">
        <v>3.66</v>
      </c>
      <c r="K166" s="1218"/>
      <c r="L166" s="1394">
        <f t="shared" si="31"/>
        <v>0</v>
      </c>
      <c r="M166" s="1219"/>
      <c r="N166" s="1358">
        <v>3.99</v>
      </c>
      <c r="O166" s="1218"/>
      <c r="P166" s="1395">
        <f t="shared" si="32"/>
        <v>0</v>
      </c>
      <c r="Q166" s="1219"/>
      <c r="R166" s="1219" t="str">
        <f>IFERROR(INDEX('[18]Gui chi Quynh'!$E$11:$E$397,MATCH(B166,'[18]Gui chi Quynh'!$B$11:$B$397,0)),"")</f>
        <v>A3</v>
      </c>
      <c r="S166" s="1219">
        <f t="shared" si="33"/>
        <v>0.6</v>
      </c>
      <c r="T166" s="1219" t="str">
        <f>VLOOKUP(B166,'[19]Gui chi Quynh'!$B$11:$E$397,4,FALSE)</f>
        <v>A DN</v>
      </c>
      <c r="U166" s="1219">
        <f t="shared" si="34"/>
        <v>0</v>
      </c>
      <c r="V166" s="1219" t="str">
        <f>VLOOKUP(B166,'[20]Gui chi Quynh'!$B$11:$E$396,4,FALSE)</f>
        <v>A3</v>
      </c>
      <c r="W166" s="1219">
        <f t="shared" si="35"/>
        <v>0.6</v>
      </c>
      <c r="X166" s="1219">
        <f>IFERROR(INDEX('[21]CN BC'!$J$10:$J$275,MATCH(B166,'[21]CN BC'!$H$10:$H$275,0)),"")</f>
        <v>23</v>
      </c>
      <c r="Y166" s="1219">
        <f>IFERROR(INDEX('[22]CN BC'!$J$10:$J$274,MATCH(B166,'[22]CN BC'!$H$10:$H$274,0)),"")</f>
        <v>0</v>
      </c>
      <c r="Z166" s="1219">
        <f>VLOOKUP(B166,'[23]CN BC'!$H$10:$J$275,3,FALSE)</f>
        <v>19</v>
      </c>
      <c r="AA166" s="1348">
        <f t="shared" si="36"/>
        <v>23</v>
      </c>
      <c r="AB166" s="1348">
        <f t="shared" si="37"/>
        <v>0</v>
      </c>
      <c r="AC166" s="1348">
        <f t="shared" si="38"/>
        <v>19</v>
      </c>
      <c r="AD166" s="1220"/>
      <c r="AE166" s="1349">
        <f t="shared" si="39"/>
        <v>10740600</v>
      </c>
      <c r="AF166" s="1548">
        <f t="shared" si="28"/>
        <v>4.59</v>
      </c>
      <c r="AG166" s="1359">
        <v>2340000</v>
      </c>
      <c r="AH166" s="1549">
        <f t="shared" si="29"/>
        <v>10740600</v>
      </c>
      <c r="AI166" s="1221">
        <f t="shared" si="40"/>
        <v>149</v>
      </c>
      <c r="AJ166" s="1350" t="s">
        <v>2363</v>
      </c>
      <c r="AK166" s="1189" t="str">
        <f>VLOOKUP(B166,TH.T4!B168:AC498,28,FALSE)</f>
        <v>LLCT</v>
      </c>
      <c r="AL166" s="1171"/>
      <c r="AN166" s="1158"/>
    </row>
    <row r="167" spans="1:46" s="1148" customFormat="1" ht="28.5" customHeight="1">
      <c r="A167" s="1132">
        <f>_xlfn.AGGREGATE(4,7,A$17:A166)+1</f>
        <v>150</v>
      </c>
      <c r="B167" s="1215" t="s">
        <v>1503</v>
      </c>
      <c r="C167" s="1216" t="s">
        <v>1735</v>
      </c>
      <c r="D167" s="1347" t="s">
        <v>376</v>
      </c>
      <c r="E167" s="579" t="str">
        <f>VLOOKUP(B167,TH.T6!B79:J409,9,FALSE)</f>
        <v>Giảng viên khoa LLCT</v>
      </c>
      <c r="F167" s="1358">
        <v>3.66</v>
      </c>
      <c r="G167" s="1218"/>
      <c r="H167" s="1394">
        <f t="shared" si="30"/>
        <v>0</v>
      </c>
      <c r="I167" s="1219"/>
      <c r="J167" s="1358">
        <v>3.66</v>
      </c>
      <c r="K167" s="1218"/>
      <c r="L167" s="1394">
        <f t="shared" si="31"/>
        <v>0</v>
      </c>
      <c r="M167" s="1219"/>
      <c r="N167" s="1358">
        <v>3.99</v>
      </c>
      <c r="O167" s="1218"/>
      <c r="P167" s="1395">
        <f t="shared" si="32"/>
        <v>0</v>
      </c>
      <c r="Q167" s="1219"/>
      <c r="R167" s="1219" t="str">
        <f>IFERROR(INDEX('[18]Gui chi Quynh'!$E$11:$E$397,MATCH(B167,'[18]Gui chi Quynh'!$B$11:$B$397,0)),"")</f>
        <v>A3</v>
      </c>
      <c r="S167" s="1219">
        <f t="shared" si="33"/>
        <v>0.6</v>
      </c>
      <c r="T167" s="1219" t="str">
        <f>VLOOKUP(B167,'[19]Gui chi Quynh'!$B$11:$E$397,4,FALSE)</f>
        <v>A DN</v>
      </c>
      <c r="U167" s="1219">
        <f t="shared" si="34"/>
        <v>0</v>
      </c>
      <c r="V167" s="1219" t="str">
        <f>VLOOKUP(B167,'[20]Gui chi Quynh'!$B$11:$E$396,4,FALSE)</f>
        <v>A1</v>
      </c>
      <c r="W167" s="1219">
        <f t="shared" si="35"/>
        <v>0.8</v>
      </c>
      <c r="X167" s="1219">
        <f>IFERROR(INDEX('[21]CN BC'!$J$10:$J$275,MATCH(B167,'[21]CN BC'!$H$10:$H$275,0)),"")</f>
        <v>23</v>
      </c>
      <c r="Y167" s="1219">
        <f>IFERROR(INDEX('[22]CN BC'!$J$10:$J$274,MATCH(B167,'[22]CN BC'!$H$10:$H$274,0)),"")</f>
        <v>0</v>
      </c>
      <c r="Z167" s="1219">
        <f>VLOOKUP(B167,'[23]CN BC'!$H$10:$J$275,3,FALSE)</f>
        <v>19</v>
      </c>
      <c r="AA167" s="1348">
        <f t="shared" si="36"/>
        <v>23</v>
      </c>
      <c r="AB167" s="1348">
        <f t="shared" si="37"/>
        <v>0</v>
      </c>
      <c r="AC167" s="1348">
        <f t="shared" si="38"/>
        <v>19</v>
      </c>
      <c r="AD167" s="1220"/>
      <c r="AE167" s="1349">
        <f t="shared" si="39"/>
        <v>12607920</v>
      </c>
      <c r="AF167" s="1548">
        <f t="shared" si="28"/>
        <v>5.3879999999999999</v>
      </c>
      <c r="AG167" s="1359">
        <v>2340000</v>
      </c>
      <c r="AH167" s="1549">
        <f t="shared" si="29"/>
        <v>12607920</v>
      </c>
      <c r="AI167" s="1221">
        <f t="shared" si="40"/>
        <v>150</v>
      </c>
      <c r="AJ167" s="1350" t="s">
        <v>2363</v>
      </c>
      <c r="AK167" s="1144" t="str">
        <f>VLOOKUP(B167,TH.T4!B169:AC499,28,FALSE)</f>
        <v>LLCT</v>
      </c>
      <c r="AL167" s="1130"/>
      <c r="AM167" s="1146"/>
      <c r="AN167" s="1147"/>
      <c r="AO167" s="1146"/>
      <c r="AP167" s="1146"/>
      <c r="AQ167" s="1146"/>
      <c r="AR167" s="1146"/>
      <c r="AS167" s="1146"/>
      <c r="AT167" s="1146"/>
    </row>
    <row r="168" spans="1:46" s="1148" customFormat="1" ht="26.25" customHeight="1">
      <c r="A168" s="1132">
        <f>_xlfn.AGGREGATE(4,7,A$17:A167)+1</f>
        <v>151</v>
      </c>
      <c r="B168" s="1133" t="s">
        <v>1504</v>
      </c>
      <c r="C168" s="1153" t="s">
        <v>1736</v>
      </c>
      <c r="D168" s="1153" t="s">
        <v>503</v>
      </c>
      <c r="E168" s="1058" t="str">
        <f>VLOOKUP(B168,TH.T6!B80:J410,9,FALSE)</f>
        <v>Giảng viên khoa LLCT</v>
      </c>
      <c r="F168" s="1160">
        <v>4.32</v>
      </c>
      <c r="G168" s="1137"/>
      <c r="H168" s="1392">
        <f t="shared" si="30"/>
        <v>0</v>
      </c>
      <c r="I168" s="1138"/>
      <c r="J168" s="1160">
        <v>4.32</v>
      </c>
      <c r="K168" s="1137"/>
      <c r="L168" s="1392">
        <f t="shared" si="31"/>
        <v>0</v>
      </c>
      <c r="M168" s="1138"/>
      <c r="N168" s="1160">
        <v>4.32</v>
      </c>
      <c r="O168" s="1137"/>
      <c r="P168" s="1393">
        <f t="shared" si="32"/>
        <v>0</v>
      </c>
      <c r="Q168" s="1138"/>
      <c r="R168" s="1138" t="str">
        <f>IFERROR(INDEX('[18]Gui chi Quynh'!$E$11:$E$397,MATCH(B168,'[18]Gui chi Quynh'!$B$11:$B$397,0)),"")</f>
        <v>A3</v>
      </c>
      <c r="S168" s="1138">
        <f t="shared" si="33"/>
        <v>0.6</v>
      </c>
      <c r="T168" s="1138" t="str">
        <f>VLOOKUP(B168,'[19]Gui chi Quynh'!$B$11:$E$397,4,FALSE)</f>
        <v>A DN</v>
      </c>
      <c r="U168" s="1138">
        <f t="shared" si="34"/>
        <v>0</v>
      </c>
      <c r="V168" s="1138" t="str">
        <f>VLOOKUP(B168,'[20]Gui chi Quynh'!$B$11:$E$396,4,FALSE)</f>
        <v>A3</v>
      </c>
      <c r="W168" s="1138">
        <f t="shared" si="35"/>
        <v>0.6</v>
      </c>
      <c r="X168" s="1138">
        <f>IFERROR(INDEX('[21]CN BC'!$J$10:$J$275,MATCH(B168,'[21]CN BC'!$H$10:$H$275,0)),"")</f>
        <v>21</v>
      </c>
      <c r="Y168" s="1138">
        <f>IFERROR(INDEX('[22]CN BC'!$J$10:$J$274,MATCH(B168,'[22]CN BC'!$H$10:$H$274,0)),"")</f>
        <v>0</v>
      </c>
      <c r="Z168" s="1138">
        <f>VLOOKUP(B168,'[23]CN BC'!$H$10:$J$275,3,FALSE)</f>
        <v>19</v>
      </c>
      <c r="AA168" s="1139">
        <f t="shared" si="36"/>
        <v>21</v>
      </c>
      <c r="AB168" s="1139">
        <f t="shared" si="37"/>
        <v>0</v>
      </c>
      <c r="AC168" s="1139">
        <f t="shared" si="38"/>
        <v>19</v>
      </c>
      <c r="AD168" s="1140"/>
      <c r="AE168" s="1141">
        <f t="shared" si="39"/>
        <v>11603144</v>
      </c>
      <c r="AF168" s="1519">
        <f t="shared" si="28"/>
        <v>4.9586085470085468</v>
      </c>
      <c r="AG168" s="1224">
        <v>2340000</v>
      </c>
      <c r="AH168" s="1521">
        <f t="shared" si="29"/>
        <v>11603144</v>
      </c>
      <c r="AI168" s="1142">
        <f t="shared" si="40"/>
        <v>151</v>
      </c>
      <c r="AJ168" s="1143">
        <f>IFERROR(INDEX('[17]CN BC'!$M$10:$M$276,MATCH(B168,'[17]CN BC'!$H$10:$H$276,0)),"")</f>
        <v>0</v>
      </c>
      <c r="AK168" s="1144" t="str">
        <f>VLOOKUP(B168,TH.T4!B170:AC500,28,FALSE)</f>
        <v>LLCT</v>
      </c>
      <c r="AL168" s="1130"/>
      <c r="AM168" s="1146"/>
      <c r="AN168" s="1147"/>
      <c r="AO168" s="1146"/>
      <c r="AP168" s="1146"/>
      <c r="AQ168" s="1146"/>
      <c r="AR168" s="1146"/>
      <c r="AS168" s="1146"/>
      <c r="AT168" s="1146"/>
    </row>
    <row r="169" spans="1:46" s="1148" customFormat="1" ht="27" customHeight="1">
      <c r="A169" s="1132">
        <f>_xlfn.AGGREGATE(4,7,A$17:A168)+1</f>
        <v>152</v>
      </c>
      <c r="B169" s="1215" t="s">
        <v>1505</v>
      </c>
      <c r="C169" s="1216" t="s">
        <v>1737</v>
      </c>
      <c r="D169" s="1355" t="s">
        <v>1592</v>
      </c>
      <c r="E169" s="579" t="str">
        <f>VLOOKUP(B169,TH.T6!B81:J411,9,FALSE)</f>
        <v>Giảng viên khoa LLCT</v>
      </c>
      <c r="F169" s="1358">
        <v>3.33</v>
      </c>
      <c r="G169" s="1218"/>
      <c r="H169" s="1394">
        <f t="shared" si="30"/>
        <v>0</v>
      </c>
      <c r="I169" s="1219"/>
      <c r="J169" s="1358">
        <v>3.33</v>
      </c>
      <c r="K169" s="1218"/>
      <c r="L169" s="1394">
        <f t="shared" si="31"/>
        <v>0</v>
      </c>
      <c r="M169" s="1219"/>
      <c r="N169" s="1358">
        <v>3.66</v>
      </c>
      <c r="O169" s="1218"/>
      <c r="P169" s="1395">
        <f t="shared" si="32"/>
        <v>0</v>
      </c>
      <c r="Q169" s="1219"/>
      <c r="R169" s="1219" t="str">
        <f>IFERROR(INDEX('[18]Gui chi Quynh'!$E$11:$E$397,MATCH(B169,'[18]Gui chi Quynh'!$B$11:$B$397,0)),"")</f>
        <v>A1</v>
      </c>
      <c r="S169" s="1219">
        <f t="shared" si="33"/>
        <v>0.8</v>
      </c>
      <c r="T169" s="1219" t="str">
        <f>VLOOKUP(B169,'[19]Gui chi Quynh'!$B$11:$E$397,4,FALSE)</f>
        <v>A DN</v>
      </c>
      <c r="U169" s="1219">
        <f t="shared" si="34"/>
        <v>0</v>
      </c>
      <c r="V169" s="1219" t="str">
        <f>VLOOKUP(B169,'[20]Gui chi Quynh'!$B$11:$E$396,4,FALSE)</f>
        <v>A1</v>
      </c>
      <c r="W169" s="1219">
        <f t="shared" si="35"/>
        <v>0.8</v>
      </c>
      <c r="X169" s="1219">
        <f>IFERROR(INDEX('[21]CN BC'!$J$10:$J$275,MATCH(B169,'[21]CN BC'!$H$10:$H$275,0)),"")</f>
        <v>21</v>
      </c>
      <c r="Y169" s="1219">
        <f>IFERROR(INDEX('[22]CN BC'!$J$10:$J$274,MATCH(B169,'[22]CN BC'!$H$10:$H$274,0)),"")</f>
        <v>0</v>
      </c>
      <c r="Z169" s="1219">
        <f>VLOOKUP(B169,'[23]CN BC'!$H$10:$J$275,3,FALSE)</f>
        <v>19</v>
      </c>
      <c r="AA169" s="1348">
        <f t="shared" si="36"/>
        <v>21</v>
      </c>
      <c r="AB169" s="1348">
        <f t="shared" si="37"/>
        <v>0</v>
      </c>
      <c r="AC169" s="1348">
        <f t="shared" si="38"/>
        <v>19</v>
      </c>
      <c r="AD169" s="1220"/>
      <c r="AE169" s="1349">
        <f t="shared" si="39"/>
        <v>12543214</v>
      </c>
      <c r="AF169" s="1548">
        <f t="shared" si="28"/>
        <v>5.3603478632478634</v>
      </c>
      <c r="AG169" s="1359">
        <v>2340000</v>
      </c>
      <c r="AH169" s="1549">
        <f t="shared" si="29"/>
        <v>12543214</v>
      </c>
      <c r="AI169" s="1221">
        <f t="shared" si="40"/>
        <v>152</v>
      </c>
      <c r="AJ169" s="1350" t="s">
        <v>2363</v>
      </c>
      <c r="AK169" s="1144" t="str">
        <f>VLOOKUP(B169,TH.T4!B171:AC501,28,FALSE)</f>
        <v>LLCT</v>
      </c>
      <c r="AL169" s="1130"/>
      <c r="AM169" s="1146"/>
      <c r="AN169" s="1147"/>
      <c r="AO169" s="1146"/>
      <c r="AP169" s="1146"/>
      <c r="AQ169" s="1146"/>
      <c r="AR169" s="1146"/>
      <c r="AS169" s="1146"/>
      <c r="AT169" s="1146"/>
    </row>
    <row r="170" spans="1:46" s="1148" customFormat="1" ht="28.15" customHeight="1">
      <c r="A170" s="1132">
        <f>_xlfn.AGGREGATE(4,7,A$17:A169)+1</f>
        <v>153</v>
      </c>
      <c r="B170" s="1133" t="s">
        <v>1881</v>
      </c>
      <c r="C170" s="1153" t="s">
        <v>1738</v>
      </c>
      <c r="D170" s="1154" t="s">
        <v>379</v>
      </c>
      <c r="E170" s="1058" t="str">
        <f>VLOOKUP(B170,TH.T6!B82:J412,9,FALSE)</f>
        <v>Giảng viên khoa LLCT</v>
      </c>
      <c r="F170" s="1160">
        <v>3.66</v>
      </c>
      <c r="G170" s="1137"/>
      <c r="H170" s="1392">
        <f t="shared" si="30"/>
        <v>0</v>
      </c>
      <c r="I170" s="1138"/>
      <c r="J170" s="1160">
        <v>3.66</v>
      </c>
      <c r="K170" s="1137"/>
      <c r="L170" s="1392">
        <f t="shared" si="31"/>
        <v>0</v>
      </c>
      <c r="M170" s="1138"/>
      <c r="N170" s="1160">
        <v>3.66</v>
      </c>
      <c r="O170" s="1137"/>
      <c r="P170" s="1393">
        <f t="shared" si="32"/>
        <v>0</v>
      </c>
      <c r="Q170" s="1138"/>
      <c r="R170" s="1138" t="str">
        <f>IFERROR(INDEX('[18]Gui chi Quynh'!$E$11:$E$397,MATCH(B170,'[18]Gui chi Quynh'!$B$11:$B$397,0)),"")</f>
        <v>A4</v>
      </c>
      <c r="S170" s="1138">
        <f t="shared" si="33"/>
        <v>0.5</v>
      </c>
      <c r="T170" s="1138" t="str">
        <f>VLOOKUP(B170,'[19]Gui chi Quynh'!$B$11:$E$397,4,FALSE)</f>
        <v>A DN</v>
      </c>
      <c r="U170" s="1138">
        <f t="shared" si="34"/>
        <v>0</v>
      </c>
      <c r="V170" s="1138" t="str">
        <f>VLOOKUP(B170,'[20]Gui chi Quynh'!$B$11:$E$396,4,FALSE)</f>
        <v>A3</v>
      </c>
      <c r="W170" s="1138">
        <f t="shared" si="35"/>
        <v>0.6</v>
      </c>
      <c r="X170" s="1138">
        <f>IFERROR(INDEX('[21]CN BC'!$J$10:$J$275,MATCH(B170,'[21]CN BC'!$H$10:$H$275,0)),"")</f>
        <v>21</v>
      </c>
      <c r="Y170" s="1138">
        <f>IFERROR(INDEX('[22]CN BC'!$J$10:$J$274,MATCH(B170,'[22]CN BC'!$H$10:$H$274,0)),"")</f>
        <v>0</v>
      </c>
      <c r="Z170" s="1138">
        <f>VLOOKUP(B170,'[23]CN BC'!$H$10:$J$275,3,FALSE)</f>
        <v>19</v>
      </c>
      <c r="AA170" s="1139">
        <f t="shared" si="36"/>
        <v>21</v>
      </c>
      <c r="AB170" s="1139">
        <f t="shared" si="37"/>
        <v>0</v>
      </c>
      <c r="AC170" s="1139">
        <f t="shared" si="38"/>
        <v>19</v>
      </c>
      <c r="AD170" s="1140"/>
      <c r="AE170" s="1141">
        <f t="shared" si="39"/>
        <v>9048475</v>
      </c>
      <c r="AF170" s="1519">
        <f t="shared" si="28"/>
        <v>3.8668696581196582</v>
      </c>
      <c r="AG170" s="1224">
        <v>2340000</v>
      </c>
      <c r="AH170" s="1521">
        <f t="shared" si="29"/>
        <v>9048475</v>
      </c>
      <c r="AI170" s="1142">
        <f t="shared" si="40"/>
        <v>153</v>
      </c>
      <c r="AJ170" s="1143">
        <f>IFERROR(INDEX('[17]CN BC'!$M$10:$M$276,MATCH(B170,'[17]CN BC'!$H$10:$H$276,0)),"")</f>
        <v>0</v>
      </c>
      <c r="AK170" s="1144" t="str">
        <f>VLOOKUP(B170,TH.T4!B172:AC502,28,FALSE)</f>
        <v>LLCT</v>
      </c>
      <c r="AL170" s="1130"/>
      <c r="AM170" s="1146"/>
      <c r="AN170" s="1147"/>
      <c r="AO170" s="1146"/>
      <c r="AP170" s="1146"/>
      <c r="AQ170" s="1146"/>
      <c r="AR170" s="1146"/>
      <c r="AS170" s="1146"/>
      <c r="AT170" s="1146"/>
    </row>
    <row r="171" spans="1:46" s="1148" customFormat="1" ht="27.75" customHeight="1">
      <c r="A171" s="1132">
        <f>_xlfn.AGGREGATE(4,7,A$17:A170)+1</f>
        <v>154</v>
      </c>
      <c r="B171" s="1223" t="s">
        <v>1506</v>
      </c>
      <c r="C171" s="1153" t="s">
        <v>1739</v>
      </c>
      <c r="D171" s="1150" t="s">
        <v>1427</v>
      </c>
      <c r="E171" s="1058" t="str">
        <f>VLOOKUP(B171,TH.T6!B83:J413,9,FALSE)</f>
        <v>Giảng viên khoa LLCT</v>
      </c>
      <c r="F171" s="1160">
        <v>3.33</v>
      </c>
      <c r="G171" s="1137"/>
      <c r="H171" s="1392">
        <f t="shared" si="30"/>
        <v>0</v>
      </c>
      <c r="I171" s="1138"/>
      <c r="J171" s="1160">
        <v>3.33</v>
      </c>
      <c r="K171" s="1137"/>
      <c r="L171" s="1392">
        <f t="shared" si="31"/>
        <v>0</v>
      </c>
      <c r="M171" s="1138"/>
      <c r="N171" s="1160">
        <v>3.33</v>
      </c>
      <c r="O171" s="1137"/>
      <c r="P171" s="1393">
        <f t="shared" si="32"/>
        <v>0</v>
      </c>
      <c r="Q171" s="1138"/>
      <c r="R171" s="1138" t="str">
        <f>IFERROR(INDEX('[18]Gui chi Quynh'!$E$11:$E$397,MATCH(B171,'[18]Gui chi Quynh'!$B$11:$B$397,0)),"")</f>
        <v>A3</v>
      </c>
      <c r="S171" s="1138">
        <f t="shared" si="33"/>
        <v>0.6</v>
      </c>
      <c r="T171" s="1138" t="str">
        <f>VLOOKUP(B171,'[19]Gui chi Quynh'!$B$11:$E$397,4,FALSE)</f>
        <v>A DN</v>
      </c>
      <c r="U171" s="1138">
        <f t="shared" si="34"/>
        <v>0</v>
      </c>
      <c r="V171" s="1138" t="str">
        <f>VLOOKUP(B171,'[20]Gui chi Quynh'!$B$11:$E$396,4,FALSE)</f>
        <v>A4</v>
      </c>
      <c r="W171" s="1138">
        <f t="shared" si="35"/>
        <v>0.5</v>
      </c>
      <c r="X171" s="1138">
        <f>IFERROR(INDEX('[21]CN BC'!$J$10:$J$275,MATCH(B171,'[21]CN BC'!$H$10:$H$275,0)),"")</f>
        <v>21</v>
      </c>
      <c r="Y171" s="1138">
        <f>IFERROR(INDEX('[22]CN BC'!$J$10:$J$274,MATCH(B171,'[22]CN BC'!$H$10:$H$274,0)),"")</f>
        <v>0</v>
      </c>
      <c r="Z171" s="1138">
        <f>VLOOKUP(B171,'[23]CN BC'!$H$10:$J$275,3,FALSE)</f>
        <v>19</v>
      </c>
      <c r="AA171" s="1139">
        <f t="shared" si="36"/>
        <v>21</v>
      </c>
      <c r="AB171" s="1139">
        <f t="shared" si="37"/>
        <v>0</v>
      </c>
      <c r="AC171" s="1139">
        <f t="shared" si="38"/>
        <v>19</v>
      </c>
      <c r="AD171" s="1140"/>
      <c r="AE171" s="1141">
        <f t="shared" si="39"/>
        <v>8164870</v>
      </c>
      <c r="AF171" s="1519">
        <f t="shared" si="28"/>
        <v>3.4892606837606839</v>
      </c>
      <c r="AG171" s="1224">
        <v>2340000</v>
      </c>
      <c r="AH171" s="1521">
        <f t="shared" si="29"/>
        <v>8164870</v>
      </c>
      <c r="AI171" s="1142">
        <f t="shared" si="40"/>
        <v>154</v>
      </c>
      <c r="AJ171" s="1143">
        <f>IFERROR(INDEX('[17]CN BC'!$M$10:$M$276,MATCH(B171,'[17]CN BC'!$H$10:$H$276,0)),"")</f>
        <v>0</v>
      </c>
      <c r="AK171" s="1144" t="str">
        <f>VLOOKUP(B171,TH.T4!B173:AC503,28,FALSE)</f>
        <v>LLCT</v>
      </c>
      <c r="AL171" s="1130"/>
      <c r="AM171" s="1146"/>
      <c r="AN171" s="1147"/>
    </row>
    <row r="172" spans="1:46" s="1148" customFormat="1" ht="27" customHeight="1">
      <c r="A172" s="1132">
        <f>_xlfn.AGGREGATE(4,7,A$17:A171)+1</f>
        <v>155</v>
      </c>
      <c r="B172" s="1133" t="s">
        <v>1882</v>
      </c>
      <c r="C172" s="1153" t="s">
        <v>1741</v>
      </c>
      <c r="D172" s="1154" t="s">
        <v>1341</v>
      </c>
      <c r="E172" s="1058" t="str">
        <f>VLOOKUP(B172,TH.T6!B84:J414,9,FALSE)</f>
        <v>Giảng viên khoa CNTT</v>
      </c>
      <c r="F172" s="1160">
        <v>4.32</v>
      </c>
      <c r="G172" s="1137"/>
      <c r="H172" s="1392">
        <f t="shared" si="30"/>
        <v>0</v>
      </c>
      <c r="I172" s="1138"/>
      <c r="J172" s="1160">
        <v>4.32</v>
      </c>
      <c r="K172" s="1137"/>
      <c r="L172" s="1392">
        <f t="shared" si="31"/>
        <v>0</v>
      </c>
      <c r="M172" s="1138"/>
      <c r="N172" s="1160">
        <v>4.32</v>
      </c>
      <c r="O172" s="1137"/>
      <c r="P172" s="1393">
        <f t="shared" si="32"/>
        <v>0</v>
      </c>
      <c r="Q172" s="1138"/>
      <c r="R172" s="1138" t="str">
        <f>IFERROR(INDEX('[18]Gui chi Quynh'!$E$11:$E$397,MATCH(B172,'[18]Gui chi Quynh'!$B$11:$B$397,0)),"")</f>
        <v>A3</v>
      </c>
      <c r="S172" s="1138">
        <f t="shared" si="33"/>
        <v>0.6</v>
      </c>
      <c r="T172" s="1138" t="str">
        <f>VLOOKUP(B172,'[19]Gui chi Quynh'!$B$11:$E$397,4,FALSE)</f>
        <v>A DN</v>
      </c>
      <c r="U172" s="1138">
        <f t="shared" si="34"/>
        <v>0</v>
      </c>
      <c r="V172" s="1138" t="str">
        <f>VLOOKUP(B172,'[20]Gui chi Quynh'!$B$11:$E$396,4,FALSE)</f>
        <v>A4</v>
      </c>
      <c r="W172" s="1138">
        <f t="shared" si="35"/>
        <v>0.5</v>
      </c>
      <c r="X172" s="1138">
        <f>IFERROR(INDEX('[21]CN BC'!$J$10:$J$275,MATCH(B172,'[21]CN BC'!$H$10:$H$275,0)),"")</f>
        <v>23</v>
      </c>
      <c r="Y172" s="1138">
        <f>IFERROR(INDEX('[22]CN BC'!$J$10:$J$274,MATCH(B172,'[22]CN BC'!$H$10:$H$274,0)),"")</f>
        <v>0</v>
      </c>
      <c r="Z172" s="1138">
        <f>VLOOKUP(B172,'[23]CN BC'!$H$10:$J$275,3,FALSE)</f>
        <v>19</v>
      </c>
      <c r="AA172" s="1139">
        <f t="shared" si="36"/>
        <v>23</v>
      </c>
      <c r="AB172" s="1139">
        <f t="shared" si="37"/>
        <v>0</v>
      </c>
      <c r="AC172" s="1139">
        <f t="shared" si="38"/>
        <v>19</v>
      </c>
      <c r="AD172" s="1140"/>
      <c r="AE172" s="1141">
        <f t="shared" si="39"/>
        <v>11119680</v>
      </c>
      <c r="AF172" s="1519">
        <f t="shared" si="28"/>
        <v>4.7519999999999998</v>
      </c>
      <c r="AG172" s="1224">
        <v>2340000</v>
      </c>
      <c r="AH172" s="1521">
        <f t="shared" si="29"/>
        <v>11119680</v>
      </c>
      <c r="AI172" s="1142">
        <f t="shared" si="40"/>
        <v>155</v>
      </c>
      <c r="AJ172" s="1143">
        <f>IFERROR(INDEX('[17]CN BC'!$M$10:$M$276,MATCH(B172,'[17]CN BC'!$H$10:$H$276,0)),"")</f>
        <v>0</v>
      </c>
      <c r="AK172" s="1144" t="str">
        <f>VLOOKUP(B172,TH.T4!B174:AC504,28,FALSE)</f>
        <v>CNTT</v>
      </c>
      <c r="AL172" s="1130"/>
      <c r="AM172" s="1146"/>
      <c r="AN172" s="1147"/>
    </row>
    <row r="173" spans="1:46" s="1146" customFormat="1" ht="28.5" customHeight="1">
      <c r="A173" s="1132">
        <f>_xlfn.AGGREGATE(4,7,A$17:A172)+1</f>
        <v>156</v>
      </c>
      <c r="B173" s="1172" t="s">
        <v>1508</v>
      </c>
      <c r="C173" s="1149" t="s">
        <v>1742</v>
      </c>
      <c r="D173" s="1173" t="s">
        <v>1342</v>
      </c>
      <c r="E173" s="1058" t="str">
        <f>VLOOKUP(B173,TH.T6!B85:J415,9,FALSE)</f>
        <v>Giảng viên khoa CNTT</v>
      </c>
      <c r="F173" s="1178">
        <v>3.99</v>
      </c>
      <c r="G173" s="1175"/>
      <c r="H173" s="1392">
        <f t="shared" si="30"/>
        <v>0</v>
      </c>
      <c r="I173" s="1176"/>
      <c r="J173" s="1178">
        <v>3.99</v>
      </c>
      <c r="K173" s="1175"/>
      <c r="L173" s="1392">
        <f t="shared" si="31"/>
        <v>0</v>
      </c>
      <c r="M173" s="1176"/>
      <c r="N173" s="1178">
        <v>3.99</v>
      </c>
      <c r="O173" s="1175"/>
      <c r="P173" s="1393">
        <f t="shared" si="32"/>
        <v>0</v>
      </c>
      <c r="Q173" s="1176"/>
      <c r="R173" s="1138" t="str">
        <f>IFERROR(INDEX('[18]Gui chi Quynh'!$E$11:$E$397,MATCH(B173,'[18]Gui chi Quynh'!$B$11:$B$397,0)),"")</f>
        <v>A4</v>
      </c>
      <c r="S173" s="1138">
        <f t="shared" si="33"/>
        <v>0.5</v>
      </c>
      <c r="T173" s="1138" t="str">
        <f>VLOOKUP(B173,'[19]Gui chi Quynh'!$B$11:$E$397,4,FALSE)</f>
        <v>A DN</v>
      </c>
      <c r="U173" s="1138">
        <f t="shared" si="34"/>
        <v>0</v>
      </c>
      <c r="V173" s="1138" t="str">
        <f>VLOOKUP(B173,'[20]Gui chi Quynh'!$B$11:$E$396,4,FALSE)</f>
        <v>A3</v>
      </c>
      <c r="W173" s="1138">
        <f t="shared" si="35"/>
        <v>0.6</v>
      </c>
      <c r="X173" s="1138">
        <f>IFERROR(INDEX('[21]CN BC'!$J$10:$J$275,MATCH(B173,'[21]CN BC'!$H$10:$H$275,0)),"")</f>
        <v>21</v>
      </c>
      <c r="Y173" s="1138">
        <f>IFERROR(INDEX('[22]CN BC'!$J$10:$J$274,MATCH(B173,'[22]CN BC'!$H$10:$H$274,0)),"")</f>
        <v>0</v>
      </c>
      <c r="Z173" s="1138">
        <f>VLOOKUP(B173,'[23]CN BC'!$H$10:$J$275,3,FALSE)</f>
        <v>19</v>
      </c>
      <c r="AA173" s="1139">
        <f t="shared" si="36"/>
        <v>21</v>
      </c>
      <c r="AB173" s="1139">
        <f t="shared" si="37"/>
        <v>0</v>
      </c>
      <c r="AC173" s="1139">
        <f t="shared" si="38"/>
        <v>19</v>
      </c>
      <c r="AD173" s="1140"/>
      <c r="AE173" s="1141">
        <f t="shared" si="39"/>
        <v>9864321</v>
      </c>
      <c r="AF173" s="1519">
        <f t="shared" si="28"/>
        <v>4.2155217948717949</v>
      </c>
      <c r="AG173" s="1224">
        <v>2340000</v>
      </c>
      <c r="AH173" s="1521">
        <f t="shared" si="29"/>
        <v>9864321</v>
      </c>
      <c r="AI173" s="1142">
        <f t="shared" si="40"/>
        <v>156</v>
      </c>
      <c r="AJ173" s="1143">
        <f>IFERROR(INDEX('[17]CN BC'!$M$10:$M$276,MATCH(B173,'[17]CN BC'!$H$10:$H$276,0)),"")</f>
        <v>0</v>
      </c>
      <c r="AK173" s="1144" t="str">
        <f>VLOOKUP(B173,TH.T4!B175:AC505,28,FALSE)</f>
        <v>CNTT</v>
      </c>
      <c r="AL173" s="1130"/>
      <c r="AN173" s="1147"/>
    </row>
    <row r="174" spans="1:46" s="1146" customFormat="1" ht="26.25" customHeight="1">
      <c r="A174" s="1132">
        <f>_xlfn.AGGREGATE(4,7,A$17:A173)+1</f>
        <v>157</v>
      </c>
      <c r="B174" s="1172" t="s">
        <v>1509</v>
      </c>
      <c r="C174" s="1149" t="s">
        <v>1743</v>
      </c>
      <c r="D174" s="1173" t="s">
        <v>1344</v>
      </c>
      <c r="E174" s="1058" t="str">
        <f>VLOOKUP(B174,TH.T6!B86:J416,9,FALSE)</f>
        <v>Giảng viên khoa CNTT</v>
      </c>
      <c r="F174" s="1174">
        <v>3.99</v>
      </c>
      <c r="G174" s="1175"/>
      <c r="H174" s="1392">
        <f t="shared" si="30"/>
        <v>0</v>
      </c>
      <c r="I174" s="1176"/>
      <c r="J174" s="1174">
        <v>3.99</v>
      </c>
      <c r="K174" s="1175"/>
      <c r="L174" s="1392">
        <f t="shared" si="31"/>
        <v>0</v>
      </c>
      <c r="M174" s="1176"/>
      <c r="N174" s="1174">
        <v>3.99</v>
      </c>
      <c r="O174" s="1175"/>
      <c r="P174" s="1393">
        <f t="shared" si="32"/>
        <v>0</v>
      </c>
      <c r="Q174" s="1176"/>
      <c r="R174" s="1138" t="str">
        <f>IFERROR(INDEX('[18]Gui chi Quynh'!$E$11:$E$397,MATCH(B174,'[18]Gui chi Quynh'!$B$11:$B$397,0)),"")</f>
        <v>A4</v>
      </c>
      <c r="S174" s="1138">
        <f t="shared" si="33"/>
        <v>0.5</v>
      </c>
      <c r="T174" s="1138" t="str">
        <f>VLOOKUP(B174,'[19]Gui chi Quynh'!$B$11:$E$397,4,FALSE)</f>
        <v>A DN</v>
      </c>
      <c r="U174" s="1138">
        <f t="shared" si="34"/>
        <v>0</v>
      </c>
      <c r="V174" s="1138" t="str">
        <f>VLOOKUP(B174,'[20]Gui chi Quynh'!$B$11:$E$396,4,FALSE)</f>
        <v>A3</v>
      </c>
      <c r="W174" s="1138">
        <f t="shared" si="35"/>
        <v>0.6</v>
      </c>
      <c r="X174" s="1138">
        <f>IFERROR(INDEX('[21]CN BC'!$J$10:$J$275,MATCH(B174,'[21]CN BC'!$H$10:$H$275,0)),"")</f>
        <v>23</v>
      </c>
      <c r="Y174" s="1138">
        <f>IFERROR(INDEX('[22]CN BC'!$J$10:$J$274,MATCH(B174,'[22]CN BC'!$H$10:$H$274,0)),"")</f>
        <v>0</v>
      </c>
      <c r="Z174" s="1138">
        <f>VLOOKUP(B174,'[23]CN BC'!$H$10:$J$275,3,FALSE)</f>
        <v>19</v>
      </c>
      <c r="AA174" s="1139">
        <f t="shared" si="36"/>
        <v>23</v>
      </c>
      <c r="AB174" s="1139">
        <f t="shared" si="37"/>
        <v>0</v>
      </c>
      <c r="AC174" s="1139">
        <f t="shared" si="38"/>
        <v>19</v>
      </c>
      <c r="AD174" s="1140"/>
      <c r="AE174" s="1141">
        <f t="shared" si="39"/>
        <v>10270260</v>
      </c>
      <c r="AF174" s="1519">
        <f t="shared" si="28"/>
        <v>4.3890000000000002</v>
      </c>
      <c r="AG174" s="1224">
        <v>2340000</v>
      </c>
      <c r="AH174" s="1521">
        <f t="shared" si="29"/>
        <v>10270260</v>
      </c>
      <c r="AI174" s="1142">
        <f t="shared" si="40"/>
        <v>157</v>
      </c>
      <c r="AJ174" s="1143">
        <f>IFERROR(INDEX('[17]CN BC'!$M$10:$M$276,MATCH(B174,'[17]CN BC'!$H$10:$H$276,0)),"")</f>
        <v>0</v>
      </c>
      <c r="AK174" s="1144" t="str">
        <f>VLOOKUP(B174,TH.T4!B176:AC506,28,FALSE)</f>
        <v>CNTT</v>
      </c>
      <c r="AL174" s="1130"/>
      <c r="AN174" s="1147"/>
    </row>
    <row r="175" spans="1:46" s="1148" customFormat="1" ht="78" customHeight="1">
      <c r="A175" s="1132">
        <f>_xlfn.AGGREGATE(4,7,A$17:A174)+1</f>
        <v>158</v>
      </c>
      <c r="B175" s="1429" t="s">
        <v>1510</v>
      </c>
      <c r="C175" s="1430" t="s">
        <v>1744</v>
      </c>
      <c r="D175" s="1431" t="s">
        <v>1347</v>
      </c>
      <c r="E175" s="1529" t="str">
        <f>VLOOKUP(B175,TH.T6!B87:J417,9,FALSE)</f>
        <v>Giảng viên khoa CNTT</v>
      </c>
      <c r="F175" s="1432">
        <v>3.66</v>
      </c>
      <c r="G175" s="1433"/>
      <c r="H175" s="1434">
        <f t="shared" si="30"/>
        <v>0</v>
      </c>
      <c r="I175" s="1435"/>
      <c r="J175" s="1432">
        <v>3.66</v>
      </c>
      <c r="K175" s="1433"/>
      <c r="L175" s="1434">
        <f t="shared" si="31"/>
        <v>0</v>
      </c>
      <c r="M175" s="1435"/>
      <c r="N175" s="1432">
        <v>3.99</v>
      </c>
      <c r="O175" s="1433"/>
      <c r="P175" s="1436">
        <f t="shared" si="32"/>
        <v>0</v>
      </c>
      <c r="Q175" s="1435"/>
      <c r="R175" s="1435" t="str">
        <f>IFERROR(INDEX('[18]Gui chi Quynh'!$E$11:$E$397,MATCH(B175,'[18]Gui chi Quynh'!$B$11:$B$397,0)),"")</f>
        <v>A4</v>
      </c>
      <c r="S175" s="1435">
        <f t="shared" si="33"/>
        <v>0.5</v>
      </c>
      <c r="T175" s="1435" t="str">
        <f>VLOOKUP(B175,'[19]Gui chi Quynh'!$B$11:$E$397,4,FALSE)</f>
        <v>A DN</v>
      </c>
      <c r="U175" s="1435">
        <f t="shared" si="34"/>
        <v>0</v>
      </c>
      <c r="V175" s="1435" t="str">
        <f>VLOOKUP(B175,'[20]Gui chi Quynh'!$B$11:$E$396,4,FALSE)</f>
        <v>D</v>
      </c>
      <c r="W175" s="1435">
        <f t="shared" si="35"/>
        <v>0</v>
      </c>
      <c r="X175" s="1435">
        <f>IFERROR(INDEX('[21]CN BC'!$J$10:$J$275,MATCH(B175,'[21]CN BC'!$H$10:$H$275,0)),"")</f>
        <v>21</v>
      </c>
      <c r="Y175" s="1435">
        <f>IFERROR(INDEX('[22]CN BC'!$J$10:$J$274,MATCH(B175,'[22]CN BC'!$H$10:$H$274,0)),"")</f>
        <v>0</v>
      </c>
      <c r="Z175" s="1435">
        <f>VLOOKUP(B175,'[23]CN BC'!$H$10:$J$275,3,FALSE)</f>
        <v>4</v>
      </c>
      <c r="AA175" s="1437">
        <f t="shared" si="36"/>
        <v>21</v>
      </c>
      <c r="AB175" s="1437">
        <f t="shared" si="37"/>
        <v>0</v>
      </c>
      <c r="AC175" s="1437">
        <f t="shared" si="38"/>
        <v>4</v>
      </c>
      <c r="AD175" s="1438"/>
      <c r="AE175" s="1439">
        <f t="shared" si="39"/>
        <v>3909835</v>
      </c>
      <c r="AF175" s="1530">
        <f t="shared" si="28"/>
        <v>1.670869658119658</v>
      </c>
      <c r="AG175" s="1513">
        <v>2340000</v>
      </c>
      <c r="AH175" s="1531">
        <f t="shared" si="29"/>
        <v>3909835</v>
      </c>
      <c r="AI175" s="1440">
        <f t="shared" si="40"/>
        <v>158</v>
      </c>
      <c r="AJ175" s="1441" t="s">
        <v>2367</v>
      </c>
      <c r="AK175" s="1189" t="str">
        <f>VLOOKUP(B175,TH.T4!B177:AC507,28,FALSE)</f>
        <v>CNTT</v>
      </c>
      <c r="AL175" s="1171"/>
      <c r="AN175" s="1158"/>
    </row>
    <row r="176" spans="1:46" s="1148" customFormat="1" ht="27" customHeight="1">
      <c r="A176" s="1132">
        <f>_xlfn.AGGREGATE(4,7,A$17:A175)+1</f>
        <v>159</v>
      </c>
      <c r="B176" s="1223" t="s">
        <v>1511</v>
      </c>
      <c r="C176" s="1153" t="s">
        <v>1745</v>
      </c>
      <c r="D176" s="1154" t="s">
        <v>1349</v>
      </c>
      <c r="E176" s="1058" t="str">
        <f>VLOOKUP(B176,TH.T6!B88:J418,9,FALSE)</f>
        <v>Giảng viên khoa CNTT</v>
      </c>
      <c r="F176" s="1160">
        <v>3.99</v>
      </c>
      <c r="G176" s="1137"/>
      <c r="H176" s="1392">
        <f t="shared" si="30"/>
        <v>0</v>
      </c>
      <c r="I176" s="1138"/>
      <c r="J176" s="1160">
        <v>3.99</v>
      </c>
      <c r="K176" s="1137"/>
      <c r="L176" s="1392">
        <f t="shared" si="31"/>
        <v>0</v>
      </c>
      <c r="M176" s="1138"/>
      <c r="N176" s="1160">
        <v>3.99</v>
      </c>
      <c r="O176" s="1137"/>
      <c r="P176" s="1393">
        <f t="shared" si="32"/>
        <v>0</v>
      </c>
      <c r="Q176" s="1138"/>
      <c r="R176" s="1138" t="str">
        <f>IFERROR(INDEX('[18]Gui chi Quynh'!$E$11:$E$397,MATCH(B176,'[18]Gui chi Quynh'!$B$11:$B$397,0)),"")</f>
        <v>A3</v>
      </c>
      <c r="S176" s="1138">
        <f t="shared" si="33"/>
        <v>0.6</v>
      </c>
      <c r="T176" s="1138" t="str">
        <f>VLOOKUP(B176,'[19]Gui chi Quynh'!$B$11:$E$397,4,FALSE)</f>
        <v>A DN</v>
      </c>
      <c r="U176" s="1138">
        <f t="shared" si="34"/>
        <v>0</v>
      </c>
      <c r="V176" s="1138" t="str">
        <f>VLOOKUP(B176,'[20]Gui chi Quynh'!$B$11:$E$396,4,FALSE)</f>
        <v>A3</v>
      </c>
      <c r="W176" s="1138">
        <f t="shared" si="35"/>
        <v>0.6</v>
      </c>
      <c r="X176" s="1138">
        <f>IFERROR(INDEX('[21]CN BC'!$J$10:$J$275,MATCH(B176,'[21]CN BC'!$H$10:$H$275,0)),"")</f>
        <v>21</v>
      </c>
      <c r="Y176" s="1138">
        <f>IFERROR(INDEX('[22]CN BC'!$J$10:$J$274,MATCH(B176,'[22]CN BC'!$H$10:$H$274,0)),"")</f>
        <v>0</v>
      </c>
      <c r="Z176" s="1138">
        <f>VLOOKUP(B176,'[23]CN BC'!$H$10:$J$275,3,FALSE)</f>
        <v>19</v>
      </c>
      <c r="AA176" s="1139">
        <f t="shared" si="36"/>
        <v>21</v>
      </c>
      <c r="AB176" s="1139">
        <f t="shared" si="37"/>
        <v>0</v>
      </c>
      <c r="AC176" s="1139">
        <f t="shared" si="38"/>
        <v>19</v>
      </c>
      <c r="AD176" s="1140"/>
      <c r="AE176" s="1141">
        <f t="shared" si="39"/>
        <v>10716793</v>
      </c>
      <c r="AF176" s="1519">
        <f t="shared" si="28"/>
        <v>4.5798260683760681</v>
      </c>
      <c r="AG176" s="1224">
        <v>2340000</v>
      </c>
      <c r="AH176" s="1521">
        <f t="shared" si="29"/>
        <v>10716793</v>
      </c>
      <c r="AI176" s="1142">
        <f t="shared" si="40"/>
        <v>159</v>
      </c>
      <c r="AJ176" s="1143">
        <f>IFERROR(INDEX('[17]CN BC'!$M$10:$M$276,MATCH(B176,'[17]CN BC'!$H$10:$H$276,0)),"")</f>
        <v>0</v>
      </c>
      <c r="AK176" s="1144" t="str">
        <f>VLOOKUP(B176,TH.T4!B178:AC508,28,FALSE)</f>
        <v>CNTT</v>
      </c>
      <c r="AL176" s="1130"/>
      <c r="AM176" s="1146"/>
      <c r="AN176" s="1147"/>
      <c r="AO176" s="1146"/>
      <c r="AP176" s="1146"/>
      <c r="AQ176" s="1146"/>
      <c r="AR176" s="1146"/>
      <c r="AS176" s="1146"/>
      <c r="AT176" s="1146"/>
    </row>
    <row r="177" spans="1:50" s="1148" customFormat="1" ht="83.25" customHeight="1">
      <c r="A177" s="1132">
        <f>_xlfn.AGGREGATE(4,7,A$17:A176)+1</f>
        <v>160</v>
      </c>
      <c r="B177" s="1442" t="s">
        <v>1512</v>
      </c>
      <c r="C177" s="1443" t="s">
        <v>1746</v>
      </c>
      <c r="D177" s="1444" t="s">
        <v>1350</v>
      </c>
      <c r="E177" s="741" t="str">
        <f>VLOOKUP(B177,TH.T6!B89:J419,9,FALSE)</f>
        <v>Giảng viên khoa CNTT</v>
      </c>
      <c r="F177" s="1445">
        <v>3.99</v>
      </c>
      <c r="G177" s="1446"/>
      <c r="H177" s="1447">
        <f t="shared" si="30"/>
        <v>0</v>
      </c>
      <c r="I177" s="1448"/>
      <c r="J177" s="1445">
        <v>3.99</v>
      </c>
      <c r="K177" s="1446"/>
      <c r="L177" s="1447">
        <f t="shared" si="31"/>
        <v>0</v>
      </c>
      <c r="M177" s="1448"/>
      <c r="N177" s="1445">
        <v>3.99</v>
      </c>
      <c r="O177" s="1446"/>
      <c r="P177" s="1449">
        <f t="shared" si="32"/>
        <v>0</v>
      </c>
      <c r="Q177" s="1448"/>
      <c r="R177" s="1448" t="str">
        <f>IFERROR(INDEX('[18]Gui chi Quynh'!$E$11:$E$397,MATCH(B177,'[18]Gui chi Quynh'!$B$11:$B$397,0)),"")</f>
        <v>A4</v>
      </c>
      <c r="S177" s="1448">
        <f t="shared" si="33"/>
        <v>0.5</v>
      </c>
      <c r="T177" s="1448" t="str">
        <f>VLOOKUP(B177,'[19]Gui chi Quynh'!$B$11:$E$397,4,FALSE)</f>
        <v>A DN</v>
      </c>
      <c r="U177" s="1448">
        <f t="shared" si="34"/>
        <v>0</v>
      </c>
      <c r="V177" s="1448" t="str">
        <f>VLOOKUP(B177,'[20]Gui chi Quynh'!$B$11:$E$396,4,FALSE)</f>
        <v>B1</v>
      </c>
      <c r="W177" s="1448">
        <f t="shared" si="35"/>
        <v>0.35</v>
      </c>
      <c r="X177" s="1448">
        <f>IFERROR(INDEX('[21]CN BC'!$J$10:$J$275,MATCH(B177,'[21]CN BC'!$H$10:$H$275,0)),"")</f>
        <v>21</v>
      </c>
      <c r="Y177" s="1448">
        <f>IFERROR(INDEX('[22]CN BC'!$J$10:$J$274,MATCH(B177,'[22]CN BC'!$H$10:$H$274,0)),"")</f>
        <v>0</v>
      </c>
      <c r="Z177" s="1448">
        <f>VLOOKUP(B177,'[23]CN BC'!$H$10:$J$275,3,FALSE)</f>
        <v>19</v>
      </c>
      <c r="AA177" s="1450">
        <f t="shared" si="36"/>
        <v>21</v>
      </c>
      <c r="AB177" s="1450">
        <f t="shared" si="37"/>
        <v>0</v>
      </c>
      <c r="AC177" s="1450">
        <f t="shared" si="38"/>
        <v>19</v>
      </c>
      <c r="AD177" s="1451"/>
      <c r="AE177" s="1452">
        <f t="shared" si="39"/>
        <v>7530171</v>
      </c>
      <c r="AF177" s="1570">
        <f t="shared" si="28"/>
        <v>3.2180217948717948</v>
      </c>
      <c r="AG177" s="1514">
        <v>2340000</v>
      </c>
      <c r="AH177" s="1571">
        <f t="shared" si="29"/>
        <v>7530171</v>
      </c>
      <c r="AI177" s="1453">
        <f t="shared" si="40"/>
        <v>160</v>
      </c>
      <c r="AJ177" s="1454" t="s">
        <v>2366</v>
      </c>
      <c r="AK177" s="1144" t="str">
        <f>VLOOKUP(B177,TH.T4!B179:AC509,28,FALSE)</f>
        <v>CNTT</v>
      </c>
      <c r="AL177" s="1130"/>
      <c r="AM177" s="1146"/>
      <c r="AN177" s="1147"/>
      <c r="AO177" s="1146"/>
      <c r="AP177" s="1146"/>
      <c r="AQ177" s="1146"/>
      <c r="AR177" s="1146"/>
      <c r="AS177" s="1146"/>
      <c r="AT177" s="1146"/>
    </row>
    <row r="178" spans="1:50" s="1146" customFormat="1" ht="27" customHeight="1">
      <c r="A178" s="1132">
        <f>_xlfn.AGGREGATE(4,7,A$17:A177)+1</f>
        <v>161</v>
      </c>
      <c r="B178" s="1172" t="s">
        <v>1513</v>
      </c>
      <c r="C178" s="1149" t="s">
        <v>1747</v>
      </c>
      <c r="D178" s="1173" t="s">
        <v>1353</v>
      </c>
      <c r="E178" s="1058" t="str">
        <f>VLOOKUP(B178,TH.T6!B90:J420,9,FALSE)</f>
        <v>Trưởng BM khoa CNTT</v>
      </c>
      <c r="F178" s="1178">
        <v>3.99</v>
      </c>
      <c r="G178" s="1175"/>
      <c r="H178" s="1392">
        <f t="shared" si="30"/>
        <v>0</v>
      </c>
      <c r="I178" s="1138">
        <v>0.45</v>
      </c>
      <c r="J178" s="1160">
        <v>3.99</v>
      </c>
      <c r="K178" s="1137"/>
      <c r="L178" s="1399">
        <f t="shared" si="31"/>
        <v>0</v>
      </c>
      <c r="M178" s="1138">
        <v>0.45</v>
      </c>
      <c r="N178" s="1160">
        <v>3.99</v>
      </c>
      <c r="O178" s="1137"/>
      <c r="P178" s="1400">
        <f t="shared" si="32"/>
        <v>0</v>
      </c>
      <c r="Q178" s="1138">
        <v>0.45</v>
      </c>
      <c r="R178" s="1138" t="str">
        <f>IFERROR(INDEX('[18]Gui chi Quynh'!$E$11:$E$397,MATCH(B178,'[18]Gui chi Quynh'!$B$11:$B$397,0)),"")</f>
        <v>A2</v>
      </c>
      <c r="S178" s="1138">
        <f t="shared" si="33"/>
        <v>0.7</v>
      </c>
      <c r="T178" s="1138" t="str">
        <f>VLOOKUP(B178,'[19]Gui chi Quynh'!$B$11:$E$397,4,FALSE)</f>
        <v>A2</v>
      </c>
      <c r="U178" s="1138">
        <f t="shared" si="34"/>
        <v>0.7</v>
      </c>
      <c r="V178" s="1138" t="str">
        <f>VLOOKUP(B178,'[20]Gui chi Quynh'!$B$11:$E$396,4,FALSE)</f>
        <v>A2</v>
      </c>
      <c r="W178" s="1138">
        <f t="shared" si="35"/>
        <v>0.7</v>
      </c>
      <c r="X178" s="1138">
        <f>IFERROR(INDEX('[21]CN BC'!$J$10:$J$275,MATCH(B178,'[21]CN BC'!$H$10:$H$275,0)),"")</f>
        <v>23</v>
      </c>
      <c r="Y178" s="1138">
        <f>IFERROR(INDEX('[22]CN BC'!$J$10:$J$274,MATCH(B178,'[22]CN BC'!$H$10:$H$274,0)),"")</f>
        <v>22</v>
      </c>
      <c r="Z178" s="1138">
        <f>VLOOKUP(B178,'[23]CN BC'!$H$10:$J$275,3,FALSE)</f>
        <v>20</v>
      </c>
      <c r="AA178" s="1139">
        <f t="shared" si="36"/>
        <v>23</v>
      </c>
      <c r="AB178" s="1139">
        <f t="shared" si="37"/>
        <v>22</v>
      </c>
      <c r="AC178" s="1139">
        <f t="shared" si="38"/>
        <v>19</v>
      </c>
      <c r="AD178" s="1140"/>
      <c r="AE178" s="1141">
        <f t="shared" si="39"/>
        <v>21818160</v>
      </c>
      <c r="AF178" s="1519">
        <f t="shared" si="28"/>
        <v>9.3239999999999998</v>
      </c>
      <c r="AG178" s="1224">
        <v>2340000</v>
      </c>
      <c r="AH178" s="1521">
        <f t="shared" si="29"/>
        <v>21818160</v>
      </c>
      <c r="AI178" s="1142">
        <f t="shared" si="40"/>
        <v>161</v>
      </c>
      <c r="AJ178" s="1143">
        <f>IFERROR(INDEX('[17]CN BC'!$M$10:$M$276,MATCH(B178,'[17]CN BC'!$H$10:$H$276,0)),"")</f>
        <v>0</v>
      </c>
      <c r="AK178" s="1144" t="str">
        <f>VLOOKUP(B178,TH.T4!B180:AC510,28,FALSE)</f>
        <v>CNTT</v>
      </c>
      <c r="AL178" s="1130"/>
      <c r="AN178" s="1147"/>
    </row>
    <row r="179" spans="1:50" s="1148" customFormat="1" ht="30" customHeight="1">
      <c r="A179" s="1132">
        <f>_xlfn.AGGREGATE(4,7,A$17:A178)+1</f>
        <v>162</v>
      </c>
      <c r="B179" s="1215" t="s">
        <v>1514</v>
      </c>
      <c r="C179" s="1216" t="s">
        <v>1748</v>
      </c>
      <c r="D179" s="1347" t="s">
        <v>1354</v>
      </c>
      <c r="E179" s="579" t="str">
        <f>VLOOKUP(B179,TH.T6!B91:J421,9,FALSE)</f>
        <v>Giảng viên khoa CNTT</v>
      </c>
      <c r="F179" s="1358">
        <v>3.66</v>
      </c>
      <c r="G179" s="1218"/>
      <c r="H179" s="1394">
        <f t="shared" si="30"/>
        <v>0</v>
      </c>
      <c r="I179" s="1219"/>
      <c r="J179" s="1358">
        <v>3.66</v>
      </c>
      <c r="K179" s="1218"/>
      <c r="L179" s="1394">
        <f t="shared" si="31"/>
        <v>0</v>
      </c>
      <c r="M179" s="1219"/>
      <c r="N179" s="1358">
        <v>3.99</v>
      </c>
      <c r="O179" s="1218"/>
      <c r="P179" s="1395">
        <f t="shared" si="32"/>
        <v>0</v>
      </c>
      <c r="Q179" s="1219"/>
      <c r="R179" s="1219" t="str">
        <f>IFERROR(INDEX('[18]Gui chi Quynh'!$E$11:$E$397,MATCH(B179,'[18]Gui chi Quynh'!$B$11:$B$397,0)),"")</f>
        <v>A3</v>
      </c>
      <c r="S179" s="1219">
        <f t="shared" si="33"/>
        <v>0.6</v>
      </c>
      <c r="T179" s="1219" t="str">
        <f>VLOOKUP(B179,'[19]Gui chi Quynh'!$B$11:$E$397,4,FALSE)</f>
        <v>A DN</v>
      </c>
      <c r="U179" s="1219">
        <f t="shared" si="34"/>
        <v>0</v>
      </c>
      <c r="V179" s="1219" t="str">
        <f>VLOOKUP(B179,'[20]Gui chi Quynh'!$B$11:$E$396,4,FALSE)</f>
        <v>A3</v>
      </c>
      <c r="W179" s="1219">
        <f t="shared" si="35"/>
        <v>0.6</v>
      </c>
      <c r="X179" s="1219">
        <f>IFERROR(INDEX('[21]CN BC'!$J$10:$J$275,MATCH(B179,'[21]CN BC'!$H$10:$H$275,0)),"")</f>
        <v>21</v>
      </c>
      <c r="Y179" s="1219">
        <f>IFERROR(INDEX('[22]CN BC'!$J$10:$J$274,MATCH(B179,'[22]CN BC'!$H$10:$H$274,0)),"")</f>
        <v>0</v>
      </c>
      <c r="Z179" s="1219">
        <f>VLOOKUP(B179,'[23]CN BC'!$H$10:$J$275,3,FALSE)</f>
        <v>19</v>
      </c>
      <c r="AA179" s="1348">
        <f t="shared" si="36"/>
        <v>21</v>
      </c>
      <c r="AB179" s="1348">
        <f t="shared" si="37"/>
        <v>0</v>
      </c>
      <c r="AC179" s="1348">
        <f t="shared" si="38"/>
        <v>19</v>
      </c>
      <c r="AD179" s="1220"/>
      <c r="AE179" s="1349">
        <f t="shared" si="39"/>
        <v>10293762</v>
      </c>
      <c r="AF179" s="1548">
        <f t="shared" si="28"/>
        <v>4.3990435897435898</v>
      </c>
      <c r="AG179" s="1359">
        <v>2340000</v>
      </c>
      <c r="AH179" s="1549">
        <f t="shared" si="29"/>
        <v>10293762</v>
      </c>
      <c r="AI179" s="1221">
        <f t="shared" si="40"/>
        <v>162</v>
      </c>
      <c r="AJ179" s="1350" t="s">
        <v>2363</v>
      </c>
      <c r="AK179" s="1144" t="str">
        <f>VLOOKUP(B179,TH.T4!B181:AC511,28,FALSE)</f>
        <v>CNTT</v>
      </c>
      <c r="AL179" s="1130"/>
      <c r="AM179" s="1146"/>
      <c r="AN179" s="1158"/>
    </row>
    <row r="180" spans="1:50" s="1148" customFormat="1" ht="24.75" customHeight="1">
      <c r="A180" s="1132">
        <f>_xlfn.AGGREGATE(4,7,A$17:A179)+1</f>
        <v>163</v>
      </c>
      <c r="B180" s="1215" t="s">
        <v>1515</v>
      </c>
      <c r="C180" s="1216" t="s">
        <v>1749</v>
      </c>
      <c r="D180" s="1347" t="s">
        <v>1355</v>
      </c>
      <c r="E180" s="579" t="str">
        <f>VLOOKUP(B180,TH.T6!B92:J422,9,FALSE)</f>
        <v>Giảng viên khoa CNTT</v>
      </c>
      <c r="F180" s="1358">
        <v>3.66</v>
      </c>
      <c r="G180" s="1218"/>
      <c r="H180" s="1394">
        <f t="shared" si="30"/>
        <v>0</v>
      </c>
      <c r="I180" s="1219"/>
      <c r="J180" s="1358">
        <v>3.66</v>
      </c>
      <c r="K180" s="1218"/>
      <c r="L180" s="1394">
        <f t="shared" si="31"/>
        <v>0</v>
      </c>
      <c r="M180" s="1219"/>
      <c r="N180" s="1358">
        <v>3.99</v>
      </c>
      <c r="O180" s="1218"/>
      <c r="P180" s="1395">
        <f t="shared" si="32"/>
        <v>0</v>
      </c>
      <c r="Q180" s="1219"/>
      <c r="R180" s="1219" t="str">
        <f>IFERROR(INDEX('[18]Gui chi Quynh'!$E$11:$E$397,MATCH(B180,'[18]Gui chi Quynh'!$B$11:$B$397,0)),"")</f>
        <v>A3</v>
      </c>
      <c r="S180" s="1219">
        <f t="shared" si="33"/>
        <v>0.6</v>
      </c>
      <c r="T180" s="1219" t="str">
        <f>VLOOKUP(B180,'[19]Gui chi Quynh'!$B$11:$E$397,4,FALSE)</f>
        <v>A DN</v>
      </c>
      <c r="U180" s="1219">
        <f t="shared" si="34"/>
        <v>0</v>
      </c>
      <c r="V180" s="1219" t="str">
        <f>VLOOKUP(B180,'[20]Gui chi Quynh'!$B$11:$E$396,4,FALSE)</f>
        <v>A3</v>
      </c>
      <c r="W180" s="1219">
        <f t="shared" si="35"/>
        <v>0.6</v>
      </c>
      <c r="X180" s="1219">
        <f>IFERROR(INDEX('[21]CN BC'!$J$10:$J$275,MATCH(B180,'[21]CN BC'!$H$10:$H$275,0)),"")</f>
        <v>21</v>
      </c>
      <c r="Y180" s="1219">
        <f>IFERROR(INDEX('[22]CN BC'!$J$10:$J$274,MATCH(B180,'[22]CN BC'!$H$10:$H$274,0)),"")</f>
        <v>0</v>
      </c>
      <c r="Z180" s="1219">
        <f>VLOOKUP(B180,'[23]CN BC'!$H$10:$J$275,3,FALSE)</f>
        <v>19</v>
      </c>
      <c r="AA180" s="1348">
        <f t="shared" si="36"/>
        <v>21</v>
      </c>
      <c r="AB180" s="1348">
        <f t="shared" si="37"/>
        <v>0</v>
      </c>
      <c r="AC180" s="1348">
        <f t="shared" si="38"/>
        <v>19</v>
      </c>
      <c r="AD180" s="1220"/>
      <c r="AE180" s="1349">
        <f t="shared" si="39"/>
        <v>10293762</v>
      </c>
      <c r="AF180" s="1548">
        <f t="shared" si="28"/>
        <v>4.3990435897435898</v>
      </c>
      <c r="AG180" s="1359">
        <v>2340000</v>
      </c>
      <c r="AH180" s="1549">
        <f t="shared" si="29"/>
        <v>10293762</v>
      </c>
      <c r="AI180" s="1221">
        <f t="shared" si="40"/>
        <v>163</v>
      </c>
      <c r="AJ180" s="1350">
        <f>IFERROR(INDEX('[17]CN BC'!$M$10:$M$276,MATCH(B180,'[17]CN BC'!$H$10:$H$276,0)),"")</f>
        <v>0</v>
      </c>
      <c r="AK180" s="1144" t="str">
        <f>VLOOKUP(B180,TH.T4!B182:AC512,28,FALSE)</f>
        <v>CNTT</v>
      </c>
      <c r="AL180" s="1130"/>
      <c r="AM180" s="1146"/>
      <c r="AN180" s="1147"/>
      <c r="AO180" s="1146"/>
      <c r="AP180" s="1146"/>
      <c r="AQ180" s="1146"/>
      <c r="AR180" s="1146"/>
      <c r="AS180" s="1146"/>
      <c r="AT180" s="1146"/>
    </row>
    <row r="181" spans="1:50" s="1146" customFormat="1" ht="24.75" customHeight="1">
      <c r="A181" s="1132">
        <f>_xlfn.AGGREGATE(4,7,A$17:A180)+1</f>
        <v>164</v>
      </c>
      <c r="B181" s="1172" t="s">
        <v>1516</v>
      </c>
      <c r="C181" s="1149" t="s">
        <v>1750</v>
      </c>
      <c r="D181" s="1173" t="s">
        <v>1356</v>
      </c>
      <c r="E181" s="1058" t="str">
        <f>VLOOKUP(B181,TH.T6!B93:J423,9,FALSE)</f>
        <v>Giảng viên khoa CNTT</v>
      </c>
      <c r="F181" s="1160">
        <v>3.66</v>
      </c>
      <c r="G181" s="1175"/>
      <c r="H181" s="1392">
        <f t="shared" si="30"/>
        <v>0</v>
      </c>
      <c r="I181" s="1176"/>
      <c r="J181" s="1160">
        <v>3.66</v>
      </c>
      <c r="K181" s="1175"/>
      <c r="L181" s="1392">
        <f t="shared" si="31"/>
        <v>0</v>
      </c>
      <c r="M181" s="1176"/>
      <c r="N181" s="1160">
        <v>3.66</v>
      </c>
      <c r="O181" s="1175"/>
      <c r="P181" s="1393">
        <f t="shared" si="32"/>
        <v>0</v>
      </c>
      <c r="Q181" s="1176"/>
      <c r="R181" s="1138" t="str">
        <f>IFERROR(INDEX('[18]Gui chi Quynh'!$E$11:$E$397,MATCH(B181,'[18]Gui chi Quynh'!$B$11:$B$397,0)),"")</f>
        <v>A3</v>
      </c>
      <c r="S181" s="1138">
        <f t="shared" si="33"/>
        <v>0.6</v>
      </c>
      <c r="T181" s="1138" t="str">
        <f>VLOOKUP(B181,'[19]Gui chi Quynh'!$B$11:$E$397,4,FALSE)</f>
        <v>A DN</v>
      </c>
      <c r="U181" s="1138">
        <f t="shared" si="34"/>
        <v>0</v>
      </c>
      <c r="V181" s="1138" t="str">
        <f>VLOOKUP(B181,'[20]Gui chi Quynh'!$B$11:$E$396,4,FALSE)</f>
        <v>A3</v>
      </c>
      <c r="W181" s="1138">
        <f t="shared" si="35"/>
        <v>0.6</v>
      </c>
      <c r="X181" s="1138">
        <f>IFERROR(INDEX('[21]CN BC'!$J$10:$J$275,MATCH(B181,'[21]CN BC'!$H$10:$H$275,0)),"")</f>
        <v>21</v>
      </c>
      <c r="Y181" s="1138">
        <f>IFERROR(INDEX('[22]CN BC'!$J$10:$J$274,MATCH(B181,'[22]CN BC'!$H$10:$H$274,0)),"")</f>
        <v>0</v>
      </c>
      <c r="Z181" s="1138">
        <f>VLOOKUP(B181,'[23]CN BC'!$H$10:$J$275,3,FALSE)</f>
        <v>19</v>
      </c>
      <c r="AA181" s="1139">
        <f t="shared" si="36"/>
        <v>21</v>
      </c>
      <c r="AB181" s="1139">
        <f t="shared" si="37"/>
        <v>0</v>
      </c>
      <c r="AC181" s="1139">
        <f t="shared" si="38"/>
        <v>19</v>
      </c>
      <c r="AD181" s="1140"/>
      <c r="AE181" s="1141">
        <f t="shared" si="39"/>
        <v>9830442</v>
      </c>
      <c r="AF181" s="1519">
        <f t="shared" si="28"/>
        <v>4.2010435897435894</v>
      </c>
      <c r="AG181" s="1224">
        <v>2340000</v>
      </c>
      <c r="AH181" s="1521">
        <f t="shared" si="29"/>
        <v>9830442</v>
      </c>
      <c r="AI181" s="1142">
        <f t="shared" si="40"/>
        <v>164</v>
      </c>
      <c r="AJ181" s="1143">
        <f>IFERROR(INDEX('[17]CN BC'!$M$10:$M$276,MATCH(B181,'[17]CN BC'!$H$10:$H$276,0)),"")</f>
        <v>0</v>
      </c>
      <c r="AK181" s="1144" t="str">
        <f>VLOOKUP(B181,TH.T4!B183:AC513,28,FALSE)</f>
        <v>CNTT</v>
      </c>
      <c r="AL181" s="1130"/>
      <c r="AN181" s="1147"/>
    </row>
    <row r="182" spans="1:50" s="1146" customFormat="1" ht="26.25" customHeight="1">
      <c r="A182" s="1132">
        <f>_xlfn.AGGREGATE(4,7,A$17:A181)+1</f>
        <v>165</v>
      </c>
      <c r="B182" s="1172" t="s">
        <v>1883</v>
      </c>
      <c r="C182" s="1149" t="s">
        <v>1751</v>
      </c>
      <c r="D182" s="1173" t="s">
        <v>381</v>
      </c>
      <c r="E182" s="1058" t="str">
        <f>VLOOKUP(B182,TH.T6!B94:J424,9,FALSE)</f>
        <v>Phó Trưởng khoa CNTT</v>
      </c>
      <c r="F182" s="1178">
        <v>3.99</v>
      </c>
      <c r="G182" s="1175"/>
      <c r="H182" s="1392">
        <f t="shared" si="30"/>
        <v>0</v>
      </c>
      <c r="I182" s="1176">
        <v>0.35</v>
      </c>
      <c r="J182" s="1178">
        <v>3.99</v>
      </c>
      <c r="K182" s="1175"/>
      <c r="L182" s="1392">
        <f t="shared" si="31"/>
        <v>0</v>
      </c>
      <c r="M182" s="1176">
        <v>0.35</v>
      </c>
      <c r="N182" s="1178">
        <v>3.99</v>
      </c>
      <c r="O182" s="1175"/>
      <c r="P182" s="1393">
        <f t="shared" si="32"/>
        <v>0</v>
      </c>
      <c r="Q182" s="1176">
        <v>0.35</v>
      </c>
      <c r="R182" s="1138" t="str">
        <f>IFERROR(INDEX('[18]Gui chi Quynh'!$E$11:$E$397,MATCH(B182,'[18]Gui chi Quynh'!$B$11:$B$397,0)),"")</f>
        <v>A4</v>
      </c>
      <c r="S182" s="1138">
        <f t="shared" si="33"/>
        <v>0.5</v>
      </c>
      <c r="T182" s="1138" t="str">
        <f>VLOOKUP(B182,'[19]Gui chi Quynh'!$B$11:$E$397,4,FALSE)</f>
        <v>A4</v>
      </c>
      <c r="U182" s="1138">
        <f t="shared" si="34"/>
        <v>0.5</v>
      </c>
      <c r="V182" s="1138" t="str">
        <f>VLOOKUP(B182,'[20]Gui chi Quynh'!$B$11:$E$396,4,FALSE)</f>
        <v>A3</v>
      </c>
      <c r="W182" s="1138">
        <f t="shared" si="35"/>
        <v>0.6</v>
      </c>
      <c r="X182" s="1138">
        <f>IFERROR(INDEX('[21]CN BC'!$J$10:$J$275,MATCH(B182,'[21]CN BC'!$H$10:$H$275,0)),"")</f>
        <v>23</v>
      </c>
      <c r="Y182" s="1138">
        <f>IFERROR(INDEX('[22]CN BC'!$J$10:$J$274,MATCH(B182,'[22]CN BC'!$H$10:$H$274,0)),"")</f>
        <v>15</v>
      </c>
      <c r="Z182" s="1138">
        <f>VLOOKUP(B182,'[23]CN BC'!$H$10:$J$275,3,FALSE)</f>
        <v>19</v>
      </c>
      <c r="AA182" s="1139">
        <f t="shared" si="36"/>
        <v>23</v>
      </c>
      <c r="AB182" s="1139">
        <f t="shared" si="37"/>
        <v>15</v>
      </c>
      <c r="AC182" s="1139">
        <f t="shared" si="38"/>
        <v>19</v>
      </c>
      <c r="AD182" s="1140"/>
      <c r="AE182" s="1141">
        <f t="shared" si="39"/>
        <v>14633296</v>
      </c>
      <c r="AF182" s="1519">
        <f t="shared" si="28"/>
        <v>6.2535452991452996</v>
      </c>
      <c r="AG182" s="1224">
        <v>2340000</v>
      </c>
      <c r="AH182" s="1521">
        <f t="shared" si="29"/>
        <v>14633296.000000002</v>
      </c>
      <c r="AI182" s="1142">
        <f t="shared" si="40"/>
        <v>165</v>
      </c>
      <c r="AJ182" s="1143">
        <f>IFERROR(INDEX('[17]CN BC'!$M$10:$M$276,MATCH(B182,'[17]CN BC'!$H$10:$H$276,0)),"")</f>
        <v>0</v>
      </c>
      <c r="AK182" s="1144" t="str">
        <f>VLOOKUP(B182,TH.T4!B184:AC514,28,FALSE)</f>
        <v>CNTT</v>
      </c>
      <c r="AL182" s="1130"/>
      <c r="AN182" s="1147"/>
    </row>
    <row r="183" spans="1:50" s="1148" customFormat="1" ht="23.25" customHeight="1">
      <c r="A183" s="1132">
        <f>_xlfn.AGGREGATE(4,7,A$17:A182)+1</f>
        <v>166</v>
      </c>
      <c r="B183" s="1133" t="s">
        <v>1833</v>
      </c>
      <c r="C183" s="1153" t="s">
        <v>1966</v>
      </c>
      <c r="D183" s="1225">
        <v>1603215005649</v>
      </c>
      <c r="E183" s="1058" t="str">
        <f>VLOOKUP(B183,TH.T6!B95:J425,9,FALSE)</f>
        <v>Giảng viên khoa CNTT</v>
      </c>
      <c r="F183" s="1160">
        <v>3.66</v>
      </c>
      <c r="G183" s="1137"/>
      <c r="H183" s="1392">
        <f t="shared" si="30"/>
        <v>0</v>
      </c>
      <c r="I183" s="1138"/>
      <c r="J183" s="1160">
        <v>3.66</v>
      </c>
      <c r="K183" s="1137"/>
      <c r="L183" s="1392">
        <f t="shared" si="31"/>
        <v>0</v>
      </c>
      <c r="M183" s="1138"/>
      <c r="N183" s="1160">
        <v>3.66</v>
      </c>
      <c r="O183" s="1137"/>
      <c r="P183" s="1393">
        <f t="shared" si="32"/>
        <v>0</v>
      </c>
      <c r="Q183" s="1138"/>
      <c r="R183" s="1138" t="str">
        <f>IFERROR(INDEX('[18]Gui chi Quynh'!$E$11:$E$397,MATCH(B183,'[18]Gui chi Quynh'!$B$11:$B$397,0)),"")</f>
        <v>A4</v>
      </c>
      <c r="S183" s="1138">
        <f t="shared" si="33"/>
        <v>0.5</v>
      </c>
      <c r="T183" s="1138" t="str">
        <f>VLOOKUP(B183,'[19]Gui chi Quynh'!$B$11:$E$397,4,FALSE)</f>
        <v>A DN</v>
      </c>
      <c r="U183" s="1138">
        <f t="shared" si="34"/>
        <v>0</v>
      </c>
      <c r="V183" s="1138" t="str">
        <f>VLOOKUP(B183,'[20]Gui chi Quynh'!$B$11:$E$396,4,FALSE)</f>
        <v>A3</v>
      </c>
      <c r="W183" s="1138">
        <f t="shared" si="35"/>
        <v>0.6</v>
      </c>
      <c r="X183" s="1138">
        <f>IFERROR(INDEX('[21]CN BC'!$J$10:$J$275,MATCH(B183,'[21]CN BC'!$H$10:$H$275,0)),"")</f>
        <v>21</v>
      </c>
      <c r="Y183" s="1138">
        <f>IFERROR(INDEX('[22]CN BC'!$J$10:$J$274,MATCH(B183,'[22]CN BC'!$H$10:$H$274,0)),"")</f>
        <v>0</v>
      </c>
      <c r="Z183" s="1138">
        <f>VLOOKUP(B183,'[23]CN BC'!$H$10:$J$275,3,FALSE)</f>
        <v>19</v>
      </c>
      <c r="AA183" s="1139">
        <f t="shared" si="36"/>
        <v>21</v>
      </c>
      <c r="AB183" s="1139">
        <f t="shared" si="37"/>
        <v>0</v>
      </c>
      <c r="AC183" s="1139">
        <f t="shared" si="38"/>
        <v>19</v>
      </c>
      <c r="AD183" s="1140"/>
      <c r="AE183" s="1141">
        <f t="shared" si="39"/>
        <v>9048475</v>
      </c>
      <c r="AF183" s="1519">
        <f t="shared" si="28"/>
        <v>3.8668696581196582</v>
      </c>
      <c r="AG183" s="1224">
        <v>2340000</v>
      </c>
      <c r="AH183" s="1521">
        <f t="shared" si="29"/>
        <v>9048475</v>
      </c>
      <c r="AI183" s="1142">
        <f t="shared" si="40"/>
        <v>166</v>
      </c>
      <c r="AJ183" s="1143">
        <f>IFERROR(INDEX('[17]CN BC'!$M$10:$M$276,MATCH(B183,'[17]CN BC'!$H$10:$H$276,0)),"")</f>
        <v>0</v>
      </c>
      <c r="AK183" s="1144" t="str">
        <f>VLOOKUP(B183,TH.T4!B185:AC515,28,FALSE)</f>
        <v>CNTT</v>
      </c>
      <c r="AL183" s="1130"/>
      <c r="AM183" s="1146"/>
      <c r="AN183" s="1147"/>
    </row>
    <row r="184" spans="1:50" s="1148" customFormat="1" ht="29.25" customHeight="1">
      <c r="A184" s="1132">
        <f>_xlfn.AGGREGATE(4,7,A$17:A183)+1</f>
        <v>167</v>
      </c>
      <c r="B184" s="1133" t="s">
        <v>1884</v>
      </c>
      <c r="C184" s="1149" t="s">
        <v>1752</v>
      </c>
      <c r="D184" s="1154" t="s">
        <v>1345</v>
      </c>
      <c r="E184" s="1058" t="str">
        <f>VLOOKUP(B184,TH.T6!B96:J426,9,FALSE)</f>
        <v>Giảng viên khoa CNTT</v>
      </c>
      <c r="F184" s="1160">
        <v>3.99</v>
      </c>
      <c r="G184" s="1137"/>
      <c r="H184" s="1392">
        <f t="shared" si="30"/>
        <v>0</v>
      </c>
      <c r="I184" s="1138">
        <v>0.25</v>
      </c>
      <c r="J184" s="1160">
        <v>3.99</v>
      </c>
      <c r="K184" s="1137"/>
      <c r="L184" s="1392">
        <f t="shared" si="31"/>
        <v>0</v>
      </c>
      <c r="M184" s="1138">
        <v>0.25</v>
      </c>
      <c r="N184" s="1160">
        <v>3.99</v>
      </c>
      <c r="O184" s="1137"/>
      <c r="P184" s="1393">
        <f t="shared" si="32"/>
        <v>0</v>
      </c>
      <c r="Q184" s="1138">
        <v>0.25</v>
      </c>
      <c r="R184" s="1138" t="str">
        <f>IFERROR(INDEX('[18]Gui chi Quynh'!$E$11:$E$397,MATCH(B184,'[18]Gui chi Quynh'!$B$11:$B$397,0)),"")</f>
        <v>A4</v>
      </c>
      <c r="S184" s="1138">
        <f t="shared" si="33"/>
        <v>0.5</v>
      </c>
      <c r="T184" s="1138" t="str">
        <f>VLOOKUP(B184,'[19]Gui chi Quynh'!$B$11:$E$397,4,FALSE)</f>
        <v>A DN</v>
      </c>
      <c r="U184" s="1138">
        <f t="shared" si="34"/>
        <v>0</v>
      </c>
      <c r="V184" s="1138" t="str">
        <f>VLOOKUP(B184,'[20]Gui chi Quynh'!$B$11:$E$396,4,FALSE)</f>
        <v>A3</v>
      </c>
      <c r="W184" s="1138">
        <f t="shared" si="35"/>
        <v>0.6</v>
      </c>
      <c r="X184" s="1138">
        <f>IFERROR(INDEX('[21]CN BC'!$J$10:$J$275,MATCH(B184,'[21]CN BC'!$H$10:$H$275,0)),"")</f>
        <v>23</v>
      </c>
      <c r="Y184" s="1138">
        <f>IFERROR(INDEX('[22]CN BC'!$J$10:$J$274,MATCH(B184,'[22]CN BC'!$H$10:$H$274,0)),"")</f>
        <v>0</v>
      </c>
      <c r="Z184" s="1138">
        <f>VLOOKUP(B184,'[23]CN BC'!$H$10:$J$275,3,FALSE)</f>
        <v>19</v>
      </c>
      <c r="AA184" s="1139">
        <f t="shared" si="36"/>
        <v>23</v>
      </c>
      <c r="AB184" s="1139">
        <f t="shared" si="37"/>
        <v>0</v>
      </c>
      <c r="AC184" s="1139">
        <f t="shared" si="38"/>
        <v>19</v>
      </c>
      <c r="AD184" s="1140"/>
      <c r="AE184" s="1141">
        <f t="shared" si="39"/>
        <v>10913760</v>
      </c>
      <c r="AF184" s="1519">
        <f t="shared" si="28"/>
        <v>4.6639999999999997</v>
      </c>
      <c r="AG184" s="1224">
        <v>2340000</v>
      </c>
      <c r="AH184" s="1521">
        <f t="shared" si="29"/>
        <v>10913760</v>
      </c>
      <c r="AI184" s="1142">
        <f t="shared" si="40"/>
        <v>167</v>
      </c>
      <c r="AJ184" s="1143">
        <f>IFERROR(INDEX('[17]CN BC'!$M$10:$M$276,MATCH(B184,'[17]CN BC'!$H$10:$H$276,0)),"")</f>
        <v>0</v>
      </c>
      <c r="AK184" s="1144" t="str">
        <f>VLOOKUP(B184,TH.T4!B186:AC516,28,FALSE)</f>
        <v>CNTT</v>
      </c>
      <c r="AL184" s="1130"/>
      <c r="AM184" s="1146"/>
      <c r="AN184" s="1147"/>
      <c r="AO184" s="1146"/>
      <c r="AP184" s="1146"/>
      <c r="AQ184" s="1146"/>
      <c r="AR184" s="1146"/>
      <c r="AS184" s="1146"/>
      <c r="AT184" s="1146"/>
      <c r="AU184" s="1146"/>
      <c r="AV184" s="1146"/>
      <c r="AW184" s="1146"/>
      <c r="AX184" s="1146"/>
    </row>
    <row r="185" spans="1:50" s="1148" customFormat="1" ht="29.25" customHeight="1">
      <c r="A185" s="1132">
        <f>_xlfn.AGGREGATE(4,7,A$17:A184)+1</f>
        <v>168</v>
      </c>
      <c r="B185" s="1215" t="s">
        <v>1517</v>
      </c>
      <c r="C185" s="1216" t="s">
        <v>1753</v>
      </c>
      <c r="D185" s="1370">
        <v>1603205286594</v>
      </c>
      <c r="E185" s="579" t="str">
        <f>VLOOKUP(B185,TH.T6!B97:J427,9,FALSE)</f>
        <v>Giảng viên khoa CNTT</v>
      </c>
      <c r="F185" s="1358">
        <v>3.33</v>
      </c>
      <c r="G185" s="1218"/>
      <c r="H185" s="1394">
        <f t="shared" si="30"/>
        <v>0</v>
      </c>
      <c r="I185" s="1219"/>
      <c r="J185" s="1358">
        <v>3.33</v>
      </c>
      <c r="K185" s="1218"/>
      <c r="L185" s="1394">
        <f t="shared" si="31"/>
        <v>0</v>
      </c>
      <c r="M185" s="1219"/>
      <c r="N185" s="1358">
        <v>3.66</v>
      </c>
      <c r="O185" s="1218"/>
      <c r="P185" s="1395">
        <f t="shared" si="32"/>
        <v>0</v>
      </c>
      <c r="Q185" s="1219"/>
      <c r="R185" s="1219" t="str">
        <f>IFERROR(INDEX('[18]Gui chi Quynh'!$E$11:$E$397,MATCH(B185,'[18]Gui chi Quynh'!$B$11:$B$397,0)),"")</f>
        <v>A3</v>
      </c>
      <c r="S185" s="1219">
        <f t="shared" si="33"/>
        <v>0.6</v>
      </c>
      <c r="T185" s="1219" t="str">
        <f>VLOOKUP(B185,'[19]Gui chi Quynh'!$B$11:$E$397,4,FALSE)</f>
        <v>A DN</v>
      </c>
      <c r="U185" s="1219">
        <f t="shared" si="34"/>
        <v>0</v>
      </c>
      <c r="V185" s="1219" t="str">
        <f>VLOOKUP(B185,'[20]Gui chi Quynh'!$B$11:$E$396,4,FALSE)</f>
        <v>A3</v>
      </c>
      <c r="W185" s="1219">
        <f t="shared" si="35"/>
        <v>0.6</v>
      </c>
      <c r="X185" s="1219">
        <f>IFERROR(INDEX('[21]CN BC'!$J$10:$J$275,MATCH(B185,'[21]CN BC'!$H$10:$H$275,0)),"")</f>
        <v>23</v>
      </c>
      <c r="Y185" s="1219">
        <f>IFERROR(INDEX('[22]CN BC'!$J$10:$J$274,MATCH(B185,'[22]CN BC'!$H$10:$H$274,0)),"")</f>
        <v>0</v>
      </c>
      <c r="Z185" s="1219">
        <f>VLOOKUP(B185,'[23]CN BC'!$H$10:$J$275,3,FALSE)</f>
        <v>19</v>
      </c>
      <c r="AA185" s="1348">
        <f t="shared" si="36"/>
        <v>23</v>
      </c>
      <c r="AB185" s="1348">
        <f t="shared" si="37"/>
        <v>0</v>
      </c>
      <c r="AC185" s="1348">
        <f t="shared" si="38"/>
        <v>19</v>
      </c>
      <c r="AD185" s="1220"/>
      <c r="AE185" s="1349">
        <f t="shared" si="39"/>
        <v>9813960</v>
      </c>
      <c r="AF185" s="1548">
        <f t="shared" si="28"/>
        <v>4.194</v>
      </c>
      <c r="AG185" s="1359">
        <v>2340000</v>
      </c>
      <c r="AH185" s="1549">
        <f t="shared" si="29"/>
        <v>9813960</v>
      </c>
      <c r="AI185" s="1221">
        <f t="shared" si="40"/>
        <v>168</v>
      </c>
      <c r="AJ185" s="1350" t="s">
        <v>2363</v>
      </c>
      <c r="AK185" s="1144" t="str">
        <f>VLOOKUP(B185,TH.T4!B187:AC517,28,FALSE)</f>
        <v>CNTT</v>
      </c>
      <c r="AL185" s="1130"/>
      <c r="AM185" s="1146"/>
      <c r="AN185" s="1158"/>
    </row>
    <row r="186" spans="1:50" s="1148" customFormat="1" ht="28.5" customHeight="1">
      <c r="A186" s="1132">
        <f>_xlfn.AGGREGATE(4,7,A$17:A185)+1</f>
        <v>169</v>
      </c>
      <c r="B186" s="1215" t="s">
        <v>1518</v>
      </c>
      <c r="C186" s="1216" t="s">
        <v>1754</v>
      </c>
      <c r="D186" s="1347" t="s">
        <v>1346</v>
      </c>
      <c r="E186" s="579" t="str">
        <f>VLOOKUP(B186,TH.T6!B98:J428,9,FALSE)</f>
        <v>Giảng viên khoa CNTT</v>
      </c>
      <c r="F186" s="1217">
        <v>3.99</v>
      </c>
      <c r="G186" s="1218"/>
      <c r="H186" s="1394">
        <f t="shared" si="30"/>
        <v>0</v>
      </c>
      <c r="I186" s="1219"/>
      <c r="J186" s="1217">
        <v>3.99</v>
      </c>
      <c r="K186" s="1218"/>
      <c r="L186" s="1394">
        <f t="shared" si="31"/>
        <v>0</v>
      </c>
      <c r="M186" s="1219"/>
      <c r="N186" s="1217">
        <v>4.32</v>
      </c>
      <c r="O186" s="1218"/>
      <c r="P186" s="1395">
        <f t="shared" si="32"/>
        <v>0</v>
      </c>
      <c r="Q186" s="1219"/>
      <c r="R186" s="1219" t="str">
        <f>IFERROR(INDEX('[18]Gui chi Quynh'!$E$11:$E$397,MATCH(B186,'[18]Gui chi Quynh'!$B$11:$B$397,0)),"")</f>
        <v>A4</v>
      </c>
      <c r="S186" s="1219">
        <f t="shared" si="33"/>
        <v>0.5</v>
      </c>
      <c r="T186" s="1219" t="str">
        <f>VLOOKUP(B186,'[19]Gui chi Quynh'!$B$11:$E$397,4,FALSE)</f>
        <v>A DN</v>
      </c>
      <c r="U186" s="1219">
        <f t="shared" si="34"/>
        <v>0</v>
      </c>
      <c r="V186" s="1219" t="str">
        <f>VLOOKUP(B186,'[20]Gui chi Quynh'!$B$11:$E$396,4,FALSE)</f>
        <v>A3</v>
      </c>
      <c r="W186" s="1219">
        <f t="shared" si="35"/>
        <v>0.6</v>
      </c>
      <c r="X186" s="1219">
        <f>IFERROR(INDEX('[21]CN BC'!$J$10:$J$275,MATCH(B186,'[21]CN BC'!$H$10:$H$275,0)),"")</f>
        <v>23</v>
      </c>
      <c r="Y186" s="1219">
        <f>IFERROR(INDEX('[22]CN BC'!$J$10:$J$274,MATCH(B186,'[22]CN BC'!$H$10:$H$274,0)),"")</f>
        <v>0</v>
      </c>
      <c r="Z186" s="1219">
        <f>VLOOKUP(B186,'[23]CN BC'!$H$10:$J$275,3,FALSE)</f>
        <v>19</v>
      </c>
      <c r="AA186" s="1348">
        <f t="shared" si="36"/>
        <v>23</v>
      </c>
      <c r="AB186" s="1348">
        <f t="shared" si="37"/>
        <v>0</v>
      </c>
      <c r="AC186" s="1348">
        <f t="shared" si="38"/>
        <v>19</v>
      </c>
      <c r="AD186" s="1220"/>
      <c r="AE186" s="1349">
        <f t="shared" si="39"/>
        <v>10733580</v>
      </c>
      <c r="AF186" s="1548">
        <f t="shared" si="28"/>
        <v>4.5869999999999997</v>
      </c>
      <c r="AG186" s="1359">
        <v>2340000</v>
      </c>
      <c r="AH186" s="1549">
        <f t="shared" si="29"/>
        <v>10733580</v>
      </c>
      <c r="AI186" s="1221">
        <f t="shared" si="40"/>
        <v>169</v>
      </c>
      <c r="AJ186" s="1350" t="s">
        <v>2363</v>
      </c>
      <c r="AK186" s="1144" t="str">
        <f>VLOOKUP(B186,TH.T4!B188:AC518,28,FALSE)</f>
        <v>CNTT</v>
      </c>
      <c r="AL186" s="1130"/>
      <c r="AM186" s="1146"/>
      <c r="AN186" s="1147"/>
      <c r="AO186" s="1146"/>
      <c r="AP186" s="1146"/>
      <c r="AQ186" s="1146"/>
      <c r="AR186" s="1146"/>
      <c r="AS186" s="1146"/>
      <c r="AT186" s="1146"/>
      <c r="AU186" s="1146"/>
      <c r="AV186" s="1146"/>
      <c r="AW186" s="1146"/>
      <c r="AX186" s="1146"/>
    </row>
    <row r="187" spans="1:50" s="1148" customFormat="1" ht="28.5" customHeight="1">
      <c r="A187" s="1132">
        <f>_xlfn.AGGREGATE(4,7,A$17:A186)+1</f>
        <v>170</v>
      </c>
      <c r="B187" s="1215" t="s">
        <v>1519</v>
      </c>
      <c r="C187" s="1216" t="s">
        <v>1755</v>
      </c>
      <c r="D187" s="1347" t="s">
        <v>771</v>
      </c>
      <c r="E187" s="579" t="str">
        <f>VLOOKUP(B187,TH.T6!B99:J429,9,FALSE)</f>
        <v>Giảng viên khoa CNTT</v>
      </c>
      <c r="F187" s="1358">
        <v>3.66</v>
      </c>
      <c r="G187" s="1218"/>
      <c r="H187" s="1394">
        <f t="shared" si="30"/>
        <v>0</v>
      </c>
      <c r="I187" s="1219"/>
      <c r="J187" s="1358">
        <v>3.66</v>
      </c>
      <c r="K187" s="1218"/>
      <c r="L187" s="1394">
        <f t="shared" si="31"/>
        <v>0</v>
      </c>
      <c r="M187" s="1219"/>
      <c r="N187" s="1358">
        <v>3.99</v>
      </c>
      <c r="O187" s="1218"/>
      <c r="P187" s="1395">
        <f t="shared" si="32"/>
        <v>0</v>
      </c>
      <c r="Q187" s="1219"/>
      <c r="R187" s="1219" t="str">
        <f>IFERROR(INDEX('[18]Gui chi Quynh'!$E$11:$E$397,MATCH(B187,'[18]Gui chi Quynh'!$B$11:$B$397,0)),"")</f>
        <v>A3</v>
      </c>
      <c r="S187" s="1219">
        <f t="shared" si="33"/>
        <v>0.6</v>
      </c>
      <c r="T187" s="1219" t="str">
        <f>VLOOKUP(B187,'[19]Gui chi Quynh'!$B$11:$E$397,4,FALSE)</f>
        <v>A DN</v>
      </c>
      <c r="U187" s="1219">
        <f t="shared" si="34"/>
        <v>0</v>
      </c>
      <c r="V187" s="1219" t="str">
        <f>VLOOKUP(B187,'[20]Gui chi Quynh'!$B$11:$E$396,4,FALSE)</f>
        <v>A3</v>
      </c>
      <c r="W187" s="1219">
        <f t="shared" si="35"/>
        <v>0.6</v>
      </c>
      <c r="X187" s="1219">
        <f>IFERROR(INDEX('[21]CN BC'!$J$10:$J$275,MATCH(B187,'[21]CN BC'!$H$10:$H$275,0)),"")</f>
        <v>21</v>
      </c>
      <c r="Y187" s="1219">
        <f>IFERROR(INDEX('[22]CN BC'!$J$10:$J$274,MATCH(B187,'[22]CN BC'!$H$10:$H$274,0)),"")</f>
        <v>0</v>
      </c>
      <c r="Z187" s="1219">
        <f>VLOOKUP(B187,'[23]CN BC'!$H$10:$J$275,3,FALSE)</f>
        <v>19</v>
      </c>
      <c r="AA187" s="1348">
        <f t="shared" si="36"/>
        <v>21</v>
      </c>
      <c r="AB187" s="1348">
        <f t="shared" si="37"/>
        <v>0</v>
      </c>
      <c r="AC187" s="1348">
        <f t="shared" si="38"/>
        <v>19</v>
      </c>
      <c r="AD187" s="1220"/>
      <c r="AE187" s="1349">
        <f t="shared" si="39"/>
        <v>10293762</v>
      </c>
      <c r="AF187" s="1548">
        <f t="shared" si="28"/>
        <v>4.3990435897435898</v>
      </c>
      <c r="AG187" s="1359">
        <v>2340000</v>
      </c>
      <c r="AH187" s="1549">
        <f t="shared" si="29"/>
        <v>10293762</v>
      </c>
      <c r="AI187" s="1221">
        <f t="shared" si="40"/>
        <v>170</v>
      </c>
      <c r="AJ187" s="1350" t="s">
        <v>2363</v>
      </c>
      <c r="AK187" s="1144" t="str">
        <f>VLOOKUP(B187,TH.T4!B189:AC519,28,FALSE)</f>
        <v>CNTT</v>
      </c>
      <c r="AL187" s="1130"/>
      <c r="AM187" s="1146"/>
      <c r="AN187" s="1147"/>
      <c r="AO187" s="1146"/>
      <c r="AP187" s="1146"/>
      <c r="AQ187" s="1146"/>
      <c r="AR187" s="1146"/>
      <c r="AS187" s="1146"/>
      <c r="AT187" s="1146"/>
      <c r="AU187" s="1146"/>
      <c r="AV187" s="1146"/>
      <c r="AW187" s="1146"/>
      <c r="AX187" s="1146"/>
    </row>
    <row r="188" spans="1:50" s="1148" customFormat="1" ht="25.5" customHeight="1">
      <c r="A188" s="1132">
        <f>_xlfn.AGGREGATE(4,7,A$17:A187)+1</f>
        <v>171</v>
      </c>
      <c r="B188" s="1133" t="s">
        <v>1520</v>
      </c>
      <c r="C188" s="1153" t="s">
        <v>1756</v>
      </c>
      <c r="D188" s="1226" t="s">
        <v>1593</v>
      </c>
      <c r="E188" s="1058" t="str">
        <f>VLOOKUP(B188,TH.T6!B100:J430,9,FALSE)</f>
        <v>Giảng viên khoa CNTT</v>
      </c>
      <c r="F188" s="1160">
        <v>3.99</v>
      </c>
      <c r="G188" s="1137"/>
      <c r="H188" s="1392">
        <f t="shared" si="30"/>
        <v>0</v>
      </c>
      <c r="I188" s="1138">
        <v>0.25</v>
      </c>
      <c r="J188" s="1160">
        <v>3.99</v>
      </c>
      <c r="K188" s="1137"/>
      <c r="L188" s="1392">
        <f t="shared" si="31"/>
        <v>0</v>
      </c>
      <c r="M188" s="1138">
        <v>0.25</v>
      </c>
      <c r="N188" s="1160">
        <v>3.99</v>
      </c>
      <c r="O188" s="1137"/>
      <c r="P188" s="1393">
        <f t="shared" si="32"/>
        <v>0</v>
      </c>
      <c r="Q188" s="1138">
        <v>0.25</v>
      </c>
      <c r="R188" s="1138" t="str">
        <f>IFERROR(INDEX('[18]Gui chi Quynh'!$E$11:$E$397,MATCH(B188,'[18]Gui chi Quynh'!$B$11:$B$397,0)),"")</f>
        <v>A4</v>
      </c>
      <c r="S188" s="1138">
        <f t="shared" si="33"/>
        <v>0.5</v>
      </c>
      <c r="T188" s="1138" t="str">
        <f>VLOOKUP(B188,'[19]Gui chi Quynh'!$B$11:$E$397,4,FALSE)</f>
        <v>A DN</v>
      </c>
      <c r="U188" s="1138">
        <f t="shared" si="34"/>
        <v>0</v>
      </c>
      <c r="V188" s="1138" t="str">
        <f>VLOOKUP(B188,'[20]Gui chi Quynh'!$B$11:$E$396,4,FALSE)</f>
        <v>A3</v>
      </c>
      <c r="W188" s="1138">
        <f t="shared" si="35"/>
        <v>0.6</v>
      </c>
      <c r="X188" s="1138">
        <f>IFERROR(INDEX('[21]CN BC'!$J$10:$J$275,MATCH(B188,'[21]CN BC'!$H$10:$H$275,0)),"")</f>
        <v>23</v>
      </c>
      <c r="Y188" s="1138">
        <f>IFERROR(INDEX('[22]CN BC'!$J$10:$J$274,MATCH(B188,'[22]CN BC'!$H$10:$H$274,0)),"")</f>
        <v>0</v>
      </c>
      <c r="Z188" s="1138">
        <f>VLOOKUP(B188,'[23]CN BC'!$H$10:$J$275,3,FALSE)</f>
        <v>19</v>
      </c>
      <c r="AA188" s="1139">
        <f t="shared" si="36"/>
        <v>23</v>
      </c>
      <c r="AB188" s="1139">
        <f t="shared" si="37"/>
        <v>0</v>
      </c>
      <c r="AC188" s="1139">
        <f t="shared" si="38"/>
        <v>19</v>
      </c>
      <c r="AD188" s="1140"/>
      <c r="AE188" s="1141">
        <f t="shared" si="39"/>
        <v>10913760</v>
      </c>
      <c r="AF188" s="1519">
        <f t="shared" si="28"/>
        <v>4.6639999999999997</v>
      </c>
      <c r="AG188" s="1224">
        <v>2340000</v>
      </c>
      <c r="AH188" s="1521">
        <f t="shared" si="29"/>
        <v>10913760</v>
      </c>
      <c r="AI188" s="1142">
        <f t="shared" si="40"/>
        <v>171</v>
      </c>
      <c r="AJ188" s="1143">
        <f>IFERROR(INDEX('[17]CN BC'!$M$10:$M$276,MATCH(B188,'[17]CN BC'!$H$10:$H$276,0)),"")</f>
        <v>0</v>
      </c>
      <c r="AK188" s="1144" t="str">
        <f>VLOOKUP(B188,TH.T4!B190:AC520,28,FALSE)</f>
        <v>CNTT</v>
      </c>
      <c r="AL188" s="1171"/>
      <c r="AN188" s="1158"/>
    </row>
    <row r="189" spans="1:50" s="1148" customFormat="1" ht="28.5" customHeight="1">
      <c r="A189" s="1132">
        <f>_xlfn.AGGREGATE(4,7,A$17:A188)+1</f>
        <v>172</v>
      </c>
      <c r="B189" s="1133" t="s">
        <v>1467</v>
      </c>
      <c r="C189" s="1153" t="s">
        <v>1674</v>
      </c>
      <c r="D189" s="1154" t="s">
        <v>1343</v>
      </c>
      <c r="E189" s="1058" t="str">
        <f>VLOOKUP(B189,TH.T6!B101:J431,9,FALSE)</f>
        <v>Giảng viên khoa CNTT</v>
      </c>
      <c r="F189" s="1136">
        <v>4.32</v>
      </c>
      <c r="G189" s="1137"/>
      <c r="H189" s="1392">
        <f t="shared" si="30"/>
        <v>0</v>
      </c>
      <c r="I189" s="1138"/>
      <c r="J189" s="1136">
        <v>4.32</v>
      </c>
      <c r="K189" s="1137"/>
      <c r="L189" s="1392">
        <f t="shared" si="31"/>
        <v>0</v>
      </c>
      <c r="M189" s="1138"/>
      <c r="N189" s="1136">
        <v>4.32</v>
      </c>
      <c r="O189" s="1137"/>
      <c r="P189" s="1393">
        <f t="shared" si="32"/>
        <v>0</v>
      </c>
      <c r="Q189" s="1138"/>
      <c r="R189" s="1138" t="str">
        <f>IFERROR(INDEX('[18]Gui chi Quynh'!$E$11:$E$397,MATCH(B189,'[18]Gui chi Quynh'!$B$11:$B$397,0)),"")</f>
        <v>A4</v>
      </c>
      <c r="S189" s="1138">
        <f t="shared" si="33"/>
        <v>0.5</v>
      </c>
      <c r="T189" s="1138" t="str">
        <f>VLOOKUP(B189,'[19]Gui chi Quynh'!$B$11:$E$397,4,FALSE)</f>
        <v>A DN</v>
      </c>
      <c r="U189" s="1138">
        <f t="shared" si="34"/>
        <v>0</v>
      </c>
      <c r="V189" s="1138" t="str">
        <f>VLOOKUP(B189,'[20]Gui chi Quynh'!$B$11:$E$396,4,FALSE)</f>
        <v>A3</v>
      </c>
      <c r="W189" s="1138">
        <f t="shared" si="35"/>
        <v>0.6</v>
      </c>
      <c r="X189" s="1138">
        <f>IFERROR(INDEX('[21]CN BC'!$J$10:$J$275,MATCH(B189,'[21]CN BC'!$H$10:$H$275,0)),"")</f>
        <v>23</v>
      </c>
      <c r="Y189" s="1138">
        <f>IFERROR(INDEX('[22]CN BC'!$J$10:$J$274,MATCH(B189,'[22]CN BC'!$H$10:$H$274,0)),"")</f>
        <v>0</v>
      </c>
      <c r="Z189" s="1138">
        <f>VLOOKUP(B189,'[23]CN BC'!$H$10:$J$275,3,FALSE)</f>
        <v>19</v>
      </c>
      <c r="AA189" s="1139">
        <f t="shared" si="36"/>
        <v>23</v>
      </c>
      <c r="AB189" s="1139">
        <f t="shared" si="37"/>
        <v>0</v>
      </c>
      <c r="AC189" s="1139">
        <f t="shared" si="38"/>
        <v>19</v>
      </c>
      <c r="AD189" s="1140"/>
      <c r="AE189" s="1141">
        <f t="shared" si="39"/>
        <v>11119680</v>
      </c>
      <c r="AF189" s="1519">
        <f t="shared" si="28"/>
        <v>4.7519999999999998</v>
      </c>
      <c r="AG189" s="1224">
        <v>2340000</v>
      </c>
      <c r="AH189" s="1521">
        <f t="shared" si="29"/>
        <v>11119680</v>
      </c>
      <c r="AI189" s="1142">
        <f t="shared" si="40"/>
        <v>172</v>
      </c>
      <c r="AJ189" s="1143">
        <f>IFERROR(INDEX('[17]CN BC'!$M$10:$M$276,MATCH(B189,'[17]CN BC'!$H$10:$H$276,0)),"")</f>
        <v>0</v>
      </c>
      <c r="AK189" s="1144" t="str">
        <f>VLOOKUP(B189,TH.T4!B191:AC521,28,FALSE)</f>
        <v>CNTT</v>
      </c>
      <c r="AL189" s="1130"/>
      <c r="AM189" s="1146"/>
      <c r="AN189" s="1147">
        <f>3.68*1490000*1.4</f>
        <v>7676479.9999999991</v>
      </c>
      <c r="AO189" s="1146"/>
      <c r="AP189" s="1146"/>
      <c r="AQ189" s="1146"/>
      <c r="AR189" s="1146"/>
      <c r="AS189" s="1146"/>
      <c r="AT189" s="1146"/>
    </row>
    <row r="190" spans="1:50" s="1148" customFormat="1" ht="28.5" customHeight="1">
      <c r="A190" s="1132">
        <f>_xlfn.AGGREGATE(4,7,A$17:A189)+1</f>
        <v>173</v>
      </c>
      <c r="B190" s="1133" t="s">
        <v>2011</v>
      </c>
      <c r="C190" s="1153"/>
      <c r="D190" s="1154"/>
      <c r="E190" s="1058" t="str">
        <f>VLOOKUP(B190,TH.T6!B102:J432,9,FALSE)</f>
        <v>Giảng viên khoa CNTT</v>
      </c>
      <c r="F190" s="1136">
        <v>2.67</v>
      </c>
      <c r="G190" s="1137"/>
      <c r="H190" s="1392">
        <f t="shared" si="30"/>
        <v>0</v>
      </c>
      <c r="I190" s="1138"/>
      <c r="J190" s="1136">
        <v>2.67</v>
      </c>
      <c r="K190" s="1137"/>
      <c r="L190" s="1392">
        <f t="shared" si="31"/>
        <v>0</v>
      </c>
      <c r="M190" s="1138"/>
      <c r="N190" s="1136">
        <v>2.67</v>
      </c>
      <c r="O190" s="1137"/>
      <c r="P190" s="1393">
        <f t="shared" si="32"/>
        <v>0</v>
      </c>
      <c r="Q190" s="1138"/>
      <c r="R190" s="1138" t="str">
        <f>IFERROR(INDEX('[18]Gui chi Quynh'!$E$11:$E$397,MATCH(B190,'[18]Gui chi Quynh'!$B$11:$B$397,0)),"")</f>
        <v>A3</v>
      </c>
      <c r="S190" s="1138">
        <f t="shared" si="33"/>
        <v>0.6</v>
      </c>
      <c r="T190" s="1138" t="str">
        <f>VLOOKUP(B190,'[19]Gui chi Quynh'!$B$11:$E$397,4,FALSE)</f>
        <v>A DN</v>
      </c>
      <c r="U190" s="1138">
        <f t="shared" si="34"/>
        <v>0</v>
      </c>
      <c r="V190" s="1138" t="str">
        <f>VLOOKUP(B190,'[20]Gui chi Quynh'!$B$11:$E$396,4,FALSE)</f>
        <v>A3</v>
      </c>
      <c r="W190" s="1138">
        <f t="shared" si="35"/>
        <v>0.6</v>
      </c>
      <c r="X190" s="1138">
        <f>IFERROR(INDEX('[21]CN BC'!$J$10:$J$275,MATCH(B190,'[21]CN BC'!$H$10:$H$275,0)),"")</f>
        <v>23</v>
      </c>
      <c r="Y190" s="1138">
        <f>IFERROR(INDEX('[22]CN BC'!$J$10:$J$274,MATCH(B190,'[22]CN BC'!$H$10:$H$274,0)),"")</f>
        <v>0</v>
      </c>
      <c r="Z190" s="1138">
        <f>VLOOKUP(B190,'[23]CN BC'!$H$10:$J$275,3,FALSE)</f>
        <v>19</v>
      </c>
      <c r="AA190" s="1139">
        <f t="shared" si="36"/>
        <v>23</v>
      </c>
      <c r="AB190" s="1139">
        <f t="shared" si="37"/>
        <v>0</v>
      </c>
      <c r="AC190" s="1139">
        <f t="shared" si="38"/>
        <v>19</v>
      </c>
      <c r="AD190" s="1140"/>
      <c r="AE190" s="1141">
        <f t="shared" si="39"/>
        <v>7497360</v>
      </c>
      <c r="AF190" s="1519">
        <f t="shared" si="28"/>
        <v>3.2040000000000002</v>
      </c>
      <c r="AG190" s="1224">
        <v>2340000</v>
      </c>
      <c r="AH190" s="1521">
        <f t="shared" si="29"/>
        <v>7497360</v>
      </c>
      <c r="AI190" s="1142">
        <f t="shared" si="40"/>
        <v>173</v>
      </c>
      <c r="AJ190" s="1143">
        <f>IFERROR(INDEX('[17]CN BC'!$M$10:$M$276,MATCH(B190,'[17]CN BC'!$H$10:$H$276,0)),"")</f>
        <v>0</v>
      </c>
      <c r="AK190" s="1144" t="str">
        <f>VLOOKUP(B190,TH.T4!B192:AC522,28,FALSE)</f>
        <v>CNTT</v>
      </c>
      <c r="AL190" s="1171"/>
      <c r="AN190" s="1158"/>
    </row>
    <row r="191" spans="1:50" s="1148" customFormat="1" ht="28.5" customHeight="1">
      <c r="A191" s="1132">
        <f>_xlfn.AGGREGATE(4,7,A$17:A190)+1</f>
        <v>174</v>
      </c>
      <c r="B191" s="1133" t="s">
        <v>2017</v>
      </c>
      <c r="C191" s="1153"/>
      <c r="D191" s="1154"/>
      <c r="E191" s="1058" t="str">
        <f>VLOOKUP(B191,TH.T6!B103:J433,9,FALSE)</f>
        <v>Giảng viên khoa CNTT</v>
      </c>
      <c r="F191" s="1136">
        <v>1.9890000000000001</v>
      </c>
      <c r="G191" s="1137"/>
      <c r="H191" s="1392">
        <f t="shared" si="30"/>
        <v>0</v>
      </c>
      <c r="I191" s="1138"/>
      <c r="J191" s="1136">
        <v>1.9890000000000001</v>
      </c>
      <c r="K191" s="1137"/>
      <c r="L191" s="1392">
        <f t="shared" si="31"/>
        <v>0</v>
      </c>
      <c r="M191" s="1138"/>
      <c r="N191" s="1136">
        <v>1.9890000000000001</v>
      </c>
      <c r="O191" s="1137"/>
      <c r="P191" s="1393">
        <f t="shared" si="32"/>
        <v>0</v>
      </c>
      <c r="Q191" s="1138"/>
      <c r="R191" s="1138" t="str">
        <f>IFERROR(INDEX('[18]Gui chi Quynh'!$E$11:$E$397,MATCH(B191,'[18]Gui chi Quynh'!$B$11:$B$397,0)),"")</f>
        <v>A3</v>
      </c>
      <c r="S191" s="1138">
        <f t="shared" si="33"/>
        <v>0.6</v>
      </c>
      <c r="T191" s="1138" t="str">
        <f>VLOOKUP(B191,'[19]Gui chi Quynh'!$B$11:$E$397,4,FALSE)</f>
        <v>A DN</v>
      </c>
      <c r="U191" s="1138">
        <f t="shared" si="34"/>
        <v>0</v>
      </c>
      <c r="V191" s="1138" t="str">
        <f>VLOOKUP(B191,'[20]Gui chi Quynh'!$B$11:$E$396,4,FALSE)</f>
        <v>A3</v>
      </c>
      <c r="W191" s="1138">
        <f t="shared" si="35"/>
        <v>0.6</v>
      </c>
      <c r="X191" s="1138">
        <f>IFERROR(INDEX('[21]CN BC'!$J$10:$J$275,MATCH(B191,'[21]CN BC'!$H$10:$H$275,0)),"")</f>
        <v>23</v>
      </c>
      <c r="Y191" s="1138">
        <f>IFERROR(INDEX('[22]CN BC'!$J$10:$J$274,MATCH(B191,'[22]CN BC'!$H$10:$H$274,0)),"")</f>
        <v>0</v>
      </c>
      <c r="Z191" s="1138">
        <f>VLOOKUP(B191,'[23]CN BC'!$H$10:$J$275,3,FALSE)</f>
        <v>19</v>
      </c>
      <c r="AA191" s="1139">
        <f t="shared" si="36"/>
        <v>23</v>
      </c>
      <c r="AB191" s="1139">
        <f t="shared" si="37"/>
        <v>0</v>
      </c>
      <c r="AC191" s="1139">
        <f t="shared" si="38"/>
        <v>19</v>
      </c>
      <c r="AD191" s="1140"/>
      <c r="AE191" s="1141">
        <f t="shared" si="39"/>
        <v>5585112</v>
      </c>
      <c r="AF191" s="1519">
        <f t="shared" si="28"/>
        <v>2.3868</v>
      </c>
      <c r="AG191" s="1224">
        <v>2340000</v>
      </c>
      <c r="AH191" s="1521">
        <f t="shared" si="29"/>
        <v>5585112</v>
      </c>
      <c r="AI191" s="1142">
        <f t="shared" si="40"/>
        <v>174</v>
      </c>
      <c r="AJ191" s="1143">
        <f>IFERROR(INDEX('[17]CN BC'!$M$10:$M$276,MATCH(B191,'[17]CN BC'!$H$10:$H$276,0)),"")</f>
        <v>0</v>
      </c>
      <c r="AK191" s="1144" t="str">
        <f>VLOOKUP(B191,TH.T4!B193:AC523,28,FALSE)</f>
        <v>CNTT</v>
      </c>
      <c r="AL191" s="1171"/>
      <c r="AN191" s="1158"/>
    </row>
    <row r="192" spans="1:50" s="1148" customFormat="1" ht="28.5" customHeight="1">
      <c r="A192" s="1132">
        <f>_xlfn.AGGREGATE(4,7,A$17:A191)+1</f>
        <v>175</v>
      </c>
      <c r="B192" s="1133" t="s">
        <v>1885</v>
      </c>
      <c r="C192" s="1153" t="s">
        <v>1757</v>
      </c>
      <c r="D192" s="1154" t="s">
        <v>1368</v>
      </c>
      <c r="E192" s="1058" t="str">
        <f>VLOOKUP(B192,TH.T6!B104:J434,9,FALSE)</f>
        <v>Trưởng khoa Cơ khí</v>
      </c>
      <c r="F192" s="1136">
        <v>4.6500000000000004</v>
      </c>
      <c r="G192" s="1137"/>
      <c r="H192" s="1392">
        <f t="shared" si="30"/>
        <v>0</v>
      </c>
      <c r="I192" s="1138">
        <v>0.45</v>
      </c>
      <c r="J192" s="1136">
        <v>4.6500000000000004</v>
      </c>
      <c r="K192" s="1137"/>
      <c r="L192" s="1392">
        <f t="shared" si="31"/>
        <v>0</v>
      </c>
      <c r="M192" s="1138">
        <v>0.45</v>
      </c>
      <c r="N192" s="1136">
        <v>4.6500000000000004</v>
      </c>
      <c r="O192" s="1137"/>
      <c r="P192" s="1393">
        <f t="shared" si="32"/>
        <v>0</v>
      </c>
      <c r="Q192" s="1138">
        <v>0.45</v>
      </c>
      <c r="R192" s="1138" t="str">
        <f>IFERROR(INDEX('[18]Gui chi Quynh'!$E$11:$E$397,MATCH(B192,'[18]Gui chi Quynh'!$B$11:$B$397,0)),"")</f>
        <v>A1</v>
      </c>
      <c r="S192" s="1138">
        <f t="shared" si="33"/>
        <v>0.8</v>
      </c>
      <c r="T192" s="1138" t="str">
        <f>VLOOKUP(B192,'[19]Gui chi Quynh'!$B$11:$E$397,4,FALSE)</f>
        <v>A2</v>
      </c>
      <c r="U192" s="1138">
        <f t="shared" si="34"/>
        <v>0.7</v>
      </c>
      <c r="V192" s="1138" t="str">
        <f>VLOOKUP(B192,'[20]Gui chi Quynh'!$B$11:$E$396,4,FALSE)</f>
        <v>A1</v>
      </c>
      <c r="W192" s="1138">
        <f t="shared" si="35"/>
        <v>0.8</v>
      </c>
      <c r="X192" s="1138">
        <f>IFERROR(INDEX('[21]CN BC'!$J$10:$J$275,MATCH(B192,'[21]CN BC'!$H$10:$H$275,0)),"")</f>
        <v>24</v>
      </c>
      <c r="Y192" s="1138">
        <f>IFERROR(INDEX('[22]CN BC'!$J$10:$J$274,MATCH(B192,'[22]CN BC'!$H$10:$H$274,0)),"")</f>
        <v>20</v>
      </c>
      <c r="Z192" s="1138">
        <f>VLOOKUP(B192,'[23]CN BC'!$H$10:$J$275,3,FALSE)</f>
        <v>23</v>
      </c>
      <c r="AA192" s="1139">
        <f t="shared" si="36"/>
        <v>23</v>
      </c>
      <c r="AB192" s="1139">
        <f t="shared" si="37"/>
        <v>20</v>
      </c>
      <c r="AC192" s="1139">
        <f t="shared" si="38"/>
        <v>19</v>
      </c>
      <c r="AD192" s="1140"/>
      <c r="AE192" s="1141">
        <f t="shared" si="39"/>
        <v>26688764</v>
      </c>
      <c r="AF192" s="1519">
        <f t="shared" si="28"/>
        <v>11.405454700854701</v>
      </c>
      <c r="AG192" s="1224">
        <v>2340000</v>
      </c>
      <c r="AH192" s="1521">
        <f t="shared" si="29"/>
        <v>26688764</v>
      </c>
      <c r="AI192" s="1142">
        <f t="shared" si="40"/>
        <v>175</v>
      </c>
      <c r="AJ192" s="1143">
        <f>IFERROR(INDEX('[17]CN BC'!$M$10:$M$276,MATCH(B192,'[17]CN BC'!$H$10:$H$276,0)),"")</f>
        <v>0</v>
      </c>
      <c r="AK192" s="1144" t="str">
        <f>VLOOKUP(B192,TH.T4!B194:AC524,28,FALSE)</f>
        <v>CK</v>
      </c>
      <c r="AL192" s="1130"/>
      <c r="AM192" s="1146"/>
      <c r="AN192" s="1147"/>
      <c r="AO192" s="1146"/>
      <c r="AP192" s="1146"/>
      <c r="AQ192" s="1146"/>
      <c r="AR192" s="1146"/>
      <c r="AS192" s="1146"/>
      <c r="AT192" s="1146"/>
    </row>
    <row r="193" spans="1:50" s="1146" customFormat="1" ht="26.25" customHeight="1">
      <c r="A193" s="1132">
        <f>_xlfn.AGGREGATE(4,7,A$17:A192)+1</f>
        <v>176</v>
      </c>
      <c r="B193" s="1172" t="s">
        <v>1886</v>
      </c>
      <c r="C193" s="1149" t="s">
        <v>1758</v>
      </c>
      <c r="D193" s="1173" t="s">
        <v>1363</v>
      </c>
      <c r="E193" s="1058" t="str">
        <f>VLOOKUP(B193,TH.T6!B105:J435,9,FALSE)</f>
        <v>Giảng viên khoa Cơ khí</v>
      </c>
      <c r="F193" s="1174">
        <v>4.9800000000000004</v>
      </c>
      <c r="G193" s="1175">
        <v>7.0000000000000007E-2</v>
      </c>
      <c r="H193" s="1392">
        <f t="shared" si="30"/>
        <v>0.34899999999999998</v>
      </c>
      <c r="I193" s="1176"/>
      <c r="J193" s="1174">
        <v>4.9800000000000004</v>
      </c>
      <c r="K193" s="1175">
        <v>7.0000000000000007E-2</v>
      </c>
      <c r="L193" s="1392">
        <f t="shared" si="31"/>
        <v>0.34899999999999998</v>
      </c>
      <c r="M193" s="1176"/>
      <c r="N193" s="1174">
        <v>4.9800000000000004</v>
      </c>
      <c r="O193" s="1175">
        <v>7.0000000000000007E-2</v>
      </c>
      <c r="P193" s="1393">
        <f t="shared" si="32"/>
        <v>0.34899999999999998</v>
      </c>
      <c r="Q193" s="1176"/>
      <c r="R193" s="1138" t="str">
        <f>IFERROR(INDEX('[18]Gui chi Quynh'!$E$11:$E$397,MATCH(B193,'[18]Gui chi Quynh'!$B$11:$B$397,0)),"")</f>
        <v>A3</v>
      </c>
      <c r="S193" s="1138">
        <f t="shared" si="33"/>
        <v>0.6</v>
      </c>
      <c r="T193" s="1138" t="str">
        <f>VLOOKUP(B193,'[19]Gui chi Quynh'!$B$11:$E$397,4,FALSE)</f>
        <v>A DN</v>
      </c>
      <c r="U193" s="1138">
        <f t="shared" si="34"/>
        <v>0</v>
      </c>
      <c r="V193" s="1138" t="str">
        <f>VLOOKUP(B193,'[20]Gui chi Quynh'!$B$11:$E$396,4,FALSE)</f>
        <v>A2</v>
      </c>
      <c r="W193" s="1138">
        <f t="shared" si="35"/>
        <v>0.7</v>
      </c>
      <c r="X193" s="1138">
        <f>IFERROR(INDEX('[21]CN BC'!$J$10:$J$275,MATCH(B193,'[21]CN BC'!$H$10:$H$275,0)),"")</f>
        <v>21</v>
      </c>
      <c r="Y193" s="1138">
        <f>IFERROR(INDEX('[22]CN BC'!$J$10:$J$274,MATCH(B193,'[22]CN BC'!$H$10:$H$274,0)),"")</f>
        <v>0</v>
      </c>
      <c r="Z193" s="1138">
        <f>VLOOKUP(B193,'[23]CN BC'!$H$10:$J$275,3,FALSE)</f>
        <v>19</v>
      </c>
      <c r="AA193" s="1139">
        <f t="shared" si="36"/>
        <v>21</v>
      </c>
      <c r="AB193" s="1139">
        <f t="shared" si="37"/>
        <v>0</v>
      </c>
      <c r="AC193" s="1139">
        <f t="shared" si="38"/>
        <v>19</v>
      </c>
      <c r="AD193" s="1140"/>
      <c r="AE193" s="1141">
        <f t="shared" si="39"/>
        <v>15560217</v>
      </c>
      <c r="AF193" s="1519">
        <f t="shared" si="28"/>
        <v>6.6496653846153846</v>
      </c>
      <c r="AG193" s="1224">
        <v>2340000</v>
      </c>
      <c r="AH193" s="1521">
        <f t="shared" si="29"/>
        <v>15560217</v>
      </c>
      <c r="AI193" s="1142">
        <f t="shared" si="40"/>
        <v>176</v>
      </c>
      <c r="AJ193" s="1143">
        <f>IFERROR(INDEX('[17]CN BC'!$M$10:$M$276,MATCH(B193,'[17]CN BC'!$H$10:$H$276,0)),"")</f>
        <v>0</v>
      </c>
      <c r="AK193" s="1144" t="str">
        <f>VLOOKUP(B193,TH.T4!B195:AC525,28,FALSE)</f>
        <v>CK</v>
      </c>
      <c r="AL193" s="1130"/>
      <c r="AN193" s="1147"/>
    </row>
    <row r="194" spans="1:50" s="1148" customFormat="1" ht="31.5" customHeight="1">
      <c r="A194" s="1132">
        <f>_xlfn.AGGREGATE(4,7,A$17:A193)+1</f>
        <v>177</v>
      </c>
      <c r="B194" s="1215" t="s">
        <v>1887</v>
      </c>
      <c r="C194" s="1216" t="s">
        <v>1759</v>
      </c>
      <c r="D194" s="1347" t="s">
        <v>1364</v>
      </c>
      <c r="E194" s="579" t="str">
        <f>VLOOKUP(B194,TH.T6!B106:J436,9,FALSE)</f>
        <v>Giảng viên khoa Cơ khí</v>
      </c>
      <c r="F194" s="1217">
        <v>4.9800000000000004</v>
      </c>
      <c r="G194" s="1218">
        <v>7.0000000000000007E-2</v>
      </c>
      <c r="H194" s="1394">
        <f t="shared" si="30"/>
        <v>0.34899999999999998</v>
      </c>
      <c r="I194" s="1219"/>
      <c r="J194" s="1217">
        <v>4.9800000000000004</v>
      </c>
      <c r="K194" s="1218">
        <v>7.0000000000000007E-2</v>
      </c>
      <c r="L194" s="1394">
        <f t="shared" si="31"/>
        <v>0.34899999999999998</v>
      </c>
      <c r="M194" s="1219"/>
      <c r="N194" s="1217">
        <v>4.9800000000000004</v>
      </c>
      <c r="O194" s="1218">
        <v>0.08</v>
      </c>
      <c r="P194" s="1395">
        <f t="shared" si="32"/>
        <v>0.39800000000000002</v>
      </c>
      <c r="Q194" s="1219"/>
      <c r="R194" s="1219" t="str">
        <f>IFERROR(INDEX('[18]Gui chi Quynh'!$E$11:$E$397,MATCH(B194,'[18]Gui chi Quynh'!$B$11:$B$397,0)),"")</f>
        <v>A1</v>
      </c>
      <c r="S194" s="1219">
        <f t="shared" si="33"/>
        <v>0.8</v>
      </c>
      <c r="T194" s="1219" t="str">
        <f>VLOOKUP(B194,'[19]Gui chi Quynh'!$B$11:$E$397,4,FALSE)</f>
        <v>A DN</v>
      </c>
      <c r="U194" s="1219">
        <f t="shared" si="34"/>
        <v>0</v>
      </c>
      <c r="V194" s="1219" t="str">
        <f>VLOOKUP(B194,'[20]Gui chi Quynh'!$B$11:$E$396,4,FALSE)</f>
        <v>A1</v>
      </c>
      <c r="W194" s="1219">
        <f t="shared" si="35"/>
        <v>0.8</v>
      </c>
      <c r="X194" s="1219">
        <f>IFERROR(INDEX('[21]CN BC'!$J$10:$J$275,MATCH(B194,'[21]CN BC'!$H$10:$H$275,0)),"")</f>
        <v>21</v>
      </c>
      <c r="Y194" s="1219">
        <f>IFERROR(INDEX('[22]CN BC'!$J$10:$J$274,MATCH(B194,'[22]CN BC'!$H$10:$H$274,0)),"")</f>
        <v>0</v>
      </c>
      <c r="Z194" s="1219">
        <f>VLOOKUP(B194,'[23]CN BC'!$H$10:$J$275,3,FALSE)</f>
        <v>19</v>
      </c>
      <c r="AA194" s="1348">
        <f t="shared" si="36"/>
        <v>21</v>
      </c>
      <c r="AB194" s="1348">
        <f t="shared" si="37"/>
        <v>0</v>
      </c>
      <c r="AC194" s="1348">
        <f t="shared" si="38"/>
        <v>19</v>
      </c>
      <c r="AD194" s="1220"/>
      <c r="AE194" s="1349">
        <f t="shared" si="39"/>
        <v>19176035</v>
      </c>
      <c r="AF194" s="1548">
        <f t="shared" si="28"/>
        <v>8.1948867521367514</v>
      </c>
      <c r="AG194" s="1359">
        <v>2340000</v>
      </c>
      <c r="AH194" s="1549">
        <f t="shared" si="29"/>
        <v>19176035</v>
      </c>
      <c r="AI194" s="1221">
        <f t="shared" si="40"/>
        <v>177</v>
      </c>
      <c r="AJ194" s="1350" t="s">
        <v>2362</v>
      </c>
      <c r="AK194" s="1144" t="str">
        <f>VLOOKUP(B194,TH.T4!B196:AC526,28,FALSE)</f>
        <v>CK</v>
      </c>
      <c r="AL194" s="1130"/>
      <c r="AM194" s="1146"/>
      <c r="AN194" s="1147"/>
      <c r="AO194" s="1146"/>
      <c r="AP194" s="1146"/>
      <c r="AQ194" s="1146"/>
      <c r="AR194" s="1146"/>
      <c r="AS194" s="1146"/>
      <c r="AT194" s="1146"/>
    </row>
    <row r="195" spans="1:50" s="1148" customFormat="1" ht="25.5" customHeight="1">
      <c r="A195" s="1132">
        <f>_xlfn.AGGREGATE(4,7,A$17:A194)+1</f>
        <v>178</v>
      </c>
      <c r="B195" s="1133" t="s">
        <v>1888</v>
      </c>
      <c r="C195" s="1153" t="s">
        <v>1760</v>
      </c>
      <c r="D195" s="1154" t="s">
        <v>1369</v>
      </c>
      <c r="E195" s="1058" t="str">
        <f>VLOOKUP(B195,TH.T6!B107:J437,9,FALSE)</f>
        <v>Giảng viên khoa Cơ khí</v>
      </c>
      <c r="F195" s="1136">
        <v>4.32</v>
      </c>
      <c r="G195" s="1137"/>
      <c r="H195" s="1392">
        <f t="shared" si="30"/>
        <v>0</v>
      </c>
      <c r="I195" s="1138"/>
      <c r="J195" s="1136">
        <v>4.32</v>
      </c>
      <c r="K195" s="1137"/>
      <c r="L195" s="1392">
        <f t="shared" si="31"/>
        <v>0</v>
      </c>
      <c r="M195" s="1138"/>
      <c r="N195" s="1136">
        <v>4.32</v>
      </c>
      <c r="O195" s="1137"/>
      <c r="P195" s="1393">
        <f t="shared" si="32"/>
        <v>0</v>
      </c>
      <c r="Q195" s="1138"/>
      <c r="R195" s="1138" t="str">
        <f>IFERROR(INDEX('[18]Gui chi Quynh'!$E$11:$E$397,MATCH(B195,'[18]Gui chi Quynh'!$B$11:$B$397,0)),"")</f>
        <v>A4</v>
      </c>
      <c r="S195" s="1138">
        <f t="shared" si="33"/>
        <v>0.5</v>
      </c>
      <c r="T195" s="1138" t="str">
        <f>VLOOKUP(B195,'[19]Gui chi Quynh'!$B$11:$E$397,4,FALSE)</f>
        <v>A DN</v>
      </c>
      <c r="U195" s="1138">
        <f t="shared" si="34"/>
        <v>0</v>
      </c>
      <c r="V195" s="1138" t="str">
        <f>VLOOKUP(B195,'[20]Gui chi Quynh'!$B$11:$E$396,4,FALSE)</f>
        <v>A3</v>
      </c>
      <c r="W195" s="1138">
        <f t="shared" si="35"/>
        <v>0.6</v>
      </c>
      <c r="X195" s="1138">
        <f>IFERROR(INDEX('[21]CN BC'!$J$10:$J$275,MATCH(B195,'[21]CN BC'!$H$10:$H$275,0)),"")</f>
        <v>21</v>
      </c>
      <c r="Y195" s="1138">
        <f>IFERROR(INDEX('[22]CN BC'!$J$10:$J$274,MATCH(B195,'[22]CN BC'!$H$10:$H$274,0)),"")</f>
        <v>0</v>
      </c>
      <c r="Z195" s="1138">
        <f>VLOOKUP(B195,'[23]CN BC'!$H$10:$J$275,3,FALSE)</f>
        <v>19</v>
      </c>
      <c r="AA195" s="1139">
        <f t="shared" si="36"/>
        <v>21</v>
      </c>
      <c r="AB195" s="1139">
        <f t="shared" si="37"/>
        <v>0</v>
      </c>
      <c r="AC195" s="1139">
        <f t="shared" si="38"/>
        <v>19</v>
      </c>
      <c r="AD195" s="1140"/>
      <c r="AE195" s="1141">
        <f t="shared" si="39"/>
        <v>10680167</v>
      </c>
      <c r="AF195" s="1519">
        <f t="shared" si="28"/>
        <v>4.564173931623932</v>
      </c>
      <c r="AG195" s="1224">
        <v>2340000</v>
      </c>
      <c r="AH195" s="1521">
        <f t="shared" si="29"/>
        <v>10680167.000000002</v>
      </c>
      <c r="AI195" s="1142">
        <f t="shared" si="40"/>
        <v>178</v>
      </c>
      <c r="AJ195" s="1143">
        <f>IFERROR(INDEX('[17]CN BC'!$M$10:$M$276,MATCH(B195,'[17]CN BC'!$H$10:$H$276,0)),"")</f>
        <v>0</v>
      </c>
      <c r="AK195" s="1144" t="str">
        <f>VLOOKUP(B195,TH.T4!B197:AC527,28,FALSE)</f>
        <v>CK</v>
      </c>
      <c r="AL195" s="1130"/>
      <c r="AM195" s="1146"/>
      <c r="AN195" s="1147"/>
      <c r="AO195" s="1146"/>
      <c r="AP195" s="1146"/>
      <c r="AQ195" s="1146"/>
      <c r="AR195" s="1146"/>
      <c r="AS195" s="1146"/>
      <c r="AT195" s="1146"/>
    </row>
    <row r="196" spans="1:50" s="1148" customFormat="1" ht="25.5" customHeight="1">
      <c r="A196" s="1132">
        <f>_xlfn.AGGREGATE(4,7,A$17:A195)+1</f>
        <v>179</v>
      </c>
      <c r="B196" s="1133" t="s">
        <v>1889</v>
      </c>
      <c r="C196" s="1153" t="s">
        <v>1761</v>
      </c>
      <c r="D196" s="1154" t="s">
        <v>42</v>
      </c>
      <c r="E196" s="1058" t="str">
        <f>VLOOKUP(B196,TH.T6!B108:J438,9,FALSE)</f>
        <v>Giảng viên khoa Cơ khí</v>
      </c>
      <c r="F196" s="1136">
        <v>4.9800000000000004</v>
      </c>
      <c r="G196" s="1137">
        <v>0.15</v>
      </c>
      <c r="H196" s="1392">
        <f t="shared" si="30"/>
        <v>0.747</v>
      </c>
      <c r="I196" s="1138"/>
      <c r="J196" s="1136">
        <v>4.9800000000000004</v>
      </c>
      <c r="K196" s="1137">
        <v>0.15</v>
      </c>
      <c r="L196" s="1392">
        <f t="shared" si="31"/>
        <v>0.747</v>
      </c>
      <c r="M196" s="1138"/>
      <c r="N196" s="1136">
        <v>4.9800000000000004</v>
      </c>
      <c r="O196" s="1137">
        <v>0.15</v>
      </c>
      <c r="P196" s="1393">
        <f t="shared" si="32"/>
        <v>0.747</v>
      </c>
      <c r="Q196" s="1138"/>
      <c r="R196" s="1138" t="str">
        <f>IFERROR(INDEX('[18]Gui chi Quynh'!$E$11:$E$397,MATCH(B196,'[18]Gui chi Quynh'!$B$11:$B$397,0)),"")</f>
        <v>A4</v>
      </c>
      <c r="S196" s="1138">
        <f t="shared" si="33"/>
        <v>0.5</v>
      </c>
      <c r="T196" s="1138" t="str">
        <f>VLOOKUP(B196,'[19]Gui chi Quynh'!$B$11:$E$397,4,FALSE)</f>
        <v>A DN</v>
      </c>
      <c r="U196" s="1138">
        <f t="shared" si="34"/>
        <v>0</v>
      </c>
      <c r="V196" s="1138" t="str">
        <f>VLOOKUP(B196,'[20]Gui chi Quynh'!$B$11:$E$396,4,FALSE)</f>
        <v>A4</v>
      </c>
      <c r="W196" s="1138">
        <f t="shared" si="35"/>
        <v>0.5</v>
      </c>
      <c r="X196" s="1138">
        <f>IFERROR(INDEX('[21]CN BC'!$J$10:$J$275,MATCH(B196,'[21]CN BC'!$H$10:$H$275,0)),"")</f>
        <v>23</v>
      </c>
      <c r="Y196" s="1138">
        <f>IFERROR(INDEX('[22]CN BC'!$J$10:$J$274,MATCH(B196,'[22]CN BC'!$H$10:$H$274,0)),"")</f>
        <v>0</v>
      </c>
      <c r="Z196" s="1138">
        <f>VLOOKUP(B196,'[23]CN BC'!$H$10:$J$275,3,FALSE)</f>
        <v>19</v>
      </c>
      <c r="AA196" s="1139">
        <f t="shared" si="36"/>
        <v>23</v>
      </c>
      <c r="AB196" s="1139">
        <f t="shared" si="37"/>
        <v>0</v>
      </c>
      <c r="AC196" s="1139">
        <f t="shared" si="38"/>
        <v>19</v>
      </c>
      <c r="AD196" s="1140"/>
      <c r="AE196" s="1141">
        <f t="shared" si="39"/>
        <v>13401180</v>
      </c>
      <c r="AF196" s="1519">
        <f t="shared" si="28"/>
        <v>5.7270000000000003</v>
      </c>
      <c r="AG196" s="1224">
        <v>2340000</v>
      </c>
      <c r="AH196" s="1521">
        <f t="shared" si="29"/>
        <v>13401180</v>
      </c>
      <c r="AI196" s="1142">
        <f t="shared" si="40"/>
        <v>179</v>
      </c>
      <c r="AJ196" s="1143">
        <f>IFERROR(INDEX('[17]CN BC'!$M$10:$M$276,MATCH(B196,'[17]CN BC'!$H$10:$H$276,0)),"")</f>
        <v>0</v>
      </c>
      <c r="AK196" s="1144" t="str">
        <f>VLOOKUP(B196,TH.T4!B198:AC528,28,FALSE)</f>
        <v>CK</v>
      </c>
      <c r="AL196" s="1130"/>
      <c r="AM196" s="1146"/>
      <c r="AN196" s="1147"/>
      <c r="AO196" s="1146"/>
      <c r="AP196" s="1146"/>
      <c r="AQ196" s="1146"/>
      <c r="AR196" s="1146"/>
      <c r="AS196" s="1146"/>
      <c r="AT196" s="1146"/>
    </row>
    <row r="197" spans="1:50" s="1148" customFormat="1" ht="25.5" customHeight="1">
      <c r="A197" s="1132">
        <f>_xlfn.AGGREGATE(4,7,A$17:A196)+1</f>
        <v>180</v>
      </c>
      <c r="B197" s="1133" t="s">
        <v>1890</v>
      </c>
      <c r="C197" s="1153" t="s">
        <v>1762</v>
      </c>
      <c r="D197" s="1154" t="s">
        <v>1367</v>
      </c>
      <c r="E197" s="1058" t="str">
        <f>VLOOKUP(B197,TH.T6!B109:J439,9,FALSE)</f>
        <v>Giảng viên khoa Cơ khí</v>
      </c>
      <c r="F197" s="1136">
        <v>4.6500000000000004</v>
      </c>
      <c r="G197" s="1137"/>
      <c r="H197" s="1392">
        <f t="shared" si="30"/>
        <v>0</v>
      </c>
      <c r="I197" s="1138">
        <f>0.25</f>
        <v>0.25</v>
      </c>
      <c r="J197" s="1136">
        <v>4.6500000000000004</v>
      </c>
      <c r="K197" s="1137"/>
      <c r="L197" s="1392">
        <f t="shared" si="31"/>
        <v>0</v>
      </c>
      <c r="M197" s="1138">
        <f>0.25</f>
        <v>0.25</v>
      </c>
      <c r="N197" s="1136">
        <v>4.6500000000000004</v>
      </c>
      <c r="O197" s="1137"/>
      <c r="P197" s="1393">
        <f t="shared" si="32"/>
        <v>0</v>
      </c>
      <c r="Q197" s="1138">
        <f>0.25</f>
        <v>0.25</v>
      </c>
      <c r="R197" s="1138" t="str">
        <f>IFERROR(INDEX('[18]Gui chi Quynh'!$E$11:$E$397,MATCH(B197,'[18]Gui chi Quynh'!$B$11:$B$397,0)),"")</f>
        <v>A3</v>
      </c>
      <c r="S197" s="1138">
        <f t="shared" si="33"/>
        <v>0.6</v>
      </c>
      <c r="T197" s="1138" t="str">
        <f>VLOOKUP(B197,'[19]Gui chi Quynh'!$B$11:$E$397,4,FALSE)</f>
        <v>A DN</v>
      </c>
      <c r="U197" s="1138">
        <f t="shared" si="34"/>
        <v>0</v>
      </c>
      <c r="V197" s="1138" t="str">
        <f>VLOOKUP(B197,'[20]Gui chi Quynh'!$B$11:$E$396,4,FALSE)</f>
        <v>A2</v>
      </c>
      <c r="W197" s="1138">
        <f t="shared" si="35"/>
        <v>0.7</v>
      </c>
      <c r="X197" s="1138">
        <f>IFERROR(INDEX('[21]CN BC'!$J$10:$J$275,MATCH(B197,'[21]CN BC'!$H$10:$H$275,0)),"")</f>
        <v>23</v>
      </c>
      <c r="Y197" s="1138">
        <f>IFERROR(INDEX('[22]CN BC'!$J$10:$J$274,MATCH(B197,'[22]CN BC'!$H$10:$H$274,0)),"")</f>
        <v>0</v>
      </c>
      <c r="Z197" s="1138">
        <f>VLOOKUP(B197,'[23]CN BC'!$H$10:$J$275,3,FALSE)</f>
        <v>19</v>
      </c>
      <c r="AA197" s="1139">
        <f t="shared" si="36"/>
        <v>23</v>
      </c>
      <c r="AB197" s="1139">
        <f t="shared" si="37"/>
        <v>0</v>
      </c>
      <c r="AC197" s="1139">
        <f t="shared" si="38"/>
        <v>19</v>
      </c>
      <c r="AD197" s="1140"/>
      <c r="AE197" s="1141">
        <f t="shared" si="39"/>
        <v>14905800</v>
      </c>
      <c r="AF197" s="1519">
        <f t="shared" si="28"/>
        <v>6.37</v>
      </c>
      <c r="AG197" s="1224">
        <v>2340000</v>
      </c>
      <c r="AH197" s="1521">
        <f t="shared" si="29"/>
        <v>14905800</v>
      </c>
      <c r="AI197" s="1142">
        <f t="shared" si="40"/>
        <v>180</v>
      </c>
      <c r="AJ197" s="1143">
        <f>IFERROR(INDEX('[17]CN BC'!$M$10:$M$276,MATCH(B197,'[17]CN BC'!$H$10:$H$276,0)),"")</f>
        <v>0</v>
      </c>
      <c r="AK197" s="1144" t="str">
        <f>VLOOKUP(B197,TH.T4!B199:AC529,28,FALSE)</f>
        <v>CK</v>
      </c>
      <c r="AL197" s="1130"/>
      <c r="AM197" s="1146"/>
      <c r="AN197" s="1147"/>
      <c r="AO197" s="1146"/>
      <c r="AP197" s="1146"/>
      <c r="AQ197" s="1146"/>
      <c r="AR197" s="1146"/>
      <c r="AS197" s="1146"/>
      <c r="AT197" s="1146"/>
    </row>
    <row r="198" spans="1:50" s="1148" customFormat="1" ht="25.5" customHeight="1">
      <c r="A198" s="1132">
        <f>_xlfn.AGGREGATE(4,7,A$17:A197)+1</f>
        <v>181</v>
      </c>
      <c r="B198" s="1215" t="s">
        <v>1891</v>
      </c>
      <c r="C198" s="1216" t="s">
        <v>1763</v>
      </c>
      <c r="D198" s="1347" t="s">
        <v>1377</v>
      </c>
      <c r="E198" s="579" t="str">
        <f>VLOOKUP(B198,TH.T6!B110:J440,9,FALSE)</f>
        <v>Giảng viên khoa Cơ khí</v>
      </c>
      <c r="F198" s="1217">
        <v>4.9800000000000004</v>
      </c>
      <c r="G198" s="1218">
        <v>0.06</v>
      </c>
      <c r="H198" s="1394">
        <f t="shared" si="30"/>
        <v>0.29899999999999999</v>
      </c>
      <c r="I198" s="1219">
        <v>0.25</v>
      </c>
      <c r="J198" s="1217">
        <v>4.9800000000000004</v>
      </c>
      <c r="K198" s="1218">
        <v>0.06</v>
      </c>
      <c r="L198" s="1394">
        <f t="shared" si="31"/>
        <v>0.29899999999999999</v>
      </c>
      <c r="M198" s="1219">
        <v>0.25</v>
      </c>
      <c r="N198" s="1217">
        <v>4.9800000000000004</v>
      </c>
      <c r="O198" s="1218">
        <v>7.0000000000000007E-2</v>
      </c>
      <c r="P198" s="1395">
        <f t="shared" si="32"/>
        <v>0.34899999999999998</v>
      </c>
      <c r="Q198" s="1219">
        <v>0.25</v>
      </c>
      <c r="R198" s="1219" t="str">
        <f>IFERROR(INDEX('[18]Gui chi Quynh'!$E$11:$E$397,MATCH(B198,'[18]Gui chi Quynh'!$B$11:$B$397,0)),"")</f>
        <v>A3</v>
      </c>
      <c r="S198" s="1219">
        <f t="shared" si="33"/>
        <v>0.6</v>
      </c>
      <c r="T198" s="1219" t="str">
        <f>VLOOKUP(B198,'[19]Gui chi Quynh'!$B$11:$E$397,4,FALSE)</f>
        <v>A DN</v>
      </c>
      <c r="U198" s="1219">
        <f t="shared" si="34"/>
        <v>0</v>
      </c>
      <c r="V198" s="1219" t="str">
        <f>VLOOKUP(B198,'[20]Gui chi Quynh'!$B$11:$E$396,4,FALSE)</f>
        <v>A3</v>
      </c>
      <c r="W198" s="1219">
        <f t="shared" si="35"/>
        <v>0.6</v>
      </c>
      <c r="X198" s="1219">
        <f>IFERROR(INDEX('[21]CN BC'!$J$10:$J$275,MATCH(B198,'[21]CN BC'!$H$10:$H$275,0)),"")</f>
        <v>21</v>
      </c>
      <c r="Y198" s="1219">
        <f>IFERROR(INDEX('[22]CN BC'!$J$10:$J$274,MATCH(B198,'[22]CN BC'!$H$10:$H$274,0)),"")</f>
        <v>0</v>
      </c>
      <c r="Z198" s="1219">
        <f>VLOOKUP(B198,'[23]CN BC'!$H$10:$J$275,3,FALSE)</f>
        <v>19</v>
      </c>
      <c r="AA198" s="1348">
        <f t="shared" si="36"/>
        <v>21</v>
      </c>
      <c r="AB198" s="1348">
        <f t="shared" si="37"/>
        <v>0</v>
      </c>
      <c r="AC198" s="1348">
        <f t="shared" si="38"/>
        <v>19</v>
      </c>
      <c r="AD198" s="1220"/>
      <c r="AE198" s="1349">
        <f t="shared" si="39"/>
        <v>14920613</v>
      </c>
      <c r="AF198" s="1548">
        <f t="shared" si="28"/>
        <v>6.3763303418803421</v>
      </c>
      <c r="AG198" s="1359">
        <v>2340000</v>
      </c>
      <c r="AH198" s="1549">
        <f t="shared" si="29"/>
        <v>14920613</v>
      </c>
      <c r="AI198" s="1221">
        <f t="shared" si="40"/>
        <v>181</v>
      </c>
      <c r="AJ198" s="1350" t="s">
        <v>2362</v>
      </c>
      <c r="AK198" s="1144" t="str">
        <f>VLOOKUP(B198,TH.T4!B200:AC530,28,FALSE)</f>
        <v>CK</v>
      </c>
      <c r="AL198" s="1130"/>
      <c r="AM198" s="1146"/>
      <c r="AN198" s="1147"/>
      <c r="AO198" s="1146"/>
      <c r="AP198" s="1146"/>
      <c r="AQ198" s="1146"/>
      <c r="AR198" s="1146"/>
      <c r="AS198" s="1146"/>
      <c r="AT198" s="1146"/>
    </row>
    <row r="199" spans="1:50" s="1148" customFormat="1" ht="25.5" customHeight="1">
      <c r="A199" s="1132">
        <f>_xlfn.AGGREGATE(4,7,A$17:A198)+1</f>
        <v>182</v>
      </c>
      <c r="B199" s="1133" t="s">
        <v>1525</v>
      </c>
      <c r="C199" s="1153" t="s">
        <v>1764</v>
      </c>
      <c r="D199" s="1154" t="s">
        <v>1372</v>
      </c>
      <c r="E199" s="1058" t="str">
        <f>VLOOKUP(B199,TH.T6!B111:J441,9,FALSE)</f>
        <v>Giảng viên khoa Cơ khí</v>
      </c>
      <c r="F199" s="1160">
        <v>3.99</v>
      </c>
      <c r="G199" s="1137"/>
      <c r="H199" s="1392">
        <f t="shared" si="30"/>
        <v>0</v>
      </c>
      <c r="I199" s="1138"/>
      <c r="J199" s="1160">
        <v>3.99</v>
      </c>
      <c r="K199" s="1137"/>
      <c r="L199" s="1392">
        <f t="shared" si="31"/>
        <v>0</v>
      </c>
      <c r="M199" s="1138"/>
      <c r="N199" s="1160">
        <v>3.99</v>
      </c>
      <c r="O199" s="1137"/>
      <c r="P199" s="1393">
        <f t="shared" si="32"/>
        <v>0</v>
      </c>
      <c r="Q199" s="1138"/>
      <c r="R199" s="1138" t="str">
        <f>IFERROR(INDEX('[18]Gui chi Quynh'!$E$11:$E$397,MATCH(B199,'[18]Gui chi Quynh'!$B$11:$B$397,0)),"")</f>
        <v>A4</v>
      </c>
      <c r="S199" s="1138">
        <f t="shared" si="33"/>
        <v>0.5</v>
      </c>
      <c r="T199" s="1138" t="str">
        <f>VLOOKUP(B199,'[19]Gui chi Quynh'!$B$11:$E$397,4,FALSE)</f>
        <v>A DN</v>
      </c>
      <c r="U199" s="1138">
        <f t="shared" si="34"/>
        <v>0</v>
      </c>
      <c r="V199" s="1138" t="str">
        <f>VLOOKUP(B199,'[20]Gui chi Quynh'!$B$11:$E$396,4,FALSE)</f>
        <v>A4</v>
      </c>
      <c r="W199" s="1138">
        <f t="shared" si="35"/>
        <v>0.5</v>
      </c>
      <c r="X199" s="1138">
        <f>IFERROR(INDEX('[21]CN BC'!$J$10:$J$275,MATCH(B199,'[21]CN BC'!$H$10:$H$275,0)),"")</f>
        <v>23</v>
      </c>
      <c r="Y199" s="1138">
        <f>IFERROR(INDEX('[22]CN BC'!$J$10:$J$274,MATCH(B199,'[22]CN BC'!$H$10:$H$274,0)),"")</f>
        <v>0</v>
      </c>
      <c r="Z199" s="1138">
        <f>VLOOKUP(B199,'[23]CN BC'!$H$10:$J$275,3,FALSE)</f>
        <v>19</v>
      </c>
      <c r="AA199" s="1139">
        <f t="shared" si="36"/>
        <v>23</v>
      </c>
      <c r="AB199" s="1139">
        <f t="shared" si="37"/>
        <v>0</v>
      </c>
      <c r="AC199" s="1139">
        <f t="shared" si="38"/>
        <v>19</v>
      </c>
      <c r="AD199" s="1140"/>
      <c r="AE199" s="1141">
        <f t="shared" si="39"/>
        <v>9336600</v>
      </c>
      <c r="AF199" s="1519">
        <f t="shared" si="28"/>
        <v>3.99</v>
      </c>
      <c r="AG199" s="1224">
        <v>2340000</v>
      </c>
      <c r="AH199" s="1521">
        <f t="shared" si="29"/>
        <v>9336600</v>
      </c>
      <c r="AI199" s="1142">
        <f t="shared" si="40"/>
        <v>182</v>
      </c>
      <c r="AJ199" s="1143">
        <f>IFERROR(INDEX('[17]CN BC'!$M$10:$M$276,MATCH(B199,'[17]CN BC'!$H$10:$H$276,0)),"")</f>
        <v>0</v>
      </c>
      <c r="AK199" s="1144" t="str">
        <f>VLOOKUP(B199,TH.T4!B201:AC531,28,FALSE)</f>
        <v>CK</v>
      </c>
      <c r="AL199" s="1167"/>
      <c r="AM199" s="1146"/>
      <c r="AN199" s="1147"/>
      <c r="AO199" s="1146"/>
      <c r="AP199" s="1146"/>
      <c r="AQ199" s="1146"/>
      <c r="AR199" s="1146"/>
      <c r="AS199" s="1146"/>
      <c r="AT199" s="1146"/>
    </row>
    <row r="200" spans="1:50" s="1148" customFormat="1" ht="30" customHeight="1">
      <c r="A200" s="1132">
        <f>_xlfn.AGGREGATE(4,7,A$17:A199)+1</f>
        <v>183</v>
      </c>
      <c r="B200" s="1215" t="s">
        <v>1892</v>
      </c>
      <c r="C200" s="1216" t="s">
        <v>1765</v>
      </c>
      <c r="D200" s="1347" t="s">
        <v>1374</v>
      </c>
      <c r="E200" s="579" t="str">
        <f>VLOOKUP(B200,TH.T6!B112:J442,9,FALSE)</f>
        <v>Giảng viên khoa Cơ khí</v>
      </c>
      <c r="F200" s="1217">
        <v>4.9800000000000004</v>
      </c>
      <c r="G200" s="1218">
        <v>0.05</v>
      </c>
      <c r="H200" s="1394">
        <f t="shared" si="30"/>
        <v>0.249</v>
      </c>
      <c r="I200" s="1219"/>
      <c r="J200" s="1217">
        <v>4.9800000000000004</v>
      </c>
      <c r="K200" s="1218">
        <v>0.05</v>
      </c>
      <c r="L200" s="1394">
        <f t="shared" si="31"/>
        <v>0.249</v>
      </c>
      <c r="M200" s="1219"/>
      <c r="N200" s="1217">
        <v>4.9800000000000004</v>
      </c>
      <c r="O200" s="1218">
        <v>0.06</v>
      </c>
      <c r="P200" s="1395">
        <f t="shared" si="32"/>
        <v>0.29899999999999999</v>
      </c>
      <c r="Q200" s="1219"/>
      <c r="R200" s="1219" t="str">
        <f>IFERROR(INDEX('[18]Gui chi Quynh'!$E$11:$E$397,MATCH(B200,'[18]Gui chi Quynh'!$B$11:$B$397,0)),"")</f>
        <v>A4</v>
      </c>
      <c r="S200" s="1219">
        <f t="shared" si="33"/>
        <v>0.5</v>
      </c>
      <c r="T200" s="1219" t="str">
        <f>VLOOKUP(B200,'[19]Gui chi Quynh'!$B$11:$E$397,4,FALSE)</f>
        <v>A DN</v>
      </c>
      <c r="U200" s="1219">
        <f t="shared" si="34"/>
        <v>0</v>
      </c>
      <c r="V200" s="1219" t="str">
        <f>VLOOKUP(B200,'[20]Gui chi Quynh'!$B$11:$E$396,4,FALSE)</f>
        <v>A4</v>
      </c>
      <c r="W200" s="1219">
        <f t="shared" si="35"/>
        <v>0.5</v>
      </c>
      <c r="X200" s="1219">
        <f>IFERROR(INDEX('[21]CN BC'!$J$10:$J$275,MATCH(B200,'[21]CN BC'!$H$10:$H$275,0)),"")</f>
        <v>21</v>
      </c>
      <c r="Y200" s="1219">
        <f>IFERROR(INDEX('[22]CN BC'!$J$10:$J$274,MATCH(B200,'[22]CN BC'!$H$10:$H$274,0)),"")</f>
        <v>0</v>
      </c>
      <c r="Z200" s="1219">
        <f>VLOOKUP(B200,'[23]CN BC'!$H$10:$J$275,3,FALSE)</f>
        <v>19</v>
      </c>
      <c r="AA200" s="1348">
        <f t="shared" si="36"/>
        <v>21</v>
      </c>
      <c r="AB200" s="1348">
        <f t="shared" si="37"/>
        <v>0</v>
      </c>
      <c r="AC200" s="1348">
        <f t="shared" si="38"/>
        <v>19</v>
      </c>
      <c r="AD200" s="1220"/>
      <c r="AE200" s="1349">
        <f t="shared" si="39"/>
        <v>11762366</v>
      </c>
      <c r="AF200" s="1548">
        <f t="shared" si="28"/>
        <v>5.0266521367521371</v>
      </c>
      <c r="AG200" s="1359">
        <v>2340000</v>
      </c>
      <c r="AH200" s="1549">
        <f t="shared" si="29"/>
        <v>11762366</v>
      </c>
      <c r="AI200" s="1221">
        <f t="shared" si="40"/>
        <v>183</v>
      </c>
      <c r="AJ200" s="1350" t="s">
        <v>2362</v>
      </c>
      <c r="AK200" s="1144" t="str">
        <f>VLOOKUP(B200,TH.T4!B202:AC532,28,FALSE)</f>
        <v>CK</v>
      </c>
      <c r="AL200" s="1130"/>
      <c r="AM200" s="1146"/>
      <c r="AN200" s="1147"/>
      <c r="AO200" s="1146"/>
      <c r="AP200" s="1146"/>
      <c r="AQ200" s="1146"/>
      <c r="AR200" s="1146"/>
      <c r="AS200" s="1146"/>
      <c r="AT200" s="1146"/>
      <c r="AU200" s="1146"/>
      <c r="AV200" s="1146"/>
      <c r="AW200" s="1146"/>
      <c r="AX200" s="1146"/>
    </row>
    <row r="201" spans="1:50" s="1148" customFormat="1" ht="30" customHeight="1">
      <c r="A201" s="1132">
        <f>_xlfn.AGGREGATE(4,7,A$17:A200)+1</f>
        <v>184</v>
      </c>
      <c r="B201" s="1215" t="s">
        <v>1526</v>
      </c>
      <c r="C201" s="1216" t="s">
        <v>1766</v>
      </c>
      <c r="D201" s="1374" t="s">
        <v>1939</v>
      </c>
      <c r="E201" s="579" t="str">
        <f>VLOOKUP(B201,TH.T6!B113:J443,9,FALSE)</f>
        <v>Phó Trưởng khoa Cơ khí</v>
      </c>
      <c r="F201" s="1358">
        <v>3.66</v>
      </c>
      <c r="G201" s="1218"/>
      <c r="H201" s="1394">
        <f t="shared" si="30"/>
        <v>0</v>
      </c>
      <c r="I201" s="1219">
        <v>0.35</v>
      </c>
      <c r="J201" s="1358">
        <v>3.66</v>
      </c>
      <c r="K201" s="1218"/>
      <c r="L201" s="1394">
        <f t="shared" si="31"/>
        <v>0</v>
      </c>
      <c r="M201" s="1219">
        <v>0.35</v>
      </c>
      <c r="N201" s="1358">
        <v>3.99</v>
      </c>
      <c r="O201" s="1218"/>
      <c r="P201" s="1395">
        <f t="shared" si="32"/>
        <v>0</v>
      </c>
      <c r="Q201" s="1219">
        <v>0.35</v>
      </c>
      <c r="R201" s="1219" t="str">
        <f>IFERROR(INDEX('[18]Gui chi Quynh'!$E$11:$E$397,MATCH(B201,'[18]Gui chi Quynh'!$B$11:$B$397,0)),"")</f>
        <v>A4</v>
      </c>
      <c r="S201" s="1219">
        <f t="shared" si="33"/>
        <v>0.5</v>
      </c>
      <c r="T201" s="1219" t="str">
        <f>VLOOKUP(B201,'[19]Gui chi Quynh'!$B$11:$E$397,4,FALSE)</f>
        <v>A4</v>
      </c>
      <c r="U201" s="1219">
        <f t="shared" si="34"/>
        <v>0.5</v>
      </c>
      <c r="V201" s="1219" t="str">
        <f>VLOOKUP(B201,'[20]Gui chi Quynh'!$B$11:$E$396,4,FALSE)</f>
        <v>A3</v>
      </c>
      <c r="W201" s="1219">
        <f t="shared" si="35"/>
        <v>0.6</v>
      </c>
      <c r="X201" s="1219">
        <f>IFERROR(INDEX('[21]CN BC'!$J$10:$J$275,MATCH(B201,'[21]CN BC'!$H$10:$H$275,0)),"")</f>
        <v>23</v>
      </c>
      <c r="Y201" s="1219">
        <f>IFERROR(INDEX('[22]CN BC'!$J$10:$J$274,MATCH(B201,'[22]CN BC'!$H$10:$H$274,0)),"")</f>
        <v>15</v>
      </c>
      <c r="Z201" s="1219">
        <f>VLOOKUP(B201,'[23]CN BC'!$H$10:$J$275,3,FALSE)</f>
        <v>19</v>
      </c>
      <c r="AA201" s="1348">
        <f t="shared" si="36"/>
        <v>23</v>
      </c>
      <c r="AB201" s="1348">
        <f t="shared" si="37"/>
        <v>15</v>
      </c>
      <c r="AC201" s="1348">
        <f t="shared" si="38"/>
        <v>19</v>
      </c>
      <c r="AD201" s="1220"/>
      <c r="AE201" s="1349">
        <f t="shared" si="39"/>
        <v>13983946</v>
      </c>
      <c r="AF201" s="1548">
        <f t="shared" si="28"/>
        <v>5.9760452991452988</v>
      </c>
      <c r="AG201" s="1359">
        <v>2340000</v>
      </c>
      <c r="AH201" s="1549">
        <f t="shared" si="29"/>
        <v>13983946</v>
      </c>
      <c r="AI201" s="1221">
        <f t="shared" si="40"/>
        <v>184</v>
      </c>
      <c r="AJ201" s="1350" t="s">
        <v>2363</v>
      </c>
      <c r="AK201" s="1144" t="str">
        <f>VLOOKUP(B201,TH.T4!B203:AC533,28,FALSE)</f>
        <v>CK</v>
      </c>
      <c r="AL201" s="1130"/>
      <c r="AM201" s="1146"/>
      <c r="AN201" s="1147"/>
      <c r="AO201" s="1146"/>
      <c r="AP201" s="1146"/>
      <c r="AQ201" s="1146"/>
      <c r="AR201" s="1146"/>
      <c r="AS201" s="1146"/>
      <c r="AT201" s="1146"/>
    </row>
    <row r="202" spans="1:50" s="1148" customFormat="1" ht="30" customHeight="1">
      <c r="A202" s="1132">
        <f>_xlfn.AGGREGATE(4,7,A$17:A201)+1</f>
        <v>185</v>
      </c>
      <c r="B202" s="1215" t="s">
        <v>1527</v>
      </c>
      <c r="C202" s="1216" t="s">
        <v>1767</v>
      </c>
      <c r="D202" s="1347" t="s">
        <v>1379</v>
      </c>
      <c r="E202" s="579" t="str">
        <f>VLOOKUP(B202,TH.T6!B114:J444,9,FALSE)</f>
        <v>Giảng viên khoa Cơ khí</v>
      </c>
      <c r="F202" s="1358">
        <v>3.66</v>
      </c>
      <c r="G202" s="1218"/>
      <c r="H202" s="1394">
        <f t="shared" si="30"/>
        <v>0</v>
      </c>
      <c r="I202" s="1219"/>
      <c r="J202" s="1358">
        <v>3.66</v>
      </c>
      <c r="K202" s="1218"/>
      <c r="L202" s="1394">
        <f t="shared" si="31"/>
        <v>0</v>
      </c>
      <c r="M202" s="1219"/>
      <c r="N202" s="1358">
        <v>3.99</v>
      </c>
      <c r="O202" s="1218"/>
      <c r="P202" s="1395">
        <f t="shared" si="32"/>
        <v>0</v>
      </c>
      <c r="Q202" s="1219"/>
      <c r="R202" s="1219" t="str">
        <f>IFERROR(INDEX('[18]Gui chi Quynh'!$E$11:$E$397,MATCH(B202,'[18]Gui chi Quynh'!$B$11:$B$397,0)),"")</f>
        <v>A4</v>
      </c>
      <c r="S202" s="1219">
        <f t="shared" si="33"/>
        <v>0.5</v>
      </c>
      <c r="T202" s="1219" t="str">
        <f>VLOOKUP(B202,'[19]Gui chi Quynh'!$B$11:$E$397,4,FALSE)</f>
        <v>A DN</v>
      </c>
      <c r="U202" s="1219">
        <f t="shared" si="34"/>
        <v>0</v>
      </c>
      <c r="V202" s="1219" t="str">
        <f>VLOOKUP(B202,'[20]Gui chi Quynh'!$B$11:$E$396,4,FALSE)</f>
        <v>A4</v>
      </c>
      <c r="W202" s="1219">
        <f t="shared" si="35"/>
        <v>0.5</v>
      </c>
      <c r="X202" s="1219">
        <f>IFERROR(INDEX('[21]CN BC'!$J$10:$J$275,MATCH(B202,'[21]CN BC'!$H$10:$H$275,0)),"")</f>
        <v>21</v>
      </c>
      <c r="Y202" s="1219">
        <f>IFERROR(INDEX('[22]CN BC'!$J$10:$J$274,MATCH(B202,'[22]CN BC'!$H$10:$H$274,0)),"")</f>
        <v>0</v>
      </c>
      <c r="Z202" s="1219">
        <f>VLOOKUP(B202,'[23]CN BC'!$H$10:$J$275,3,FALSE)</f>
        <v>19</v>
      </c>
      <c r="AA202" s="1348">
        <f t="shared" si="36"/>
        <v>21</v>
      </c>
      <c r="AB202" s="1348">
        <f t="shared" si="37"/>
        <v>0</v>
      </c>
      <c r="AC202" s="1348">
        <f t="shared" si="38"/>
        <v>19</v>
      </c>
      <c r="AD202" s="1220"/>
      <c r="AE202" s="1349">
        <f t="shared" si="39"/>
        <v>8578135</v>
      </c>
      <c r="AF202" s="1548">
        <f t="shared" si="28"/>
        <v>3.6658696581196581</v>
      </c>
      <c r="AG202" s="1359">
        <v>2340000</v>
      </c>
      <c r="AH202" s="1549">
        <f t="shared" si="29"/>
        <v>8578135</v>
      </c>
      <c r="AI202" s="1221">
        <f t="shared" si="40"/>
        <v>185</v>
      </c>
      <c r="AJ202" s="1350" t="s">
        <v>2363</v>
      </c>
      <c r="AK202" s="1144" t="str">
        <f>VLOOKUP(B202,TH.T4!B204:AC534,28,FALSE)</f>
        <v>CK</v>
      </c>
      <c r="AL202" s="1130"/>
      <c r="AM202" s="1146"/>
      <c r="AN202" s="1158"/>
    </row>
    <row r="203" spans="1:50" s="1148" customFormat="1" ht="27.75" customHeight="1">
      <c r="A203" s="1132">
        <f>_xlfn.AGGREGATE(4,7,A$17:A202)+1</f>
        <v>186</v>
      </c>
      <c r="B203" s="1133" t="s">
        <v>1893</v>
      </c>
      <c r="C203" s="1153" t="s">
        <v>1768</v>
      </c>
      <c r="D203" s="1154" t="s">
        <v>387</v>
      </c>
      <c r="E203" s="1058" t="str">
        <f>VLOOKUP(B203,TH.T6!B115:J445,9,FALSE)</f>
        <v>Giảng viên khoa Cơ khí</v>
      </c>
      <c r="F203" s="1160">
        <v>3.66</v>
      </c>
      <c r="G203" s="1137"/>
      <c r="H203" s="1392">
        <f t="shared" si="30"/>
        <v>0</v>
      </c>
      <c r="I203" s="1138"/>
      <c r="J203" s="1160">
        <v>3.66</v>
      </c>
      <c r="K203" s="1137"/>
      <c r="L203" s="1392">
        <f t="shared" si="31"/>
        <v>0</v>
      </c>
      <c r="M203" s="1138"/>
      <c r="N203" s="1160">
        <v>3.66</v>
      </c>
      <c r="O203" s="1137"/>
      <c r="P203" s="1393">
        <f t="shared" si="32"/>
        <v>0</v>
      </c>
      <c r="Q203" s="1138"/>
      <c r="R203" s="1138" t="str">
        <f>IFERROR(INDEX('[18]Gui chi Quynh'!$E$11:$E$397,MATCH(B203,'[18]Gui chi Quynh'!$B$11:$B$397,0)),"")</f>
        <v>A4</v>
      </c>
      <c r="S203" s="1138">
        <f t="shared" si="33"/>
        <v>0.5</v>
      </c>
      <c r="T203" s="1138" t="str">
        <f>VLOOKUP(B203,'[19]Gui chi Quynh'!$B$11:$E$397,4,FALSE)</f>
        <v>A DN</v>
      </c>
      <c r="U203" s="1138">
        <f t="shared" si="34"/>
        <v>0</v>
      </c>
      <c r="V203" s="1138" t="str">
        <f>VLOOKUP(B203,'[20]Gui chi Quynh'!$B$11:$E$396,4,FALSE)</f>
        <v>A3</v>
      </c>
      <c r="W203" s="1138">
        <f t="shared" si="35"/>
        <v>0.6</v>
      </c>
      <c r="X203" s="1138">
        <f>IFERROR(INDEX('[21]CN BC'!$J$10:$J$275,MATCH(B203,'[21]CN BC'!$H$10:$H$275,0)),"")</f>
        <v>23</v>
      </c>
      <c r="Y203" s="1138">
        <f>IFERROR(INDEX('[22]CN BC'!$J$10:$J$274,MATCH(B203,'[22]CN BC'!$H$10:$H$274,0)),"")</f>
        <v>0</v>
      </c>
      <c r="Z203" s="1138">
        <f>VLOOKUP(B203,'[23]CN BC'!$H$10:$J$275,3,FALSE)</f>
        <v>19</v>
      </c>
      <c r="AA203" s="1139">
        <f t="shared" si="36"/>
        <v>23</v>
      </c>
      <c r="AB203" s="1139">
        <f t="shared" si="37"/>
        <v>0</v>
      </c>
      <c r="AC203" s="1139">
        <f t="shared" si="38"/>
        <v>19</v>
      </c>
      <c r="AD203" s="1140"/>
      <c r="AE203" s="1141">
        <f t="shared" si="39"/>
        <v>9420840</v>
      </c>
      <c r="AF203" s="1519">
        <f t="shared" si="28"/>
        <v>4.0259999999999998</v>
      </c>
      <c r="AG203" s="1224">
        <v>2340000</v>
      </c>
      <c r="AH203" s="1521">
        <f t="shared" si="29"/>
        <v>9420840</v>
      </c>
      <c r="AI203" s="1142">
        <f t="shared" si="40"/>
        <v>186</v>
      </c>
      <c r="AJ203" s="1143">
        <f>IFERROR(INDEX('[17]CN BC'!$M$10:$M$276,MATCH(B203,'[17]CN BC'!$H$10:$H$276,0)),"")</f>
        <v>0</v>
      </c>
      <c r="AK203" s="1144" t="str">
        <f>VLOOKUP(B203,TH.T4!B205:AC535,28,FALSE)</f>
        <v>CK</v>
      </c>
      <c r="AL203" s="1130"/>
      <c r="AM203" s="1146"/>
      <c r="AN203" s="1147"/>
      <c r="AO203" s="1146"/>
      <c r="AP203" s="1146"/>
      <c r="AQ203" s="1146"/>
      <c r="AR203" s="1146"/>
      <c r="AS203" s="1146"/>
      <c r="AT203" s="1146"/>
    </row>
    <row r="204" spans="1:50" s="1148" customFormat="1" ht="27.75" customHeight="1">
      <c r="A204" s="1132">
        <f>_xlfn.AGGREGATE(4,7,A$17:A203)+1</f>
        <v>187</v>
      </c>
      <c r="B204" s="1133" t="s">
        <v>1894</v>
      </c>
      <c r="C204" s="1153" t="s">
        <v>1769</v>
      </c>
      <c r="D204" s="1154" t="s">
        <v>388</v>
      </c>
      <c r="E204" s="1058" t="str">
        <f>VLOOKUP(B204,TH.T6!B116:J446,9,FALSE)</f>
        <v>Giảng viên khoa Cơ khí</v>
      </c>
      <c r="F204" s="1160">
        <v>3.66</v>
      </c>
      <c r="G204" s="1137"/>
      <c r="H204" s="1392">
        <f t="shared" si="30"/>
        <v>0</v>
      </c>
      <c r="I204" s="1138"/>
      <c r="J204" s="1160">
        <v>3.66</v>
      </c>
      <c r="K204" s="1137"/>
      <c r="L204" s="1392">
        <f t="shared" si="31"/>
        <v>0</v>
      </c>
      <c r="M204" s="1138"/>
      <c r="N204" s="1160">
        <v>3.66</v>
      </c>
      <c r="O204" s="1137"/>
      <c r="P204" s="1393">
        <f t="shared" si="32"/>
        <v>0</v>
      </c>
      <c r="Q204" s="1138"/>
      <c r="R204" s="1138" t="str">
        <f>IFERROR(INDEX('[18]Gui chi Quynh'!$E$11:$E$397,MATCH(B204,'[18]Gui chi Quynh'!$B$11:$B$397,0)),"")</f>
        <v>A4</v>
      </c>
      <c r="S204" s="1138">
        <f t="shared" si="33"/>
        <v>0.5</v>
      </c>
      <c r="T204" s="1138" t="str">
        <f>VLOOKUP(B204,'[19]Gui chi Quynh'!$B$11:$E$397,4,FALSE)</f>
        <v>A DN</v>
      </c>
      <c r="U204" s="1138">
        <f t="shared" si="34"/>
        <v>0</v>
      </c>
      <c r="V204" s="1138" t="str">
        <f>VLOOKUP(B204,'[20]Gui chi Quynh'!$B$11:$E$396,4,FALSE)</f>
        <v>A4</v>
      </c>
      <c r="W204" s="1138">
        <f t="shared" si="35"/>
        <v>0.5</v>
      </c>
      <c r="X204" s="1138">
        <f>IFERROR(INDEX('[21]CN BC'!$J$10:$J$275,MATCH(B204,'[21]CN BC'!$H$10:$H$275,0)),"")</f>
        <v>23</v>
      </c>
      <c r="Y204" s="1138">
        <f>IFERROR(INDEX('[22]CN BC'!$J$10:$J$274,MATCH(B204,'[22]CN BC'!$H$10:$H$274,0)),"")</f>
        <v>0</v>
      </c>
      <c r="Z204" s="1138">
        <f>VLOOKUP(B204,'[23]CN BC'!$H$10:$J$275,3,FALSE)</f>
        <v>19</v>
      </c>
      <c r="AA204" s="1139">
        <f t="shared" si="36"/>
        <v>23</v>
      </c>
      <c r="AB204" s="1139">
        <f t="shared" si="37"/>
        <v>0</v>
      </c>
      <c r="AC204" s="1139">
        <f t="shared" si="38"/>
        <v>19</v>
      </c>
      <c r="AD204" s="1140"/>
      <c r="AE204" s="1141">
        <f t="shared" si="39"/>
        <v>8564400</v>
      </c>
      <c r="AF204" s="1519">
        <f t="shared" si="28"/>
        <v>3.66</v>
      </c>
      <c r="AG204" s="1224">
        <v>2340000</v>
      </c>
      <c r="AH204" s="1521">
        <f t="shared" si="29"/>
        <v>8564400</v>
      </c>
      <c r="AI204" s="1142">
        <f t="shared" si="40"/>
        <v>187</v>
      </c>
      <c r="AJ204" s="1143">
        <f>IFERROR(INDEX('[17]CN BC'!$M$10:$M$276,MATCH(B204,'[17]CN BC'!$H$10:$H$276,0)),"")</f>
        <v>0</v>
      </c>
      <c r="AK204" s="1144" t="str">
        <f>VLOOKUP(B204,TH.T4!B206:AC536,28,FALSE)</f>
        <v>CK</v>
      </c>
      <c r="AL204" s="1130"/>
      <c r="AM204" s="1146"/>
      <c r="AN204" s="1147"/>
      <c r="AO204" s="1146"/>
      <c r="AP204" s="1146"/>
      <c r="AQ204" s="1146"/>
      <c r="AR204" s="1146"/>
      <c r="AS204" s="1146"/>
      <c r="AT204" s="1146"/>
    </row>
    <row r="205" spans="1:50" s="1148" customFormat="1" ht="32.25" customHeight="1">
      <c r="A205" s="1132">
        <f>_xlfn.AGGREGATE(4,7,A$17:A204)+1</f>
        <v>188</v>
      </c>
      <c r="B205" s="1133" t="s">
        <v>2023</v>
      </c>
      <c r="C205" s="1153" t="s">
        <v>1770</v>
      </c>
      <c r="D205" s="1154" t="s">
        <v>386</v>
      </c>
      <c r="E205" s="1058" t="str">
        <f>VLOOKUP(B205,TH.T6!B117:J447,9,FALSE)</f>
        <v>Giảng viên khoa Cơ khí</v>
      </c>
      <c r="F205" s="1160">
        <v>3.66</v>
      </c>
      <c r="G205" s="1137"/>
      <c r="H205" s="1392">
        <f t="shared" si="30"/>
        <v>0</v>
      </c>
      <c r="I205" s="1138"/>
      <c r="J205" s="1160">
        <v>3.66</v>
      </c>
      <c r="K205" s="1137"/>
      <c r="L205" s="1392">
        <f t="shared" si="31"/>
        <v>0</v>
      </c>
      <c r="M205" s="1138"/>
      <c r="N205" s="1160">
        <v>3.66</v>
      </c>
      <c r="O205" s="1137"/>
      <c r="P205" s="1393">
        <f t="shared" si="32"/>
        <v>0</v>
      </c>
      <c r="Q205" s="1138"/>
      <c r="R205" s="1138" t="str">
        <f>IFERROR(INDEX('[18]Gui chi Quynh'!$E$11:$E$397,MATCH(B205,'[18]Gui chi Quynh'!$B$11:$B$397,0)),"")</f>
        <v>A4</v>
      </c>
      <c r="S205" s="1138">
        <f t="shared" si="33"/>
        <v>0.5</v>
      </c>
      <c r="T205" s="1138" t="str">
        <f>VLOOKUP(B205,'[19]Gui chi Quynh'!$B$11:$E$397,4,FALSE)</f>
        <v>A DN</v>
      </c>
      <c r="U205" s="1138">
        <f t="shared" si="34"/>
        <v>0</v>
      </c>
      <c r="V205" s="1138" t="str">
        <f>VLOOKUP(B205,'[20]Gui chi Quynh'!$B$11:$E$396,4,FALSE)</f>
        <v>A4</v>
      </c>
      <c r="W205" s="1138">
        <f t="shared" si="35"/>
        <v>0.5</v>
      </c>
      <c r="X205" s="1138">
        <f>IFERROR(INDEX('[21]CN BC'!$J$10:$J$275,MATCH(B205,'[21]CN BC'!$H$10:$H$275,0)),"")</f>
        <v>23</v>
      </c>
      <c r="Y205" s="1138">
        <f>IFERROR(INDEX('[22]CN BC'!$J$10:$J$274,MATCH(B205,'[22]CN BC'!$H$10:$H$274,0)),"")</f>
        <v>0</v>
      </c>
      <c r="Z205" s="1138">
        <f>VLOOKUP(B205,'[23]CN BC'!$H$10:$J$275,3,FALSE)</f>
        <v>19</v>
      </c>
      <c r="AA205" s="1139">
        <f t="shared" si="36"/>
        <v>23</v>
      </c>
      <c r="AB205" s="1139">
        <f t="shared" si="37"/>
        <v>0</v>
      </c>
      <c r="AC205" s="1139">
        <f t="shared" si="38"/>
        <v>19</v>
      </c>
      <c r="AD205" s="1140"/>
      <c r="AE205" s="1141">
        <f t="shared" si="39"/>
        <v>8564400</v>
      </c>
      <c r="AF205" s="1519">
        <f t="shared" si="28"/>
        <v>3.66</v>
      </c>
      <c r="AG205" s="1224">
        <v>2340000</v>
      </c>
      <c r="AH205" s="1521">
        <f t="shared" si="29"/>
        <v>8564400</v>
      </c>
      <c r="AI205" s="1142">
        <f t="shared" si="40"/>
        <v>188</v>
      </c>
      <c r="AJ205" s="1143">
        <f>IFERROR(INDEX('[17]CN BC'!$M$10:$M$276,MATCH(B205,'[17]CN BC'!$H$10:$H$276,0)),"")</f>
        <v>0</v>
      </c>
      <c r="AK205" s="1144" t="str">
        <f>VLOOKUP(B205,TH.T4!B207:AC537,28,FALSE)</f>
        <v>CK</v>
      </c>
      <c r="AL205" s="1171"/>
      <c r="AN205" s="1158"/>
    </row>
    <row r="206" spans="1:50" s="1148" customFormat="1" ht="27.75" customHeight="1">
      <c r="A206" s="1132">
        <f>_xlfn.AGGREGATE(4,7,A$17:A205)+1</f>
        <v>189</v>
      </c>
      <c r="B206" s="1133" t="s">
        <v>1528</v>
      </c>
      <c r="C206" s="1149" t="s">
        <v>1771</v>
      </c>
      <c r="D206" s="1154" t="s">
        <v>456</v>
      </c>
      <c r="E206" s="1058" t="str">
        <f>VLOOKUP(B206,TH.T6!B118:J448,9,FALSE)</f>
        <v>Giảng viên khoa Cơ khí</v>
      </c>
      <c r="F206" s="1160">
        <v>3.66</v>
      </c>
      <c r="G206" s="1137"/>
      <c r="H206" s="1392">
        <f t="shared" si="30"/>
        <v>0</v>
      </c>
      <c r="I206" s="1138"/>
      <c r="J206" s="1160">
        <v>3.66</v>
      </c>
      <c r="K206" s="1137"/>
      <c r="L206" s="1392">
        <f t="shared" si="31"/>
        <v>0</v>
      </c>
      <c r="M206" s="1138"/>
      <c r="N206" s="1160">
        <v>3.66</v>
      </c>
      <c r="O206" s="1137"/>
      <c r="P206" s="1393">
        <f t="shared" si="32"/>
        <v>0</v>
      </c>
      <c r="Q206" s="1138"/>
      <c r="R206" s="1138" t="str">
        <f>IFERROR(INDEX('[18]Gui chi Quynh'!$E$11:$E$397,MATCH(B206,'[18]Gui chi Quynh'!$B$11:$B$397,0)),"")</f>
        <v>A4</v>
      </c>
      <c r="S206" s="1138">
        <f t="shared" si="33"/>
        <v>0.5</v>
      </c>
      <c r="T206" s="1138" t="str">
        <f>VLOOKUP(B206,'[19]Gui chi Quynh'!$B$11:$E$397,4,FALSE)</f>
        <v>A DN</v>
      </c>
      <c r="U206" s="1138">
        <f t="shared" si="34"/>
        <v>0</v>
      </c>
      <c r="V206" s="1138" t="str">
        <f>VLOOKUP(B206,'[20]Gui chi Quynh'!$B$11:$E$396,4,FALSE)</f>
        <v>A4</v>
      </c>
      <c r="W206" s="1138">
        <f t="shared" si="35"/>
        <v>0.5</v>
      </c>
      <c r="X206" s="1138">
        <f>IFERROR(INDEX('[21]CN BC'!$J$10:$J$275,MATCH(B206,'[21]CN BC'!$H$10:$H$275,0)),"")</f>
        <v>23</v>
      </c>
      <c r="Y206" s="1138">
        <f>IFERROR(INDEX('[22]CN BC'!$J$10:$J$274,MATCH(B206,'[22]CN BC'!$H$10:$H$274,0)),"")</f>
        <v>0</v>
      </c>
      <c r="Z206" s="1138">
        <f>VLOOKUP(B206,'[23]CN BC'!$H$10:$J$275,3,FALSE)</f>
        <v>19</v>
      </c>
      <c r="AA206" s="1139">
        <f t="shared" si="36"/>
        <v>23</v>
      </c>
      <c r="AB206" s="1139">
        <f t="shared" si="37"/>
        <v>0</v>
      </c>
      <c r="AC206" s="1139">
        <f t="shared" si="38"/>
        <v>19</v>
      </c>
      <c r="AD206" s="1140"/>
      <c r="AE206" s="1141">
        <f t="shared" si="39"/>
        <v>8564400</v>
      </c>
      <c r="AF206" s="1519">
        <f t="shared" si="28"/>
        <v>3.66</v>
      </c>
      <c r="AG206" s="1224">
        <v>2340000</v>
      </c>
      <c r="AH206" s="1521">
        <f t="shared" si="29"/>
        <v>8564400</v>
      </c>
      <c r="AI206" s="1142">
        <f t="shared" si="40"/>
        <v>189</v>
      </c>
      <c r="AJ206" s="1143">
        <f>IFERROR(INDEX('[17]CN BC'!$M$10:$M$276,MATCH(B206,'[17]CN BC'!$H$10:$H$276,0)),"")</f>
        <v>0</v>
      </c>
      <c r="AK206" s="1144" t="str">
        <f>VLOOKUP(B206,TH.T4!B208:AC538,28,FALSE)</f>
        <v>CK</v>
      </c>
      <c r="AL206" s="1130"/>
      <c r="AM206" s="1146"/>
      <c r="AN206" s="1147"/>
      <c r="AO206" s="1146"/>
      <c r="AP206" s="1146"/>
      <c r="AQ206" s="1146"/>
      <c r="AR206" s="1146"/>
      <c r="AS206" s="1146"/>
      <c r="AT206" s="1146"/>
      <c r="AU206" s="1146"/>
      <c r="AV206" s="1146"/>
      <c r="AW206" s="1146"/>
      <c r="AX206" s="1146"/>
    </row>
    <row r="207" spans="1:50" s="1148" customFormat="1" ht="33.75" customHeight="1">
      <c r="A207" s="1132">
        <f>_xlfn.AGGREGATE(4,7,A$17:A206)+1</f>
        <v>190</v>
      </c>
      <c r="B207" s="1215" t="s">
        <v>1529</v>
      </c>
      <c r="C207" s="1216" t="s">
        <v>1772</v>
      </c>
      <c r="D207" s="1347" t="s">
        <v>743</v>
      </c>
      <c r="E207" s="579" t="str">
        <f>VLOOKUP(B207,TH.T6!B119:J449,9,FALSE)</f>
        <v>Giảng viên - Trưởng BM khoa Cơ khí</v>
      </c>
      <c r="F207" s="1358">
        <v>3.33</v>
      </c>
      <c r="G207" s="1218"/>
      <c r="H207" s="1394">
        <f t="shared" si="30"/>
        <v>0</v>
      </c>
      <c r="I207" s="1219">
        <v>0.25</v>
      </c>
      <c r="J207" s="1358">
        <v>3.33</v>
      </c>
      <c r="K207" s="1218"/>
      <c r="L207" s="1394">
        <f t="shared" si="31"/>
        <v>0</v>
      </c>
      <c r="M207" s="1219">
        <v>0.25</v>
      </c>
      <c r="N207" s="1358">
        <v>3.66</v>
      </c>
      <c r="O207" s="1218"/>
      <c r="P207" s="1395">
        <f t="shared" si="32"/>
        <v>0</v>
      </c>
      <c r="Q207" s="1219">
        <v>0.25</v>
      </c>
      <c r="R207" s="1219" t="str">
        <f>IFERROR(INDEX('[18]Gui chi Quynh'!$E$11:$E$397,MATCH(B207,'[18]Gui chi Quynh'!$B$11:$B$397,0)),"")</f>
        <v>A1</v>
      </c>
      <c r="S207" s="1219">
        <f t="shared" si="33"/>
        <v>0.8</v>
      </c>
      <c r="T207" s="1219" t="str">
        <f>VLOOKUP(B207,'[19]Gui chi Quynh'!$B$11:$E$397,4,FALSE)</f>
        <v>A DN</v>
      </c>
      <c r="U207" s="1219">
        <f t="shared" si="34"/>
        <v>0</v>
      </c>
      <c r="V207" s="1219" t="str">
        <f>VLOOKUP(B207,'[20]Gui chi Quynh'!$B$11:$E$396,4,FALSE)</f>
        <v>A1</v>
      </c>
      <c r="W207" s="1219">
        <f t="shared" si="35"/>
        <v>0.8</v>
      </c>
      <c r="X207" s="1219">
        <f>IFERROR(INDEX('[21]CN BC'!$J$10:$J$275,MATCH(B207,'[21]CN BC'!$H$10:$H$275,0)),"")</f>
        <v>21</v>
      </c>
      <c r="Y207" s="1219">
        <f>IFERROR(INDEX('[22]CN BC'!$J$10:$J$274,MATCH(B207,'[22]CN BC'!$H$10:$H$274,0)),"")</f>
        <v>0</v>
      </c>
      <c r="Z207" s="1219">
        <f>VLOOKUP(B207,'[23]CN BC'!$H$10:$J$275,3,FALSE)</f>
        <v>19</v>
      </c>
      <c r="AA207" s="1348">
        <f t="shared" si="36"/>
        <v>21</v>
      </c>
      <c r="AB207" s="1348">
        <f t="shared" si="37"/>
        <v>0</v>
      </c>
      <c r="AC207" s="1348">
        <f t="shared" si="38"/>
        <v>19</v>
      </c>
      <c r="AD207" s="1220"/>
      <c r="AE207" s="1349">
        <f t="shared" si="39"/>
        <v>13438518</v>
      </c>
      <c r="AF207" s="1548">
        <f t="shared" si="28"/>
        <v>5.7429564102564106</v>
      </c>
      <c r="AG207" s="1359">
        <v>2340000</v>
      </c>
      <c r="AH207" s="1549">
        <f t="shared" si="29"/>
        <v>13438518</v>
      </c>
      <c r="AI207" s="1221">
        <f t="shared" si="40"/>
        <v>190</v>
      </c>
      <c r="AJ207" s="1350" t="s">
        <v>2363</v>
      </c>
      <c r="AK207" s="1144" t="str">
        <f>VLOOKUP(B207,TH.T4!B209:AC539,28,FALSE)</f>
        <v>CK</v>
      </c>
      <c r="AL207" s="1130"/>
      <c r="AM207" s="1146"/>
      <c r="AN207" s="1147"/>
      <c r="AO207" s="1146"/>
      <c r="AP207" s="1146"/>
      <c r="AQ207" s="1146"/>
      <c r="AR207" s="1146"/>
      <c r="AS207" s="1146"/>
      <c r="AT207" s="1146"/>
      <c r="AU207" s="1146"/>
      <c r="AV207" s="1146"/>
      <c r="AW207" s="1146"/>
      <c r="AX207" s="1146"/>
    </row>
    <row r="208" spans="1:50" s="1148" customFormat="1" ht="30" customHeight="1">
      <c r="A208" s="1132">
        <f>_xlfn.AGGREGATE(4,7,A$17:A207)+1</f>
        <v>191</v>
      </c>
      <c r="B208" s="1133" t="s">
        <v>1530</v>
      </c>
      <c r="C208" s="1153" t="s">
        <v>1773</v>
      </c>
      <c r="D208" s="1179">
        <v>1603205357641</v>
      </c>
      <c r="E208" s="1058" t="str">
        <f>VLOOKUP(B208,TH.T6!B120:J450,9,FALSE)</f>
        <v>Giảng viên khoa Cơ khí</v>
      </c>
      <c r="F208" s="1160">
        <v>3.66</v>
      </c>
      <c r="G208" s="1137"/>
      <c r="H208" s="1392">
        <f t="shared" si="30"/>
        <v>0</v>
      </c>
      <c r="I208" s="1138"/>
      <c r="J208" s="1160">
        <v>3.66</v>
      </c>
      <c r="K208" s="1137"/>
      <c r="L208" s="1392">
        <f t="shared" si="31"/>
        <v>0</v>
      </c>
      <c r="M208" s="1138"/>
      <c r="N208" s="1160">
        <v>3.66</v>
      </c>
      <c r="O208" s="1137"/>
      <c r="P208" s="1393">
        <f t="shared" si="32"/>
        <v>0</v>
      </c>
      <c r="Q208" s="1138"/>
      <c r="R208" s="1138" t="str">
        <f>IFERROR(INDEX('[18]Gui chi Quynh'!$E$11:$E$397,MATCH(B208,'[18]Gui chi Quynh'!$B$11:$B$397,0)),"")</f>
        <v>A4</v>
      </c>
      <c r="S208" s="1138">
        <f t="shared" si="33"/>
        <v>0.5</v>
      </c>
      <c r="T208" s="1138" t="str">
        <f>VLOOKUP(B208,'[19]Gui chi Quynh'!$B$11:$E$397,4,FALSE)</f>
        <v>A DN</v>
      </c>
      <c r="U208" s="1138">
        <f t="shared" si="34"/>
        <v>0</v>
      </c>
      <c r="V208" s="1138" t="str">
        <f>VLOOKUP(B208,'[20]Gui chi Quynh'!$B$11:$E$396,4,FALSE)</f>
        <v>A4</v>
      </c>
      <c r="W208" s="1138">
        <f t="shared" si="35"/>
        <v>0.5</v>
      </c>
      <c r="X208" s="1138">
        <f>IFERROR(INDEX('[21]CN BC'!$J$10:$J$275,MATCH(B208,'[21]CN BC'!$H$10:$H$275,0)),"")</f>
        <v>21</v>
      </c>
      <c r="Y208" s="1138">
        <f>IFERROR(INDEX('[22]CN BC'!$J$10:$J$274,MATCH(B208,'[22]CN BC'!$H$10:$H$274,0)),"")</f>
        <v>0</v>
      </c>
      <c r="Z208" s="1138">
        <f>VLOOKUP(B208,'[23]CN BC'!$H$10:$J$275,3,FALSE)</f>
        <v>19</v>
      </c>
      <c r="AA208" s="1139">
        <f t="shared" si="36"/>
        <v>21</v>
      </c>
      <c r="AB208" s="1139">
        <f t="shared" si="37"/>
        <v>0</v>
      </c>
      <c r="AC208" s="1139">
        <f t="shared" si="38"/>
        <v>19</v>
      </c>
      <c r="AD208" s="1140"/>
      <c r="AE208" s="1141">
        <f t="shared" si="39"/>
        <v>8192035</v>
      </c>
      <c r="AF208" s="1519">
        <f t="shared" si="28"/>
        <v>3.5008696581196581</v>
      </c>
      <c r="AG208" s="1224">
        <v>2340000</v>
      </c>
      <c r="AH208" s="1521">
        <f t="shared" si="29"/>
        <v>8192035</v>
      </c>
      <c r="AI208" s="1142">
        <f t="shared" si="40"/>
        <v>191</v>
      </c>
      <c r="AJ208" s="1143">
        <f>IFERROR(INDEX('[17]CN BC'!$M$10:$M$276,MATCH(B208,'[17]CN BC'!$H$10:$H$276,0)),"")</f>
        <v>0</v>
      </c>
      <c r="AK208" s="1144" t="str">
        <f>VLOOKUP(B208,TH.T4!B210:AC540,28,FALSE)</f>
        <v>CK</v>
      </c>
      <c r="AL208" s="1227"/>
      <c r="AN208" s="1158"/>
    </row>
    <row r="209" spans="1:50" s="1148" customFormat="1" ht="25.9" customHeight="1">
      <c r="A209" s="1132">
        <f>_xlfn.AGGREGATE(4,7,A$17:A208)+1</f>
        <v>192</v>
      </c>
      <c r="B209" s="1133" t="s">
        <v>1531</v>
      </c>
      <c r="C209" s="1149" t="s">
        <v>1774</v>
      </c>
      <c r="D209" s="1179">
        <v>1603205357120</v>
      </c>
      <c r="E209" s="1058" t="str">
        <f>VLOOKUP(B209,TH.T6!B121:J451,9,FALSE)</f>
        <v>Giảng viên khoa Cơ khí</v>
      </c>
      <c r="F209" s="1160">
        <v>3.33</v>
      </c>
      <c r="G209" s="1137"/>
      <c r="H209" s="1392">
        <f t="shared" si="30"/>
        <v>0</v>
      </c>
      <c r="I209" s="1138"/>
      <c r="J209" s="1160">
        <v>3.33</v>
      </c>
      <c r="K209" s="1137"/>
      <c r="L209" s="1392">
        <f t="shared" si="31"/>
        <v>0</v>
      </c>
      <c r="M209" s="1138"/>
      <c r="N209" s="1160">
        <v>3.33</v>
      </c>
      <c r="O209" s="1137"/>
      <c r="P209" s="1393">
        <f t="shared" si="32"/>
        <v>0</v>
      </c>
      <c r="Q209" s="1138"/>
      <c r="R209" s="1138" t="str">
        <f>IFERROR(INDEX('[18]Gui chi Quynh'!$E$11:$E$397,MATCH(B209,'[18]Gui chi Quynh'!$B$11:$B$397,0)),"")</f>
        <v>A3</v>
      </c>
      <c r="S209" s="1138">
        <f t="shared" si="33"/>
        <v>0.6</v>
      </c>
      <c r="T209" s="1138" t="str">
        <f>VLOOKUP(B209,'[19]Gui chi Quynh'!$B$11:$E$397,4,FALSE)</f>
        <v>A DN</v>
      </c>
      <c r="U209" s="1138">
        <f t="shared" si="34"/>
        <v>0</v>
      </c>
      <c r="V209" s="1138" t="str">
        <f>VLOOKUP(B209,'[20]Gui chi Quynh'!$B$11:$E$396,4,FALSE)</f>
        <v>A3</v>
      </c>
      <c r="W209" s="1138">
        <f t="shared" si="35"/>
        <v>0.6</v>
      </c>
      <c r="X209" s="1138">
        <f>IFERROR(INDEX('[21]CN BC'!$J$10:$J$275,MATCH(B209,'[21]CN BC'!$H$10:$H$275,0)),"")</f>
        <v>23</v>
      </c>
      <c r="Y209" s="1138">
        <f>IFERROR(INDEX('[22]CN BC'!$J$10:$J$274,MATCH(B209,'[22]CN BC'!$H$10:$H$274,0)),"")</f>
        <v>0</v>
      </c>
      <c r="Z209" s="1138">
        <f>VLOOKUP(B209,'[23]CN BC'!$H$10:$J$275,3,FALSE)</f>
        <v>19</v>
      </c>
      <c r="AA209" s="1139">
        <f t="shared" si="36"/>
        <v>23</v>
      </c>
      <c r="AB209" s="1139">
        <f t="shared" si="37"/>
        <v>0</v>
      </c>
      <c r="AC209" s="1139">
        <f t="shared" si="38"/>
        <v>19</v>
      </c>
      <c r="AD209" s="1140"/>
      <c r="AE209" s="1141">
        <f t="shared" si="39"/>
        <v>9350640</v>
      </c>
      <c r="AF209" s="1519">
        <f t="shared" si="28"/>
        <v>3.996</v>
      </c>
      <c r="AG209" s="1224">
        <v>2340000</v>
      </c>
      <c r="AH209" s="1521">
        <f t="shared" si="29"/>
        <v>9350640</v>
      </c>
      <c r="AI209" s="1142">
        <f t="shared" si="40"/>
        <v>192</v>
      </c>
      <c r="AJ209" s="1143">
        <f>IFERROR(INDEX('[17]CN BC'!$M$10:$M$276,MATCH(B209,'[17]CN BC'!$H$10:$H$276,0)),"")</f>
        <v>0</v>
      </c>
      <c r="AK209" s="1144" t="str">
        <f>VLOOKUP(B209,TH.T4!B211:AC541,28,FALSE)</f>
        <v>CK</v>
      </c>
      <c r="AL209" s="1130"/>
      <c r="AM209" s="1146"/>
      <c r="AN209" s="1147"/>
      <c r="AO209" s="1146"/>
      <c r="AP209" s="1146"/>
      <c r="AQ209" s="1146"/>
      <c r="AR209" s="1146"/>
      <c r="AS209" s="1146"/>
      <c r="AT209" s="1146"/>
      <c r="AU209" s="1146"/>
      <c r="AV209" s="1146"/>
      <c r="AW209" s="1146"/>
      <c r="AX209" s="1146"/>
    </row>
    <row r="210" spans="1:50" s="1148" customFormat="1" ht="32.25" customHeight="1">
      <c r="A210" s="1132">
        <f>_xlfn.AGGREGATE(4,7,A$17:A209)+1</f>
        <v>193</v>
      </c>
      <c r="B210" s="1215" t="s">
        <v>1895</v>
      </c>
      <c r="C210" s="1216" t="s">
        <v>1775</v>
      </c>
      <c r="D210" s="1347" t="s">
        <v>1261</v>
      </c>
      <c r="E210" s="579" t="str">
        <f>VLOOKUP(B210,TH.T6!B122:J452,9,FALSE)</f>
        <v>Giảng viên khoa Cơ khí</v>
      </c>
      <c r="F210" s="1217">
        <v>4.9800000000000004</v>
      </c>
      <c r="G210" s="1218">
        <v>7.0000000000000007E-2</v>
      </c>
      <c r="H210" s="1394">
        <f t="shared" si="30"/>
        <v>0.34899999999999998</v>
      </c>
      <c r="I210" s="1219"/>
      <c r="J210" s="1217">
        <v>4.9800000000000004</v>
      </c>
      <c r="K210" s="1218">
        <v>7.0000000000000007E-2</v>
      </c>
      <c r="L210" s="1394">
        <f t="shared" si="31"/>
        <v>0.34899999999999998</v>
      </c>
      <c r="M210" s="1219"/>
      <c r="N210" s="1217">
        <v>4.9800000000000004</v>
      </c>
      <c r="O210" s="1218">
        <v>0.08</v>
      </c>
      <c r="P210" s="1395">
        <f t="shared" si="32"/>
        <v>0.39800000000000002</v>
      </c>
      <c r="Q210" s="1219"/>
      <c r="R210" s="1219" t="str">
        <f>IFERROR(INDEX('[18]Gui chi Quynh'!$E$11:$E$397,MATCH(B210,'[18]Gui chi Quynh'!$B$11:$B$397,0)),"")</f>
        <v>A4</v>
      </c>
      <c r="S210" s="1219">
        <f t="shared" si="33"/>
        <v>0.5</v>
      </c>
      <c r="T210" s="1219" t="str">
        <f>VLOOKUP(B210,'[19]Gui chi Quynh'!$B$11:$E$397,4,FALSE)</f>
        <v>A DN</v>
      </c>
      <c r="U210" s="1219">
        <f t="shared" si="34"/>
        <v>0</v>
      </c>
      <c r="V210" s="1219" t="str">
        <f>VLOOKUP(B210,'[20]Gui chi Quynh'!$B$11:$E$396,4,FALSE)</f>
        <v>A4</v>
      </c>
      <c r="W210" s="1219">
        <f t="shared" si="35"/>
        <v>0.5</v>
      </c>
      <c r="X210" s="1219">
        <f>IFERROR(INDEX('[21]CN BC'!$J$10:$J$275,MATCH(B210,'[21]CN BC'!$H$10:$H$275,0)),"")</f>
        <v>23</v>
      </c>
      <c r="Y210" s="1219">
        <f>IFERROR(INDEX('[22]CN BC'!$J$10:$J$274,MATCH(B210,'[22]CN BC'!$H$10:$H$274,0)),"")</f>
        <v>0</v>
      </c>
      <c r="Z210" s="1219">
        <f>VLOOKUP(B210,'[23]CN BC'!$H$10:$J$275,3,FALSE)</f>
        <v>19</v>
      </c>
      <c r="AA210" s="1348">
        <f t="shared" si="36"/>
        <v>23</v>
      </c>
      <c r="AB210" s="1348">
        <f t="shared" si="37"/>
        <v>0</v>
      </c>
      <c r="AC210" s="1348">
        <f t="shared" si="38"/>
        <v>19</v>
      </c>
      <c r="AD210" s="1220"/>
      <c r="AE210" s="1349">
        <f t="shared" si="39"/>
        <v>12527190</v>
      </c>
      <c r="AF210" s="1548">
        <f t="shared" ref="AF210:AF273" si="41">AE210/AG210</f>
        <v>5.3535000000000004</v>
      </c>
      <c r="AG210" s="1359">
        <v>2340000</v>
      </c>
      <c r="AH210" s="1549">
        <f t="shared" ref="AH210:AH273" si="42">AF210*AG210</f>
        <v>12527190</v>
      </c>
      <c r="AI210" s="1221">
        <f t="shared" si="40"/>
        <v>193</v>
      </c>
      <c r="AJ210" s="1350" t="s">
        <v>2361</v>
      </c>
      <c r="AK210" s="1144" t="str">
        <f>VLOOKUP(B210,TH.T4!B212:AC542,28,FALSE)</f>
        <v>CK</v>
      </c>
      <c r="AL210" s="1228"/>
      <c r="AM210" s="1146"/>
      <c r="AN210" s="1147"/>
      <c r="AO210" s="1146"/>
      <c r="AP210" s="1146"/>
      <c r="AQ210" s="1146"/>
      <c r="AR210" s="1146"/>
      <c r="AS210" s="1146"/>
      <c r="AT210" s="1146"/>
    </row>
    <row r="211" spans="1:50" s="1379" customFormat="1" ht="30.75" customHeight="1">
      <c r="A211" s="1132">
        <f>_xlfn.AGGREGATE(4,7,A$17:A210)+1</f>
        <v>194</v>
      </c>
      <c r="B211" s="1424" t="s">
        <v>1896</v>
      </c>
      <c r="C211" s="1425" t="s">
        <v>1776</v>
      </c>
      <c r="D211" s="1426" t="s">
        <v>1365</v>
      </c>
      <c r="E211" s="1532" t="str">
        <f>VLOOKUP(B211,TH.T6!B123:J453,9,FALSE)</f>
        <v>Giảng viên khoa Cơ khí</v>
      </c>
      <c r="F211" s="1427">
        <v>4.9800000000000004</v>
      </c>
      <c r="G211" s="1417">
        <v>0.11</v>
      </c>
      <c r="H211" s="1414">
        <f t="shared" si="30"/>
        <v>0.54800000000000004</v>
      </c>
      <c r="I211" s="1415"/>
      <c r="J211" s="1427">
        <v>4.9800000000000004</v>
      </c>
      <c r="K211" s="1417">
        <v>0.11</v>
      </c>
      <c r="L211" s="1414">
        <f t="shared" si="31"/>
        <v>0.54800000000000004</v>
      </c>
      <c r="M211" s="1415"/>
      <c r="N211" s="1427">
        <v>4.9800000000000004</v>
      </c>
      <c r="O211" s="1417">
        <v>0.11</v>
      </c>
      <c r="P211" s="1418">
        <f t="shared" si="32"/>
        <v>0.54800000000000004</v>
      </c>
      <c r="Q211" s="1415"/>
      <c r="R211" s="1415" t="str">
        <f>IFERROR(INDEX('[18]Gui chi Quynh'!$E$11:$E$397,MATCH(B211,'[18]Gui chi Quynh'!$B$11:$B$397,0)),"")</f>
        <v>A4</v>
      </c>
      <c r="S211" s="1415">
        <f t="shared" si="33"/>
        <v>0.5</v>
      </c>
      <c r="T211" s="1415" t="str">
        <f>VLOOKUP(B211,'[19]Gui chi Quynh'!$B$11:$E$397,4,FALSE)</f>
        <v>A DN</v>
      </c>
      <c r="U211" s="1415">
        <f t="shared" ref="U211:U274" si="43">IF(T211="A1",0.8,IF(T211="A2",0.7,IF(T211="A3",0.6,IF(T211="A4",0.5,IF(T211="B1",0.35,IF(T211="B2",0.25,IF(T211="C1",0.15,IF(T211="C2",0.1,0))))))))</f>
        <v>0</v>
      </c>
      <c r="V211" s="1415">
        <v>0</v>
      </c>
      <c r="W211" s="1415">
        <v>0</v>
      </c>
      <c r="X211" s="1415">
        <f>IFERROR(INDEX('[21]CN BC'!$J$10:$J$275,MATCH(B211,'[21]CN BC'!$H$10:$H$275,0)),"")</f>
        <v>21</v>
      </c>
      <c r="Y211" s="1415">
        <f>IFERROR(INDEX('[22]CN BC'!$J$10:$J$274,MATCH(B211,'[22]CN BC'!$H$10:$H$274,0)),"")</f>
        <v>0</v>
      </c>
      <c r="Z211" s="1415">
        <v>0</v>
      </c>
      <c r="AA211" s="1419">
        <f t="shared" si="36"/>
        <v>21</v>
      </c>
      <c r="AB211" s="1419">
        <f t="shared" ref="AB211:AB274" si="44">IF(Y211&gt;=$AB$12,$AB$12,IF(Y211&lt;$AB$12,Y211))</f>
        <v>0</v>
      </c>
      <c r="AC211" s="1419">
        <f t="shared" si="38"/>
        <v>0</v>
      </c>
      <c r="AD211" s="1420"/>
      <c r="AE211" s="1421">
        <f t="shared" ref="AE211:AE274" si="45">ROUND(((((((F211+H211+I211)*$AE$12/$AA$12*AA211)*S211)+((J211+L211+M211)*$AE$12/$AB$12*AB211)*U211)+((N211+P211+Q211)*$AE$12/$AC$12*AC211)*W211)+AD211),0)</f>
        <v>5905346</v>
      </c>
      <c r="AF211" s="1533">
        <f t="shared" si="41"/>
        <v>2.523652136752137</v>
      </c>
      <c r="AG211" s="1515">
        <v>2340000</v>
      </c>
      <c r="AH211" s="1534">
        <f t="shared" si="42"/>
        <v>5905346.0000000009</v>
      </c>
      <c r="AI211" s="1422">
        <f t="shared" si="40"/>
        <v>194</v>
      </c>
      <c r="AJ211" s="1423" t="s">
        <v>2365</v>
      </c>
      <c r="AK211" s="1375" t="str">
        <f>VLOOKUP(B211,TH.T4!B213:AC543,28,FALSE)</f>
        <v>CK</v>
      </c>
      <c r="AL211" s="1376"/>
      <c r="AM211" s="1377"/>
      <c r="AN211" s="1378"/>
      <c r="AO211" s="1377"/>
      <c r="AP211" s="1377"/>
      <c r="AQ211" s="1377"/>
      <c r="AR211" s="1377"/>
      <c r="AS211" s="1377"/>
      <c r="AT211" s="1377"/>
    </row>
    <row r="212" spans="1:50" s="1148" customFormat="1" ht="29.25" customHeight="1">
      <c r="A212" s="1132">
        <f>_xlfn.AGGREGATE(4,7,A$17:A211)+1</f>
        <v>195</v>
      </c>
      <c r="B212" s="1133" t="s">
        <v>1532</v>
      </c>
      <c r="C212" s="1149" t="s">
        <v>1777</v>
      </c>
      <c r="D212" s="1150" t="s">
        <v>1594</v>
      </c>
      <c r="E212" s="1058" t="str">
        <f>VLOOKUP(B212,TH.T6!B124:J454,9,FALSE)</f>
        <v>Giảng viên khoa Cơ khí</v>
      </c>
      <c r="F212" s="1160">
        <v>3.33</v>
      </c>
      <c r="G212" s="1137"/>
      <c r="H212" s="1392">
        <f t="shared" ref="H212:H275" si="46">ROUND(F212*G212,3)</f>
        <v>0</v>
      </c>
      <c r="I212" s="1138"/>
      <c r="J212" s="1160">
        <v>3.33</v>
      </c>
      <c r="K212" s="1137"/>
      <c r="L212" s="1392">
        <f t="shared" ref="L212:L275" si="47">ROUND(J212*K212,3)</f>
        <v>0</v>
      </c>
      <c r="M212" s="1138"/>
      <c r="N212" s="1160">
        <v>3.33</v>
      </c>
      <c r="O212" s="1137"/>
      <c r="P212" s="1393">
        <f t="shared" ref="P212:P275" si="48">ROUND(N212*O212,3)</f>
        <v>0</v>
      </c>
      <c r="Q212" s="1138"/>
      <c r="R212" s="1138" t="str">
        <f>IFERROR(INDEX('[18]Gui chi Quynh'!$E$11:$E$397,MATCH(B212,'[18]Gui chi Quynh'!$B$11:$B$397,0)),"")</f>
        <v>A2</v>
      </c>
      <c r="S212" s="1138">
        <f t="shared" ref="S212:S275" si="49">IF(R212="A1",0.8,IF(R212="A2",0.7,IF(R212="A3",0.6,IF(R212="A4",0.5,IF(R212="B1",0.35,IF(R212="B2",0.25,IF(R212="C1",0.15,IF(R212="C2",0.1,0))))))))</f>
        <v>0.7</v>
      </c>
      <c r="T212" s="1138" t="str">
        <f>VLOOKUP(B212,'[19]Gui chi Quynh'!$B$11:$E$397,4,FALSE)</f>
        <v>A DN</v>
      </c>
      <c r="U212" s="1138">
        <f t="shared" si="43"/>
        <v>0</v>
      </c>
      <c r="V212" s="1138" t="str">
        <f>VLOOKUP(B212,'[20]Gui chi Quynh'!$B$11:$E$396,4,FALSE)</f>
        <v>A3</v>
      </c>
      <c r="W212" s="1138">
        <f t="shared" ref="W212:W275" si="50">IF(V212="A1",0.8,IF(V212="A2",0.7,IF(V212="A3",0.6,IF(V212="A4",0.5,IF(V212="B1",0.35,IF(V212="B2",0.25,IF(V212="C1",0.15,IF(V212="C2",0.1,0))))))))</f>
        <v>0.6</v>
      </c>
      <c r="X212" s="1138">
        <f>IFERROR(INDEX('[21]CN BC'!$J$10:$J$275,MATCH(B212,'[21]CN BC'!$H$10:$H$275,0)),"")</f>
        <v>23</v>
      </c>
      <c r="Y212" s="1138">
        <f>IFERROR(INDEX('[22]CN BC'!$J$10:$J$274,MATCH(B212,'[22]CN BC'!$H$10:$H$274,0)),"")</f>
        <v>0</v>
      </c>
      <c r="Z212" s="1138">
        <f>VLOOKUP(B212,'[23]CN BC'!$H$10:$J$275,3,FALSE)</f>
        <v>19</v>
      </c>
      <c r="AA212" s="1139">
        <f t="shared" ref="AA212:AA275" si="51">IF(X212&gt;=$AA$12,$AA$12,IF(X212&lt;$AA$12,X212))</f>
        <v>23</v>
      </c>
      <c r="AB212" s="1139">
        <f t="shared" si="44"/>
        <v>0</v>
      </c>
      <c r="AC212" s="1139">
        <f t="shared" ref="AC212:AC275" si="52">IF(Z212&gt;=$AC$12,$AC$12,IF(Z212&lt;$AC$12,Z212))</f>
        <v>19</v>
      </c>
      <c r="AD212" s="1140"/>
      <c r="AE212" s="1141">
        <f t="shared" si="45"/>
        <v>10129860</v>
      </c>
      <c r="AF212" s="1519">
        <f t="shared" si="41"/>
        <v>4.3289999999999997</v>
      </c>
      <c r="AG212" s="1224">
        <v>2340000</v>
      </c>
      <c r="AH212" s="1521">
        <f t="shared" si="42"/>
        <v>10129860</v>
      </c>
      <c r="AI212" s="1142">
        <f t="shared" si="40"/>
        <v>195</v>
      </c>
      <c r="AJ212" s="1143">
        <f>IFERROR(INDEX('[17]CN BC'!$M$10:$M$276,MATCH(B212,'[17]CN BC'!$H$10:$H$276,0)),"")</f>
        <v>0</v>
      </c>
      <c r="AK212" s="1144" t="str">
        <f>VLOOKUP(B212,TH.T4!B214:AC544,28,FALSE)</f>
        <v>CK</v>
      </c>
      <c r="AL212" s="1130"/>
      <c r="AM212" s="1146"/>
      <c r="AN212" s="1147"/>
      <c r="AO212" s="1146"/>
      <c r="AP212" s="1146"/>
      <c r="AQ212" s="1146"/>
      <c r="AR212" s="1146"/>
      <c r="AS212" s="1146"/>
      <c r="AT212" s="1146"/>
      <c r="AU212" s="1146"/>
      <c r="AV212" s="1146"/>
      <c r="AW212" s="1146"/>
      <c r="AX212" s="1146"/>
    </row>
    <row r="213" spans="1:50" s="1148" customFormat="1" ht="25.5" customHeight="1">
      <c r="A213" s="1132">
        <f>_xlfn.AGGREGATE(4,7,A$17:A212)+1</f>
        <v>196</v>
      </c>
      <c r="B213" s="1133" t="s">
        <v>1608</v>
      </c>
      <c r="C213" s="1229" t="s">
        <v>1968</v>
      </c>
      <c r="D213" s="1159">
        <v>1603215003955</v>
      </c>
      <c r="E213" s="1058" t="str">
        <f>VLOOKUP(B213,TH.T6!B125:J455,9,FALSE)</f>
        <v>Giảng viên khoa Cơ khí</v>
      </c>
      <c r="F213" s="1160">
        <v>3</v>
      </c>
      <c r="G213" s="1170"/>
      <c r="H213" s="1392">
        <f t="shared" si="46"/>
        <v>0</v>
      </c>
      <c r="I213" s="1138"/>
      <c r="J213" s="1160">
        <v>3</v>
      </c>
      <c r="K213" s="1170"/>
      <c r="L213" s="1392">
        <f t="shared" si="47"/>
        <v>0</v>
      </c>
      <c r="M213" s="1138"/>
      <c r="N213" s="1160">
        <v>3</v>
      </c>
      <c r="O213" s="1170"/>
      <c r="P213" s="1393">
        <f t="shared" si="48"/>
        <v>0</v>
      </c>
      <c r="Q213" s="1138"/>
      <c r="R213" s="1138" t="str">
        <f>IFERROR(INDEX('[18]Gui chi Quynh'!$E$11:$E$397,MATCH(B213,'[18]Gui chi Quynh'!$B$11:$B$397,0)),"")</f>
        <v>A3</v>
      </c>
      <c r="S213" s="1138">
        <f t="shared" si="49"/>
        <v>0.6</v>
      </c>
      <c r="T213" s="1138" t="str">
        <f>VLOOKUP(B213,'[19]Gui chi Quynh'!$B$11:$E$397,4,FALSE)</f>
        <v>A DN</v>
      </c>
      <c r="U213" s="1138">
        <f t="shared" si="43"/>
        <v>0</v>
      </c>
      <c r="V213" s="1138" t="str">
        <f>VLOOKUP(B213,'[20]Gui chi Quynh'!$B$11:$E$396,4,FALSE)</f>
        <v>A4</v>
      </c>
      <c r="W213" s="1138">
        <f t="shared" si="50"/>
        <v>0.5</v>
      </c>
      <c r="X213" s="1138">
        <f>IFERROR(INDEX('[21]CN BC'!$J$10:$J$275,MATCH(B213,'[21]CN BC'!$H$10:$H$275,0)),"")</f>
        <v>21</v>
      </c>
      <c r="Y213" s="1138">
        <f>IFERROR(INDEX('[22]CN BC'!$J$10:$J$274,MATCH(B213,'[22]CN BC'!$H$10:$H$274,0)),"")</f>
        <v>0</v>
      </c>
      <c r="Z213" s="1138">
        <f>VLOOKUP(B213,'[23]CN BC'!$H$10:$J$275,3,FALSE)</f>
        <v>19</v>
      </c>
      <c r="AA213" s="1139">
        <f t="shared" si="51"/>
        <v>21</v>
      </c>
      <c r="AB213" s="1139">
        <f t="shared" si="44"/>
        <v>0</v>
      </c>
      <c r="AC213" s="1139">
        <f t="shared" si="52"/>
        <v>19</v>
      </c>
      <c r="AD213" s="1140"/>
      <c r="AE213" s="1141">
        <f t="shared" si="45"/>
        <v>7355739</v>
      </c>
      <c r="AF213" s="1519">
        <f t="shared" si="41"/>
        <v>3.1434782051282051</v>
      </c>
      <c r="AG213" s="1224">
        <v>2340000</v>
      </c>
      <c r="AH213" s="1521">
        <f t="shared" si="42"/>
        <v>7355739</v>
      </c>
      <c r="AI213" s="1142">
        <f t="shared" si="40"/>
        <v>196</v>
      </c>
      <c r="AJ213" s="1143">
        <f>IFERROR(INDEX('[17]CN BC'!$M$10:$M$276,MATCH(B213,'[17]CN BC'!$H$10:$H$276,0)),"")</f>
        <v>0</v>
      </c>
      <c r="AK213" s="1144" t="str">
        <f>VLOOKUP(B213,TH.T4!B215:AC545,28,FALSE)</f>
        <v>CK</v>
      </c>
      <c r="AL213" s="1130"/>
      <c r="AM213" s="1146"/>
      <c r="AN213" s="1147"/>
      <c r="AO213" s="1146"/>
      <c r="AP213" s="1146"/>
      <c r="AQ213" s="1146"/>
      <c r="AR213" s="1146"/>
      <c r="AS213" s="1146"/>
      <c r="AT213" s="1146"/>
    </row>
    <row r="214" spans="1:50" s="1148" customFormat="1" ht="24.75" customHeight="1">
      <c r="A214" s="1132">
        <f>_xlfn.AGGREGATE(4,7,A$17:A213)+1</f>
        <v>197</v>
      </c>
      <c r="B214" s="1133" t="s">
        <v>1835</v>
      </c>
      <c r="C214" s="1153" t="s">
        <v>1970</v>
      </c>
      <c r="D214" s="1230" t="s">
        <v>1969</v>
      </c>
      <c r="E214" s="1058" t="str">
        <f>VLOOKUP(B214,TH.T6!B126:J456,9,FALSE)</f>
        <v>Giảng viên khoa Cơ khí</v>
      </c>
      <c r="F214" s="1160">
        <v>3</v>
      </c>
      <c r="G214" s="1170"/>
      <c r="H214" s="1392">
        <f t="shared" si="46"/>
        <v>0</v>
      </c>
      <c r="I214" s="1138"/>
      <c r="J214" s="1160">
        <v>3</v>
      </c>
      <c r="K214" s="1170"/>
      <c r="L214" s="1392">
        <f t="shared" si="47"/>
        <v>0</v>
      </c>
      <c r="M214" s="1138"/>
      <c r="N214" s="1160">
        <v>3</v>
      </c>
      <c r="O214" s="1170"/>
      <c r="P214" s="1393">
        <f t="shared" si="48"/>
        <v>0</v>
      </c>
      <c r="Q214" s="1138"/>
      <c r="R214" s="1138" t="str">
        <f>IFERROR(INDEX('[18]Gui chi Quynh'!$E$11:$E$397,MATCH(B214,'[18]Gui chi Quynh'!$B$11:$B$397,0)),"")</f>
        <v>A1</v>
      </c>
      <c r="S214" s="1138">
        <f t="shared" si="49"/>
        <v>0.8</v>
      </c>
      <c r="T214" s="1138" t="str">
        <f>VLOOKUP(B214,'[19]Gui chi Quynh'!$B$11:$E$397,4,FALSE)</f>
        <v>A DN</v>
      </c>
      <c r="U214" s="1138">
        <f t="shared" si="43"/>
        <v>0</v>
      </c>
      <c r="V214" s="1138" t="str">
        <f>VLOOKUP(B214,'[20]Gui chi Quynh'!$B$11:$E$396,4,FALSE)</f>
        <v>A3</v>
      </c>
      <c r="W214" s="1138">
        <f t="shared" si="50"/>
        <v>0.6</v>
      </c>
      <c r="X214" s="1138">
        <f>IFERROR(INDEX('[21]CN BC'!$J$10:$J$275,MATCH(B214,'[21]CN BC'!$H$10:$H$275,0)),"")</f>
        <v>23</v>
      </c>
      <c r="Y214" s="1138">
        <f>IFERROR(INDEX('[22]CN BC'!$J$10:$J$274,MATCH(B214,'[22]CN BC'!$H$10:$H$274,0)),"")</f>
        <v>0</v>
      </c>
      <c r="Z214" s="1138">
        <f>VLOOKUP(B214,'[23]CN BC'!$H$10:$J$275,3,FALSE)</f>
        <v>19</v>
      </c>
      <c r="AA214" s="1139">
        <f t="shared" si="51"/>
        <v>23</v>
      </c>
      <c r="AB214" s="1139">
        <f t="shared" si="44"/>
        <v>0</v>
      </c>
      <c r="AC214" s="1139">
        <f t="shared" si="52"/>
        <v>19</v>
      </c>
      <c r="AD214" s="1140"/>
      <c r="AE214" s="1141">
        <f t="shared" si="45"/>
        <v>9828000</v>
      </c>
      <c r="AF214" s="1519">
        <f t="shared" si="41"/>
        <v>4.2</v>
      </c>
      <c r="AG214" s="1224">
        <v>2340000</v>
      </c>
      <c r="AH214" s="1521">
        <f t="shared" si="42"/>
        <v>9828000</v>
      </c>
      <c r="AI214" s="1142">
        <f t="shared" si="40"/>
        <v>197</v>
      </c>
      <c r="AJ214" s="1143">
        <f>IFERROR(INDEX('[17]CN BC'!$M$10:$M$276,MATCH(B214,'[17]CN BC'!$H$10:$H$276,0)),"")</f>
        <v>0</v>
      </c>
      <c r="AK214" s="1144" t="str">
        <f>VLOOKUP(B214,TH.T4!B216:AC546,28,FALSE)</f>
        <v>CK</v>
      </c>
      <c r="AL214" s="1130"/>
      <c r="AM214" s="1146"/>
      <c r="AN214" s="1147"/>
      <c r="AO214" s="1146"/>
      <c r="AP214" s="1146"/>
      <c r="AQ214" s="1146"/>
      <c r="AR214" s="1146"/>
      <c r="AS214" s="1146"/>
      <c r="AT214" s="1146"/>
    </row>
    <row r="215" spans="1:50" s="1148" customFormat="1" ht="29.25" customHeight="1">
      <c r="A215" s="1132">
        <f>_xlfn.AGGREGATE(4,7,A$17:A214)+1</f>
        <v>198</v>
      </c>
      <c r="B215" s="1133" t="s">
        <v>1897</v>
      </c>
      <c r="C215" s="1153" t="s">
        <v>1670</v>
      </c>
      <c r="D215" s="1154" t="s">
        <v>1286</v>
      </c>
      <c r="E215" s="1058" t="str">
        <f>VLOOKUP(B215,TH.T6!B127:J457,9,FALSE)</f>
        <v>Giảng viên khoa Cơ khí</v>
      </c>
      <c r="F215" s="1136">
        <v>4.9800000000000004</v>
      </c>
      <c r="G215" s="1137">
        <v>0.12</v>
      </c>
      <c r="H215" s="1392">
        <f t="shared" si="46"/>
        <v>0.59799999999999998</v>
      </c>
      <c r="I215" s="1138"/>
      <c r="J215" s="1136">
        <v>4.9800000000000004</v>
      </c>
      <c r="K215" s="1137">
        <v>0.12</v>
      </c>
      <c r="L215" s="1392">
        <f t="shared" si="47"/>
        <v>0.59799999999999998</v>
      </c>
      <c r="M215" s="1138"/>
      <c r="N215" s="1136">
        <v>4.9800000000000004</v>
      </c>
      <c r="O215" s="1137">
        <v>0.12</v>
      </c>
      <c r="P215" s="1393">
        <f t="shared" si="48"/>
        <v>0.59799999999999998</v>
      </c>
      <c r="Q215" s="1138"/>
      <c r="R215" s="1138" t="str">
        <f>IFERROR(INDEX('[18]Gui chi Quynh'!$E$11:$E$397,MATCH(B215,'[18]Gui chi Quynh'!$B$11:$B$397,0)),"")</f>
        <v>A4</v>
      </c>
      <c r="S215" s="1138">
        <f t="shared" si="49"/>
        <v>0.5</v>
      </c>
      <c r="T215" s="1138" t="str">
        <f>VLOOKUP(B215,'[19]Gui chi Quynh'!$B$11:$E$397,4,FALSE)</f>
        <v>A DN</v>
      </c>
      <c r="U215" s="1138">
        <f t="shared" si="43"/>
        <v>0</v>
      </c>
      <c r="V215" s="1138" t="str">
        <f>VLOOKUP(B215,'[20]Gui chi Quynh'!$B$11:$E$396,4,FALSE)</f>
        <v>A4</v>
      </c>
      <c r="W215" s="1138">
        <f t="shared" si="50"/>
        <v>0.5</v>
      </c>
      <c r="X215" s="1138">
        <f>IFERROR(INDEX('[21]CN BC'!$J$10:$J$275,MATCH(B215,'[21]CN BC'!$H$10:$H$275,0)),"")</f>
        <v>23</v>
      </c>
      <c r="Y215" s="1138">
        <f>IFERROR(INDEX('[22]CN BC'!$J$10:$J$274,MATCH(B215,'[22]CN BC'!$H$10:$H$274,0)),"")</f>
        <v>0</v>
      </c>
      <c r="Z215" s="1138">
        <f>VLOOKUP(B215,'[23]CN BC'!$H$10:$J$275,3,FALSE)</f>
        <v>19</v>
      </c>
      <c r="AA215" s="1139">
        <f t="shared" si="51"/>
        <v>23</v>
      </c>
      <c r="AB215" s="1139">
        <f t="shared" si="44"/>
        <v>0</v>
      </c>
      <c r="AC215" s="1139">
        <f t="shared" si="52"/>
        <v>19</v>
      </c>
      <c r="AD215" s="1140"/>
      <c r="AE215" s="1141">
        <f t="shared" si="45"/>
        <v>13052520</v>
      </c>
      <c r="AF215" s="1519">
        <f t="shared" si="41"/>
        <v>5.5780000000000003</v>
      </c>
      <c r="AG215" s="1224">
        <v>2340000</v>
      </c>
      <c r="AH215" s="1521">
        <f t="shared" si="42"/>
        <v>13052520</v>
      </c>
      <c r="AI215" s="1142">
        <f t="shared" si="40"/>
        <v>198</v>
      </c>
      <c r="AJ215" s="1143">
        <f>IFERROR(INDEX('[17]CN BC'!$M$10:$M$276,MATCH(B215,'[17]CN BC'!$H$10:$H$276,0)),"")</f>
        <v>0</v>
      </c>
      <c r="AK215" s="1144" t="str">
        <f>VLOOKUP(B215,TH.T4!B217:AC547,28,FALSE)</f>
        <v>CK</v>
      </c>
      <c r="AL215" s="1171"/>
      <c r="AN215" s="1158"/>
    </row>
    <row r="216" spans="1:50" s="1148" customFormat="1" ht="25.5" customHeight="1">
      <c r="A216" s="1132">
        <f>_xlfn.AGGREGATE(4,7,A$17:A215)+1</f>
        <v>199</v>
      </c>
      <c r="B216" s="1133" t="s">
        <v>1840</v>
      </c>
      <c r="C216" s="1153" t="s">
        <v>1971</v>
      </c>
      <c r="D216" s="1159">
        <v>1603205596180</v>
      </c>
      <c r="E216" s="1058" t="str">
        <f>VLOOKUP(B216,TH.T6!B128:J458,9,FALSE)</f>
        <v>Giảng viên khoa Cơ khí</v>
      </c>
      <c r="F216" s="1136">
        <v>2.67</v>
      </c>
      <c r="G216" s="1137"/>
      <c r="H216" s="1392">
        <f t="shared" si="46"/>
        <v>0</v>
      </c>
      <c r="I216" s="1138"/>
      <c r="J216" s="1136">
        <v>2.67</v>
      </c>
      <c r="K216" s="1137"/>
      <c r="L216" s="1392">
        <f t="shared" si="47"/>
        <v>0</v>
      </c>
      <c r="M216" s="1138"/>
      <c r="N216" s="1136">
        <v>2.67</v>
      </c>
      <c r="O216" s="1137"/>
      <c r="P216" s="1393">
        <f t="shared" si="48"/>
        <v>0</v>
      </c>
      <c r="Q216" s="1138"/>
      <c r="R216" s="1138" t="str">
        <f>IFERROR(INDEX('[18]Gui chi Quynh'!$E$11:$E$397,MATCH(B216,'[18]Gui chi Quynh'!$B$11:$B$397,0)),"")</f>
        <v>A2</v>
      </c>
      <c r="S216" s="1138">
        <f t="shared" si="49"/>
        <v>0.7</v>
      </c>
      <c r="T216" s="1138" t="str">
        <f>VLOOKUP(B216,'[19]Gui chi Quynh'!$B$11:$E$397,4,FALSE)</f>
        <v>A DN</v>
      </c>
      <c r="U216" s="1138">
        <f t="shared" si="43"/>
        <v>0</v>
      </c>
      <c r="V216" s="1138" t="str">
        <f>VLOOKUP(B216,'[20]Gui chi Quynh'!$B$11:$E$396,4,FALSE)</f>
        <v>A2</v>
      </c>
      <c r="W216" s="1138">
        <f t="shared" si="50"/>
        <v>0.7</v>
      </c>
      <c r="X216" s="1138">
        <f>IFERROR(INDEX('[21]CN BC'!$J$10:$J$275,MATCH(B216,'[21]CN BC'!$H$10:$H$275,0)),"")</f>
        <v>23</v>
      </c>
      <c r="Y216" s="1138">
        <f>IFERROR(INDEX('[22]CN BC'!$J$10:$J$274,MATCH(B216,'[22]CN BC'!$H$10:$H$274,0)),"")</f>
        <v>0</v>
      </c>
      <c r="Z216" s="1138">
        <f>VLOOKUP(B216,'[23]CN BC'!$H$10:$J$275,3,FALSE)</f>
        <v>19</v>
      </c>
      <c r="AA216" s="1139">
        <f t="shared" si="51"/>
        <v>23</v>
      </c>
      <c r="AB216" s="1139">
        <f t="shared" si="44"/>
        <v>0</v>
      </c>
      <c r="AC216" s="1139">
        <f t="shared" si="52"/>
        <v>19</v>
      </c>
      <c r="AD216" s="1140"/>
      <c r="AE216" s="1141">
        <f t="shared" si="45"/>
        <v>8746920</v>
      </c>
      <c r="AF216" s="1519">
        <f t="shared" si="41"/>
        <v>3.738</v>
      </c>
      <c r="AG216" s="1224">
        <v>2340000</v>
      </c>
      <c r="AH216" s="1521">
        <f t="shared" si="42"/>
        <v>8746920</v>
      </c>
      <c r="AI216" s="1142">
        <f t="shared" si="40"/>
        <v>199</v>
      </c>
      <c r="AJ216" s="1143">
        <f>IFERROR(INDEX('[17]CN BC'!$M$10:$M$276,MATCH(B216,'[17]CN BC'!$H$10:$H$276,0)),"")</f>
        <v>0</v>
      </c>
      <c r="AK216" s="1144" t="str">
        <f>VLOOKUP(B216,TH.T4!B218:AC548,28,FALSE)</f>
        <v>CK</v>
      </c>
      <c r="AL216" s="1130"/>
      <c r="AM216" s="1146"/>
      <c r="AN216" s="1147"/>
      <c r="AO216" s="1146"/>
      <c r="AP216" s="1146"/>
      <c r="AQ216" s="1146"/>
      <c r="AR216" s="1146"/>
      <c r="AS216" s="1146"/>
      <c r="AT216" s="1146"/>
    </row>
    <row r="217" spans="1:50" s="1148" customFormat="1" ht="24.75" customHeight="1">
      <c r="A217" s="1132">
        <f>_xlfn.AGGREGATE(4,7,A$17:A216)+1</f>
        <v>200</v>
      </c>
      <c r="B217" s="1133" t="s">
        <v>1943</v>
      </c>
      <c r="C217" s="1153" t="s">
        <v>1972</v>
      </c>
      <c r="D217" s="1154"/>
      <c r="E217" s="1058" t="str">
        <f>VLOOKUP(B217,TH.T6!B129:J459,9,FALSE)</f>
        <v>Giảng viên khoa Cơ khí</v>
      </c>
      <c r="F217" s="1160">
        <v>3</v>
      </c>
      <c r="G217" s="1137"/>
      <c r="H217" s="1392">
        <f t="shared" si="46"/>
        <v>0</v>
      </c>
      <c r="I217" s="1138"/>
      <c r="J217" s="1160">
        <v>3</v>
      </c>
      <c r="K217" s="1137"/>
      <c r="L217" s="1392">
        <f t="shared" si="47"/>
        <v>0</v>
      </c>
      <c r="M217" s="1138"/>
      <c r="N217" s="1160">
        <v>3</v>
      </c>
      <c r="O217" s="1137"/>
      <c r="P217" s="1393">
        <f t="shared" si="48"/>
        <v>0</v>
      </c>
      <c r="Q217" s="1138"/>
      <c r="R217" s="1138" t="str">
        <f>IFERROR(INDEX('[18]Gui chi Quynh'!$E$11:$E$397,MATCH(B217,'[18]Gui chi Quynh'!$B$11:$B$397,0)),"")</f>
        <v>A3</v>
      </c>
      <c r="S217" s="1138">
        <f t="shared" si="49"/>
        <v>0.6</v>
      </c>
      <c r="T217" s="1138" t="str">
        <f>VLOOKUP(B217,'[19]Gui chi Quynh'!$B$11:$E$397,4,FALSE)</f>
        <v>A DN</v>
      </c>
      <c r="U217" s="1138">
        <f t="shared" si="43"/>
        <v>0</v>
      </c>
      <c r="V217" s="1138" t="str">
        <f>VLOOKUP(B217,'[20]Gui chi Quynh'!$B$11:$E$396,4,FALSE)</f>
        <v>A3</v>
      </c>
      <c r="W217" s="1138">
        <f t="shared" si="50"/>
        <v>0.6</v>
      </c>
      <c r="X217" s="1138">
        <f>IFERROR(INDEX('[21]CN BC'!$J$10:$J$275,MATCH(B217,'[21]CN BC'!$H$10:$H$275,0)),"")</f>
        <v>21</v>
      </c>
      <c r="Y217" s="1138">
        <f>IFERROR(INDEX('[22]CN BC'!$J$10:$J$274,MATCH(B217,'[22]CN BC'!$H$10:$H$274,0)),"")</f>
        <v>0</v>
      </c>
      <c r="Z217" s="1138">
        <f>VLOOKUP(B217,'[23]CN BC'!$H$10:$J$275,3,FALSE)</f>
        <v>19</v>
      </c>
      <c r="AA217" s="1139">
        <f t="shared" si="51"/>
        <v>21</v>
      </c>
      <c r="AB217" s="1139">
        <f t="shared" si="44"/>
        <v>0</v>
      </c>
      <c r="AC217" s="1139">
        <f t="shared" si="52"/>
        <v>19</v>
      </c>
      <c r="AD217" s="1140"/>
      <c r="AE217" s="1141">
        <f t="shared" si="45"/>
        <v>8057739</v>
      </c>
      <c r="AF217" s="1519">
        <f t="shared" si="41"/>
        <v>3.4434782051282053</v>
      </c>
      <c r="AG217" s="1224">
        <v>2340000</v>
      </c>
      <c r="AH217" s="1521">
        <f t="shared" si="42"/>
        <v>8057739.0000000009</v>
      </c>
      <c r="AI217" s="1142">
        <f t="shared" si="40"/>
        <v>200</v>
      </c>
      <c r="AJ217" s="1143">
        <f>IFERROR(INDEX('[17]CN BC'!$M$10:$M$276,MATCH(B217,'[17]CN BC'!$H$10:$H$276,0)),"")</f>
        <v>0</v>
      </c>
      <c r="AK217" s="1144" t="str">
        <f>VLOOKUP(B217,TH.T4!B219:AC549,28,FALSE)</f>
        <v>CK</v>
      </c>
      <c r="AL217" s="1130"/>
      <c r="AM217" s="1146"/>
      <c r="AN217" s="1158"/>
    </row>
    <row r="218" spans="1:50" s="1148" customFormat="1" ht="26.25" customHeight="1">
      <c r="A218" s="1132">
        <f>_xlfn.AGGREGATE(4,7,A$17:A217)+1</f>
        <v>201</v>
      </c>
      <c r="B218" s="1133" t="s">
        <v>1994</v>
      </c>
      <c r="C218" s="1153"/>
      <c r="D218" s="1154"/>
      <c r="E218" s="1058" t="str">
        <f>VLOOKUP(B218,TH.T6!B130:J460,9,FALSE)</f>
        <v>Giảng viên khoa Cơ khí</v>
      </c>
      <c r="F218" s="1136">
        <v>4.32</v>
      </c>
      <c r="G218" s="1137"/>
      <c r="H218" s="1392">
        <f t="shared" si="46"/>
        <v>0</v>
      </c>
      <c r="I218" s="1138"/>
      <c r="J218" s="1136">
        <v>4.32</v>
      </c>
      <c r="K218" s="1137"/>
      <c r="L218" s="1392">
        <f t="shared" si="47"/>
        <v>0</v>
      </c>
      <c r="M218" s="1138"/>
      <c r="N218" s="1136">
        <v>4.32</v>
      </c>
      <c r="O218" s="1137"/>
      <c r="P218" s="1393">
        <f t="shared" si="48"/>
        <v>0</v>
      </c>
      <c r="Q218" s="1138"/>
      <c r="R218" s="1138" t="str">
        <f>IFERROR(INDEX('[18]Gui chi Quynh'!$E$11:$E$397,MATCH(B218,'[18]Gui chi Quynh'!$B$11:$B$397,0)),"")</f>
        <v>A4</v>
      </c>
      <c r="S218" s="1138">
        <f t="shared" si="49"/>
        <v>0.5</v>
      </c>
      <c r="T218" s="1138" t="str">
        <f>VLOOKUP(B218,'[19]Gui chi Quynh'!$B$11:$E$397,4,FALSE)</f>
        <v>A DN</v>
      </c>
      <c r="U218" s="1138">
        <f t="shared" si="43"/>
        <v>0</v>
      </c>
      <c r="V218" s="1138" t="str">
        <f>VLOOKUP(B218,'[20]Gui chi Quynh'!$B$11:$E$396,4,FALSE)</f>
        <v>A4</v>
      </c>
      <c r="W218" s="1138">
        <f t="shared" si="50"/>
        <v>0.5</v>
      </c>
      <c r="X218" s="1138">
        <f>IFERROR(INDEX('[21]CN BC'!$J$10:$J$275,MATCH(B218,'[21]CN BC'!$H$10:$H$275,0)),"")</f>
        <v>21</v>
      </c>
      <c r="Y218" s="1138">
        <f>IFERROR(INDEX('[22]CN BC'!$J$10:$J$274,MATCH(B218,'[22]CN BC'!$H$10:$H$274,0)),"")</f>
        <v>0</v>
      </c>
      <c r="Z218" s="1138">
        <f>VLOOKUP(B218,'[23]CN BC'!$H$10:$J$275,3,FALSE)</f>
        <v>19</v>
      </c>
      <c r="AA218" s="1139">
        <f t="shared" si="51"/>
        <v>21</v>
      </c>
      <c r="AB218" s="1139">
        <f t="shared" si="44"/>
        <v>0</v>
      </c>
      <c r="AC218" s="1139">
        <f t="shared" si="52"/>
        <v>19</v>
      </c>
      <c r="AD218" s="1140"/>
      <c r="AE218" s="1141">
        <f t="shared" si="45"/>
        <v>9669287</v>
      </c>
      <c r="AF218" s="1519">
        <f t="shared" si="41"/>
        <v>4.1321739316239317</v>
      </c>
      <c r="AG218" s="1224">
        <v>2340000</v>
      </c>
      <c r="AH218" s="1521">
        <f t="shared" si="42"/>
        <v>9669287</v>
      </c>
      <c r="AI218" s="1142">
        <f t="shared" si="40"/>
        <v>201</v>
      </c>
      <c r="AJ218" s="1143">
        <f>IFERROR(INDEX('[17]CN BC'!$M$10:$M$276,MATCH(B218,'[17]CN BC'!$H$10:$H$276,0)),"")</f>
        <v>0</v>
      </c>
      <c r="AK218" s="1144" t="str">
        <f>VLOOKUP(B218,TH.T4!B220:AC550,28,FALSE)</f>
        <v>CK</v>
      </c>
      <c r="AL218" s="1130"/>
      <c r="AM218" s="1146"/>
      <c r="AN218" s="1147"/>
      <c r="AO218" s="1146"/>
      <c r="AP218" s="1146"/>
      <c r="AQ218" s="1146"/>
      <c r="AR218" s="1146"/>
      <c r="AS218" s="1146"/>
      <c r="AT218" s="1146"/>
    </row>
    <row r="219" spans="1:50" s="1148" customFormat="1" ht="25.5" customHeight="1">
      <c r="A219" s="1132">
        <f>_xlfn.AGGREGATE(4,7,A$17:A218)+1</f>
        <v>202</v>
      </c>
      <c r="B219" s="1133" t="s">
        <v>2000</v>
      </c>
      <c r="C219" s="1153"/>
      <c r="D219" s="1154"/>
      <c r="E219" s="1058" t="str">
        <f>VLOOKUP(B219,TH.T6!B131:J461,9,FALSE)</f>
        <v>Giảng viên khoa Cơ khí</v>
      </c>
      <c r="F219" s="1136">
        <v>2.67</v>
      </c>
      <c r="G219" s="1137"/>
      <c r="H219" s="1392">
        <f t="shared" si="46"/>
        <v>0</v>
      </c>
      <c r="I219" s="1138"/>
      <c r="J219" s="1136">
        <v>2.67</v>
      </c>
      <c r="K219" s="1137"/>
      <c r="L219" s="1392">
        <f t="shared" si="47"/>
        <v>0</v>
      </c>
      <c r="M219" s="1138"/>
      <c r="N219" s="1136">
        <v>2.67</v>
      </c>
      <c r="O219" s="1137"/>
      <c r="P219" s="1393">
        <f t="shared" si="48"/>
        <v>0</v>
      </c>
      <c r="Q219" s="1138"/>
      <c r="R219" s="1138" t="str">
        <f>IFERROR(INDEX('[18]Gui chi Quynh'!$E$11:$E$397,MATCH(B219,'[18]Gui chi Quynh'!$B$11:$B$397,0)),"")</f>
        <v>A4</v>
      </c>
      <c r="S219" s="1138">
        <f t="shared" si="49"/>
        <v>0.5</v>
      </c>
      <c r="T219" s="1138" t="str">
        <f>VLOOKUP(B219,'[19]Gui chi Quynh'!$B$11:$E$397,4,FALSE)</f>
        <v>A DN</v>
      </c>
      <c r="U219" s="1138">
        <f t="shared" si="43"/>
        <v>0</v>
      </c>
      <c r="V219" s="1138" t="str">
        <f>VLOOKUP(B219,'[20]Gui chi Quynh'!$B$11:$E$396,4,FALSE)</f>
        <v>A3</v>
      </c>
      <c r="W219" s="1138">
        <f t="shared" si="50"/>
        <v>0.6</v>
      </c>
      <c r="X219" s="1138">
        <f>IFERROR(INDEX('[21]CN BC'!$J$10:$J$275,MATCH(B219,'[21]CN BC'!$H$10:$H$275,0)),"")</f>
        <v>23</v>
      </c>
      <c r="Y219" s="1138">
        <f>IFERROR(INDEX('[22]CN BC'!$J$10:$J$274,MATCH(B219,'[22]CN BC'!$H$10:$H$274,0)),"")</f>
        <v>0</v>
      </c>
      <c r="Z219" s="1138">
        <f>VLOOKUP(B219,'[23]CN BC'!$H$10:$J$275,3,FALSE)</f>
        <v>19</v>
      </c>
      <c r="AA219" s="1139">
        <f t="shared" si="51"/>
        <v>23</v>
      </c>
      <c r="AB219" s="1139">
        <f t="shared" si="44"/>
        <v>0</v>
      </c>
      <c r="AC219" s="1139">
        <f t="shared" si="52"/>
        <v>19</v>
      </c>
      <c r="AD219" s="1140"/>
      <c r="AE219" s="1141">
        <f t="shared" si="45"/>
        <v>6872580</v>
      </c>
      <c r="AF219" s="1519">
        <f t="shared" si="41"/>
        <v>2.9369999999999998</v>
      </c>
      <c r="AG219" s="1224">
        <v>2340000</v>
      </c>
      <c r="AH219" s="1521">
        <f t="shared" si="42"/>
        <v>6872580</v>
      </c>
      <c r="AI219" s="1142">
        <f t="shared" si="40"/>
        <v>202</v>
      </c>
      <c r="AJ219" s="1143">
        <f>IFERROR(INDEX('[17]CN BC'!$M$10:$M$276,MATCH(B219,'[17]CN BC'!$H$10:$H$276,0)),"")</f>
        <v>0</v>
      </c>
      <c r="AK219" s="1144" t="str">
        <f>VLOOKUP(B219,TH.T4!B221:AC551,28,FALSE)</f>
        <v>CK</v>
      </c>
      <c r="AL219" s="1130"/>
      <c r="AM219" s="1146"/>
      <c r="AN219" s="1158"/>
    </row>
    <row r="220" spans="1:50" s="1148" customFormat="1" ht="27" customHeight="1">
      <c r="A220" s="1132">
        <f>_xlfn.AGGREGATE(4,7,A$17:A219)+1</f>
        <v>203</v>
      </c>
      <c r="B220" s="1133" t="s">
        <v>1855</v>
      </c>
      <c r="C220" s="1153" t="s">
        <v>1651</v>
      </c>
      <c r="D220" s="1154" t="s">
        <v>1292</v>
      </c>
      <c r="E220" s="1058" t="str">
        <f>VLOOKUP(B220,TH.T6!B132:J462,9,FALSE)</f>
        <v>Giảng viên khoa Cơ khí</v>
      </c>
      <c r="F220" s="1136">
        <v>4.9800000000000004</v>
      </c>
      <c r="G220" s="1137">
        <v>7.0000000000000007E-2</v>
      </c>
      <c r="H220" s="1392">
        <f t="shared" si="46"/>
        <v>0.34899999999999998</v>
      </c>
      <c r="I220" s="1138">
        <v>0.35</v>
      </c>
      <c r="J220" s="1136">
        <v>4.9800000000000004</v>
      </c>
      <c r="K220" s="1137">
        <v>7.0000000000000007E-2</v>
      </c>
      <c r="L220" s="1392">
        <f t="shared" si="47"/>
        <v>0.34899999999999998</v>
      </c>
      <c r="M220" s="1138">
        <v>0.35</v>
      </c>
      <c r="N220" s="1136">
        <v>4.9800000000000004</v>
      </c>
      <c r="O220" s="1137">
        <v>7.0000000000000007E-2</v>
      </c>
      <c r="P220" s="1393">
        <f t="shared" si="48"/>
        <v>0.34899999999999998</v>
      </c>
      <c r="Q220" s="1138">
        <v>0.35</v>
      </c>
      <c r="R220" s="1138" t="str">
        <f>IFERROR(INDEX('[18]Gui chi Quynh'!$E$11:$E$397,MATCH(B220,'[18]Gui chi Quynh'!$B$11:$B$397,0)),"")</f>
        <v>A3</v>
      </c>
      <c r="S220" s="1138">
        <f t="shared" si="49"/>
        <v>0.6</v>
      </c>
      <c r="T220" s="1138" t="str">
        <f>VLOOKUP(B220,'[19]Gui chi Quynh'!$B$11:$E$397,4,FALSE)</f>
        <v>A DN</v>
      </c>
      <c r="U220" s="1138">
        <f t="shared" si="43"/>
        <v>0</v>
      </c>
      <c r="V220" s="1138" t="str">
        <f>VLOOKUP(B220,'[20]Gui chi Quynh'!$B$11:$E$396,4,FALSE)</f>
        <v>A3</v>
      </c>
      <c r="W220" s="1138">
        <f t="shared" si="50"/>
        <v>0.6</v>
      </c>
      <c r="X220" s="1138">
        <f>IFERROR(INDEX('[21]CN BC'!$J$10:$J$275,MATCH(B220,'[21]CN BC'!$H$10:$H$275,0)),"")</f>
        <v>21</v>
      </c>
      <c r="Y220" s="1138">
        <f>IFERROR(INDEX('[22]CN BC'!$J$10:$J$274,MATCH(B220,'[22]CN BC'!$H$10:$H$274,0)),"")</f>
        <v>0</v>
      </c>
      <c r="Z220" s="1138">
        <f>VLOOKUP(B220,'[23]CN BC'!$H$10:$J$275,3,FALSE)</f>
        <v>19</v>
      </c>
      <c r="AA220" s="1139">
        <f t="shared" si="51"/>
        <v>21</v>
      </c>
      <c r="AB220" s="1139">
        <f t="shared" si="44"/>
        <v>0</v>
      </c>
      <c r="AC220" s="1139">
        <f t="shared" si="52"/>
        <v>19</v>
      </c>
      <c r="AD220" s="1140"/>
      <c r="AE220" s="1141">
        <f t="shared" si="45"/>
        <v>15253300</v>
      </c>
      <c r="AF220" s="1519">
        <f t="shared" si="41"/>
        <v>6.5185042735042735</v>
      </c>
      <c r="AG220" s="1224">
        <v>2340000</v>
      </c>
      <c r="AH220" s="1521">
        <f t="shared" si="42"/>
        <v>15253300</v>
      </c>
      <c r="AI220" s="1142">
        <f t="shared" si="40"/>
        <v>203</v>
      </c>
      <c r="AJ220" s="1143">
        <f>IFERROR(INDEX('[17]CN BC'!$M$10:$M$276,MATCH(B220,'[17]CN BC'!$H$10:$H$276,0)),"")</f>
        <v>0</v>
      </c>
      <c r="AK220" s="1144" t="str">
        <f>VLOOKUP(B220,TH.T4!B222:AC552,28,FALSE)</f>
        <v>CK</v>
      </c>
      <c r="AL220" s="1130"/>
      <c r="AM220" s="1146"/>
      <c r="AN220" s="1147"/>
    </row>
    <row r="221" spans="1:50" s="1146" customFormat="1" ht="29.25" customHeight="1">
      <c r="A221" s="1132">
        <f>_xlfn.AGGREGATE(4,7,A$17:A220)+1</f>
        <v>204</v>
      </c>
      <c r="B221" s="1172" t="s">
        <v>1898</v>
      </c>
      <c r="C221" s="1149" t="s">
        <v>1781</v>
      </c>
      <c r="D221" s="1173" t="s">
        <v>1386</v>
      </c>
      <c r="E221" s="1058" t="str">
        <f>VLOOKUP(B221,TH.T6!B133:J463,9,FALSE)</f>
        <v>Trưởng khoa Điện - Điện tử</v>
      </c>
      <c r="F221" s="1174">
        <v>4.6500000000000004</v>
      </c>
      <c r="G221" s="1175"/>
      <c r="H221" s="1392">
        <f t="shared" si="46"/>
        <v>0</v>
      </c>
      <c r="I221" s="1138">
        <v>0.45</v>
      </c>
      <c r="J221" s="1174">
        <v>4.6500000000000004</v>
      </c>
      <c r="K221" s="1175"/>
      <c r="L221" s="1392">
        <f t="shared" si="47"/>
        <v>0</v>
      </c>
      <c r="M221" s="1138">
        <v>0.45</v>
      </c>
      <c r="N221" s="1174">
        <v>4.6500000000000004</v>
      </c>
      <c r="O221" s="1175"/>
      <c r="P221" s="1393">
        <f t="shared" si="48"/>
        <v>0</v>
      </c>
      <c r="Q221" s="1138">
        <v>0.45</v>
      </c>
      <c r="R221" s="1138" t="str">
        <f>IFERROR(INDEX('[18]Gui chi Quynh'!$E$11:$E$397,MATCH(B221,'[18]Gui chi Quynh'!$B$11:$B$397,0)),"")</f>
        <v>A1</v>
      </c>
      <c r="S221" s="1138">
        <f t="shared" si="49"/>
        <v>0.8</v>
      </c>
      <c r="T221" s="1138" t="str">
        <f>VLOOKUP(B221,'[19]Gui chi Quynh'!$B$11:$E$397,4,FALSE)</f>
        <v>A1</v>
      </c>
      <c r="U221" s="1138">
        <f t="shared" si="43"/>
        <v>0.8</v>
      </c>
      <c r="V221" s="1138" t="str">
        <f>VLOOKUP(B221,'[20]Gui chi Quynh'!$B$11:$E$396,4,FALSE)</f>
        <v>A1</v>
      </c>
      <c r="W221" s="1138">
        <f t="shared" si="50"/>
        <v>0.8</v>
      </c>
      <c r="X221" s="1138">
        <f>IFERROR(INDEX('[21]CN BC'!$J$10:$J$275,MATCH(B221,'[21]CN BC'!$H$10:$H$275,0)),"")</f>
        <v>21</v>
      </c>
      <c r="Y221" s="1138">
        <f>IFERROR(INDEX('[22]CN BC'!$J$10:$J$274,MATCH(B221,'[22]CN BC'!$H$10:$H$274,0)),"")</f>
        <v>23</v>
      </c>
      <c r="Z221" s="1138">
        <f>VLOOKUP(B221,'[23]CN BC'!$H$10:$J$275,3,FALSE)</f>
        <v>19</v>
      </c>
      <c r="AA221" s="1139">
        <f t="shared" si="51"/>
        <v>21</v>
      </c>
      <c r="AB221" s="1139">
        <f t="shared" si="44"/>
        <v>22</v>
      </c>
      <c r="AC221" s="1139">
        <f t="shared" si="52"/>
        <v>19</v>
      </c>
      <c r="AD221" s="1140"/>
      <c r="AE221" s="1141">
        <f t="shared" si="45"/>
        <v>27811409</v>
      </c>
      <c r="AF221" s="1519">
        <f t="shared" si="41"/>
        <v>11.885217521367521</v>
      </c>
      <c r="AG221" s="1224">
        <v>2340000</v>
      </c>
      <c r="AH221" s="1521">
        <f t="shared" si="42"/>
        <v>27811409</v>
      </c>
      <c r="AI221" s="1142">
        <f t="shared" ref="AI221:AI284" si="53">A221</f>
        <v>204</v>
      </c>
      <c r="AJ221" s="1143">
        <f>IFERROR(INDEX('[17]CN BC'!$M$10:$M$276,MATCH(B221,'[17]CN BC'!$H$10:$H$276,0)),"")</f>
        <v>0</v>
      </c>
      <c r="AK221" s="1144" t="str">
        <f>VLOOKUP(B221,TH.T4!B223:AC553,28,FALSE)</f>
        <v>Đ-ĐT</v>
      </c>
      <c r="AL221" s="1130"/>
      <c r="AN221" s="1147"/>
    </row>
    <row r="222" spans="1:50" s="1148" customFormat="1" ht="29.25" customHeight="1">
      <c r="A222" s="1132">
        <f>_xlfn.AGGREGATE(4,7,A$17:A221)+1</f>
        <v>205</v>
      </c>
      <c r="B222" s="1133" t="s">
        <v>526</v>
      </c>
      <c r="C222" s="1149" t="s">
        <v>1646</v>
      </c>
      <c r="D222" s="1154" t="s">
        <v>1398</v>
      </c>
      <c r="E222" s="1058" t="str">
        <f>VLOOKUP(B222,TH.T6!B134:J464,9,FALSE)</f>
        <v>Phó Trưởng khoa Điện - Điện tử</v>
      </c>
      <c r="F222" s="1136">
        <v>4.9800000000000004</v>
      </c>
      <c r="G222" s="1137">
        <v>0.16</v>
      </c>
      <c r="H222" s="1392">
        <f t="shared" si="46"/>
        <v>0.79700000000000004</v>
      </c>
      <c r="I222" s="1138">
        <f>0.35</f>
        <v>0.35</v>
      </c>
      <c r="J222" s="1136">
        <v>4.9800000000000004</v>
      </c>
      <c r="K222" s="1137">
        <v>0.16</v>
      </c>
      <c r="L222" s="1392">
        <f t="shared" si="47"/>
        <v>0.79700000000000004</v>
      </c>
      <c r="M222" s="1138">
        <f>0.35</f>
        <v>0.35</v>
      </c>
      <c r="N222" s="1136">
        <v>4.9800000000000004</v>
      </c>
      <c r="O222" s="1137">
        <v>0.16</v>
      </c>
      <c r="P222" s="1393">
        <f t="shared" si="48"/>
        <v>0.79700000000000004</v>
      </c>
      <c r="Q222" s="1138">
        <f>0.35</f>
        <v>0.35</v>
      </c>
      <c r="R222" s="1138" t="str">
        <f>IFERROR(INDEX('[18]Gui chi Quynh'!$E$11:$E$397,MATCH(B222,'[18]Gui chi Quynh'!$B$11:$B$397,0)),"")</f>
        <v>A3</v>
      </c>
      <c r="S222" s="1138">
        <f t="shared" si="49"/>
        <v>0.6</v>
      </c>
      <c r="T222" s="1138" t="str">
        <f>VLOOKUP(B222,'[19]Gui chi Quynh'!$B$11:$E$397,4,FALSE)</f>
        <v>A3</v>
      </c>
      <c r="U222" s="1138">
        <f t="shared" si="43"/>
        <v>0.6</v>
      </c>
      <c r="V222" s="1138" t="str">
        <f>VLOOKUP(B222,'[20]Gui chi Quynh'!$B$11:$E$396,4,FALSE)</f>
        <v>A2</v>
      </c>
      <c r="W222" s="1138">
        <f t="shared" si="50"/>
        <v>0.7</v>
      </c>
      <c r="X222" s="1138">
        <f>IFERROR(INDEX('[21]CN BC'!$J$10:$J$275,MATCH(B222,'[21]CN BC'!$H$10:$H$275,0)),"")</f>
        <v>21</v>
      </c>
      <c r="Y222" s="1138">
        <f>IFERROR(INDEX('[22]CN BC'!$J$10:$J$274,MATCH(B222,'[22]CN BC'!$H$10:$H$274,0)),"")</f>
        <v>20</v>
      </c>
      <c r="Z222" s="1138">
        <f>VLOOKUP(B222,'[23]CN BC'!$H$10:$J$275,3,FALSE)</f>
        <v>19</v>
      </c>
      <c r="AA222" s="1139">
        <f t="shared" si="51"/>
        <v>21</v>
      </c>
      <c r="AB222" s="1139">
        <f t="shared" si="44"/>
        <v>20</v>
      </c>
      <c r="AC222" s="1139">
        <f t="shared" si="52"/>
        <v>19</v>
      </c>
      <c r="AD222" s="1140"/>
      <c r="AE222" s="1141">
        <f t="shared" si="45"/>
        <v>25710587</v>
      </c>
      <c r="AF222" s="1519">
        <f t="shared" si="41"/>
        <v>10.987430341880343</v>
      </c>
      <c r="AG222" s="1224">
        <v>2340000</v>
      </c>
      <c r="AH222" s="1521">
        <f t="shared" si="42"/>
        <v>25710587</v>
      </c>
      <c r="AI222" s="1142">
        <f t="shared" si="53"/>
        <v>205</v>
      </c>
      <c r="AJ222" s="1143">
        <f>IFERROR(INDEX('[17]CN BC'!$M$10:$M$276,MATCH(B222,'[17]CN BC'!$H$10:$H$276,0)),"")</f>
        <v>0</v>
      </c>
      <c r="AK222" s="1144" t="str">
        <f>VLOOKUP(B222,TH.T4!B224:AC554,28,FALSE)</f>
        <v>Đ-ĐT</v>
      </c>
      <c r="AL222" s="1130"/>
      <c r="AM222" s="1146"/>
      <c r="AN222" s="1147"/>
      <c r="AO222" s="1146"/>
      <c r="AP222" s="1146"/>
      <c r="AQ222" s="1146"/>
      <c r="AR222" s="1146"/>
      <c r="AS222" s="1146"/>
      <c r="AT222" s="1146"/>
      <c r="AU222" s="1146"/>
      <c r="AV222" s="1146"/>
      <c r="AW222" s="1146"/>
      <c r="AX222" s="1146"/>
    </row>
    <row r="223" spans="1:50" s="1146" customFormat="1" ht="42" customHeight="1">
      <c r="A223" s="1132">
        <f>_xlfn.AGGREGATE(4,7,A$17:A222)+1</f>
        <v>206</v>
      </c>
      <c r="B223" s="1215" t="s">
        <v>1899</v>
      </c>
      <c r="C223" s="1216" t="s">
        <v>1778</v>
      </c>
      <c r="D223" s="1347" t="s">
        <v>1381</v>
      </c>
      <c r="E223" s="579" t="str">
        <f>VLOOKUP(B223,TH.T6!B135:J465,9,FALSE)</f>
        <v>Giảng viên khoa Điện - Điện tử</v>
      </c>
      <c r="F223" s="1217">
        <v>4.9800000000000004</v>
      </c>
      <c r="G223" s="1218">
        <v>0.06</v>
      </c>
      <c r="H223" s="1394">
        <f t="shared" si="46"/>
        <v>0.29899999999999999</v>
      </c>
      <c r="I223" s="1219"/>
      <c r="J223" s="1217">
        <v>4.9800000000000004</v>
      </c>
      <c r="K223" s="1218">
        <v>0.06</v>
      </c>
      <c r="L223" s="1394">
        <f t="shared" si="47"/>
        <v>0.29899999999999999</v>
      </c>
      <c r="M223" s="1219"/>
      <c r="N223" s="1217">
        <v>4.9800000000000004</v>
      </c>
      <c r="O223" s="1218">
        <v>7.0000000000000007E-2</v>
      </c>
      <c r="P223" s="1395">
        <f t="shared" si="48"/>
        <v>0.34899999999999998</v>
      </c>
      <c r="Q223" s="1219"/>
      <c r="R223" s="1219" t="str">
        <f>IFERROR(INDEX('[18]Gui chi Quynh'!$E$11:$E$397,MATCH(B223,'[18]Gui chi Quynh'!$B$11:$B$397,0)),"")</f>
        <v>A3</v>
      </c>
      <c r="S223" s="1219">
        <f t="shared" si="49"/>
        <v>0.6</v>
      </c>
      <c r="T223" s="1219" t="str">
        <f>VLOOKUP(B223,'[19]Gui chi Quynh'!$B$11:$E$397,4,FALSE)</f>
        <v>A DN</v>
      </c>
      <c r="U223" s="1219">
        <f t="shared" si="43"/>
        <v>0</v>
      </c>
      <c r="V223" s="1219" t="str">
        <f>VLOOKUP(B223,'[20]Gui chi Quynh'!$B$11:$E$396,4,FALSE)</f>
        <v>A3</v>
      </c>
      <c r="W223" s="1219">
        <f t="shared" si="50"/>
        <v>0.6</v>
      </c>
      <c r="X223" s="1219">
        <f>IFERROR(INDEX('[21]CN BC'!$J$10:$J$275,MATCH(B223,'[21]CN BC'!$H$10:$H$275,0)),"")</f>
        <v>21</v>
      </c>
      <c r="Y223" s="1219">
        <f>IFERROR(INDEX('[22]CN BC'!$J$10:$J$274,MATCH(B223,'[22]CN BC'!$H$10:$H$274,0)),"")</f>
        <v>0</v>
      </c>
      <c r="Z223" s="1219">
        <f>VLOOKUP(B223,'[23]CN BC'!$H$10:$J$275,3,FALSE)</f>
        <v>19</v>
      </c>
      <c r="AA223" s="1348">
        <f t="shared" si="51"/>
        <v>21</v>
      </c>
      <c r="AB223" s="1348">
        <f t="shared" si="44"/>
        <v>0</v>
      </c>
      <c r="AC223" s="1348">
        <f t="shared" si="52"/>
        <v>19</v>
      </c>
      <c r="AD223" s="1220"/>
      <c r="AE223" s="1349">
        <f t="shared" si="45"/>
        <v>14249135</v>
      </c>
      <c r="AF223" s="1548">
        <f t="shared" si="41"/>
        <v>6.0893739316239319</v>
      </c>
      <c r="AG223" s="1359">
        <v>2340000</v>
      </c>
      <c r="AH223" s="1549">
        <f t="shared" si="42"/>
        <v>14249135</v>
      </c>
      <c r="AI223" s="1221">
        <f t="shared" si="53"/>
        <v>206</v>
      </c>
      <c r="AJ223" s="1350" t="s">
        <v>2364</v>
      </c>
      <c r="AK223" s="1144" t="str">
        <f>VLOOKUP(B223,TH.T4!B225:AC555,28,FALSE)</f>
        <v>Đ-ĐT</v>
      </c>
      <c r="AL223" s="1130"/>
      <c r="AN223" s="1147"/>
    </row>
    <row r="224" spans="1:50" s="1148" customFormat="1" ht="29.25" customHeight="1">
      <c r="A224" s="1132">
        <f>_xlfn.AGGREGATE(4,7,A$17:A223)+1</f>
        <v>207</v>
      </c>
      <c r="B224" s="1133" t="s">
        <v>461</v>
      </c>
      <c r="C224" s="1153" t="s">
        <v>1779</v>
      </c>
      <c r="D224" s="1154" t="s">
        <v>1384</v>
      </c>
      <c r="E224" s="1058" t="str">
        <f>VLOOKUP(B224,TH.T6!B136:J466,9,FALSE)</f>
        <v>Giảng viên khoa Điện - Điện tử</v>
      </c>
      <c r="F224" s="1136">
        <v>4.9800000000000004</v>
      </c>
      <c r="G224" s="1137">
        <v>0.06</v>
      </c>
      <c r="H224" s="1392">
        <f t="shared" si="46"/>
        <v>0.29899999999999999</v>
      </c>
      <c r="I224" s="1138"/>
      <c r="J224" s="1136">
        <v>4.9800000000000004</v>
      </c>
      <c r="K224" s="1137">
        <v>0.06</v>
      </c>
      <c r="L224" s="1392">
        <f t="shared" si="47"/>
        <v>0.29899999999999999</v>
      </c>
      <c r="M224" s="1138"/>
      <c r="N224" s="1136">
        <v>4.9800000000000004</v>
      </c>
      <c r="O224" s="1137">
        <v>0.06</v>
      </c>
      <c r="P224" s="1393">
        <f t="shared" si="48"/>
        <v>0.29899999999999999</v>
      </c>
      <c r="Q224" s="1138"/>
      <c r="R224" s="1138" t="str">
        <f>IFERROR(INDEX('[18]Gui chi Quynh'!$E$11:$E$397,MATCH(B224,'[18]Gui chi Quynh'!$B$11:$B$397,0)),"")</f>
        <v>A3</v>
      </c>
      <c r="S224" s="1138">
        <f t="shared" si="49"/>
        <v>0.6</v>
      </c>
      <c r="T224" s="1138" t="str">
        <f>VLOOKUP(B224,'[19]Gui chi Quynh'!$B$11:$E$397,4,FALSE)</f>
        <v>A DN</v>
      </c>
      <c r="U224" s="1138">
        <f t="shared" si="43"/>
        <v>0</v>
      </c>
      <c r="V224" s="1138" t="str">
        <f>VLOOKUP(B224,'[20]Gui chi Quynh'!$B$11:$E$396,4,FALSE)</f>
        <v>A2</v>
      </c>
      <c r="W224" s="1138">
        <f t="shared" si="50"/>
        <v>0.7</v>
      </c>
      <c r="X224" s="1138">
        <f>IFERROR(INDEX('[21]CN BC'!$J$10:$J$275,MATCH(B224,'[21]CN BC'!$H$10:$H$275,0)),"")</f>
        <v>21</v>
      </c>
      <c r="Y224" s="1138">
        <f>IFERROR(INDEX('[22]CN BC'!$J$10:$J$274,MATCH(B224,'[22]CN BC'!$H$10:$H$274,0)),"")</f>
        <v>0</v>
      </c>
      <c r="Z224" s="1138">
        <f>VLOOKUP(B224,'[23]CN BC'!$H$10:$J$275,3,FALSE)</f>
        <v>19</v>
      </c>
      <c r="AA224" s="1139">
        <f t="shared" si="51"/>
        <v>21</v>
      </c>
      <c r="AB224" s="1139">
        <f t="shared" si="44"/>
        <v>0</v>
      </c>
      <c r="AC224" s="1139">
        <f t="shared" si="52"/>
        <v>19</v>
      </c>
      <c r="AD224" s="1140"/>
      <c r="AE224" s="1141">
        <f t="shared" si="45"/>
        <v>15414221</v>
      </c>
      <c r="AF224" s="1519">
        <f t="shared" si="41"/>
        <v>6.5872739316239315</v>
      </c>
      <c r="AG224" s="1224">
        <v>2340000</v>
      </c>
      <c r="AH224" s="1521">
        <f t="shared" si="42"/>
        <v>15414221</v>
      </c>
      <c r="AI224" s="1142">
        <f t="shared" si="53"/>
        <v>207</v>
      </c>
      <c r="AJ224" s="1143">
        <f>IFERROR(INDEX('[17]CN BC'!$M$10:$M$276,MATCH(B224,'[17]CN BC'!$H$10:$H$276,0)),"")</f>
        <v>0</v>
      </c>
      <c r="AK224" s="1144" t="str">
        <f>VLOOKUP(B224,TH.T4!B226:AC556,28,FALSE)</f>
        <v>Đ-ĐT</v>
      </c>
      <c r="AL224" s="1171"/>
      <c r="AN224" s="1158"/>
    </row>
    <row r="225" spans="1:50" s="1146" customFormat="1" ht="29.25" customHeight="1">
      <c r="A225" s="1132">
        <f>_xlfn.AGGREGATE(4,7,A$17:A224)+1</f>
        <v>208</v>
      </c>
      <c r="B225" s="1215" t="s">
        <v>1900</v>
      </c>
      <c r="C225" s="1216" t="s">
        <v>1780</v>
      </c>
      <c r="D225" s="1347" t="s">
        <v>1385</v>
      </c>
      <c r="E225" s="579" t="str">
        <f>VLOOKUP(B225,TH.T6!B137:J467,9,FALSE)</f>
        <v>Giảng viên khoa Điện - Điện tử</v>
      </c>
      <c r="F225" s="1217">
        <v>4.6500000000000004</v>
      </c>
      <c r="G225" s="1218"/>
      <c r="H225" s="1394">
        <f t="shared" si="46"/>
        <v>0</v>
      </c>
      <c r="I225" s="1219"/>
      <c r="J225" s="1217">
        <v>4.6500000000000004</v>
      </c>
      <c r="K225" s="1218"/>
      <c r="L225" s="1394">
        <f t="shared" si="47"/>
        <v>0</v>
      </c>
      <c r="M225" s="1219"/>
      <c r="N225" s="1217">
        <v>4.9800000000000004</v>
      </c>
      <c r="O225" s="1218"/>
      <c r="P225" s="1395">
        <f t="shared" si="48"/>
        <v>0</v>
      </c>
      <c r="Q225" s="1219"/>
      <c r="R225" s="1219" t="str">
        <f>IFERROR(INDEX('[18]Gui chi Quynh'!$E$11:$E$397,MATCH(B225,'[18]Gui chi Quynh'!$B$11:$B$397,0)),"")</f>
        <v>A3</v>
      </c>
      <c r="S225" s="1219">
        <f t="shared" si="49"/>
        <v>0.6</v>
      </c>
      <c r="T225" s="1219" t="str">
        <f>VLOOKUP(B225,'[19]Gui chi Quynh'!$B$11:$E$397,4,FALSE)</f>
        <v>A DN</v>
      </c>
      <c r="U225" s="1219">
        <f t="shared" si="43"/>
        <v>0</v>
      </c>
      <c r="V225" s="1219" t="str">
        <f>VLOOKUP(B225,'[20]Gui chi Quynh'!$B$11:$E$396,4,FALSE)</f>
        <v>A3</v>
      </c>
      <c r="W225" s="1219">
        <f t="shared" si="50"/>
        <v>0.6</v>
      </c>
      <c r="X225" s="1219">
        <f>IFERROR(INDEX('[21]CN BC'!$J$10:$J$275,MATCH(B225,'[21]CN BC'!$H$10:$H$275,0)),"")</f>
        <v>23</v>
      </c>
      <c r="Y225" s="1219">
        <f>IFERROR(INDEX('[22]CN BC'!$J$10:$J$274,MATCH(B225,'[22]CN BC'!$H$10:$H$274,0)),"")</f>
        <v>0</v>
      </c>
      <c r="Z225" s="1219">
        <f>VLOOKUP(B225,'[23]CN BC'!$H$10:$J$275,3,FALSE)</f>
        <v>19</v>
      </c>
      <c r="AA225" s="1348">
        <f t="shared" si="51"/>
        <v>23</v>
      </c>
      <c r="AB225" s="1348">
        <f t="shared" si="44"/>
        <v>0</v>
      </c>
      <c r="AC225" s="1348">
        <f t="shared" si="52"/>
        <v>19</v>
      </c>
      <c r="AD225" s="1220"/>
      <c r="AE225" s="1349">
        <f t="shared" si="45"/>
        <v>13520520</v>
      </c>
      <c r="AF225" s="1548">
        <f t="shared" si="41"/>
        <v>5.7779999999999996</v>
      </c>
      <c r="AG225" s="1359">
        <v>2340000</v>
      </c>
      <c r="AH225" s="1549">
        <f t="shared" si="42"/>
        <v>13520519.999999998</v>
      </c>
      <c r="AI225" s="1221">
        <f t="shared" si="53"/>
        <v>208</v>
      </c>
      <c r="AJ225" s="1350" t="s">
        <v>2363</v>
      </c>
      <c r="AK225" s="1144" t="str">
        <f>VLOOKUP(B225,TH.T4!B227:AC557,28,FALSE)</f>
        <v>Đ-ĐT</v>
      </c>
      <c r="AL225" s="1130"/>
      <c r="AN225" s="1147"/>
    </row>
    <row r="226" spans="1:50" s="1146" customFormat="1" ht="29.25" customHeight="1">
      <c r="A226" s="1132">
        <f>_xlfn.AGGREGATE(4,7,A$17:A225)+1</f>
        <v>209</v>
      </c>
      <c r="B226" s="1172" t="s">
        <v>1901</v>
      </c>
      <c r="C226" s="1149" t="s">
        <v>1782</v>
      </c>
      <c r="D226" s="1173" t="s">
        <v>1387</v>
      </c>
      <c r="E226" s="1058" t="str">
        <f>VLOOKUP(B226,TH.T6!B138:J468,9,FALSE)</f>
        <v>Giảng viên khoa Điện - Điện tử</v>
      </c>
      <c r="F226" s="1174">
        <v>4.32</v>
      </c>
      <c r="G226" s="1175"/>
      <c r="H226" s="1392">
        <f t="shared" si="46"/>
        <v>0</v>
      </c>
      <c r="I226" s="1176"/>
      <c r="J226" s="1174">
        <v>4.32</v>
      </c>
      <c r="K226" s="1175"/>
      <c r="L226" s="1392">
        <f t="shared" si="47"/>
        <v>0</v>
      </c>
      <c r="M226" s="1176"/>
      <c r="N226" s="1174">
        <v>4.32</v>
      </c>
      <c r="O226" s="1175"/>
      <c r="P226" s="1393">
        <f t="shared" si="48"/>
        <v>0</v>
      </c>
      <c r="Q226" s="1176"/>
      <c r="R226" s="1138" t="str">
        <f>IFERROR(INDEX('[18]Gui chi Quynh'!$E$11:$E$397,MATCH(B226,'[18]Gui chi Quynh'!$B$11:$B$397,0)),"")</f>
        <v>A3</v>
      </c>
      <c r="S226" s="1138">
        <f t="shared" si="49"/>
        <v>0.6</v>
      </c>
      <c r="T226" s="1138" t="str">
        <f>VLOOKUP(B226,'[19]Gui chi Quynh'!$B$11:$E$397,4,FALSE)</f>
        <v>A DN</v>
      </c>
      <c r="U226" s="1138">
        <f t="shared" si="43"/>
        <v>0</v>
      </c>
      <c r="V226" s="1138" t="str">
        <f>VLOOKUP(B226,'[20]Gui chi Quynh'!$B$11:$E$396,4,FALSE)</f>
        <v>A4</v>
      </c>
      <c r="W226" s="1138">
        <f t="shared" si="50"/>
        <v>0.5</v>
      </c>
      <c r="X226" s="1138">
        <f>IFERROR(INDEX('[21]CN BC'!$J$10:$J$275,MATCH(B226,'[21]CN BC'!$H$10:$H$275,0)),"")</f>
        <v>21</v>
      </c>
      <c r="Y226" s="1138">
        <f>IFERROR(INDEX('[22]CN BC'!$J$10:$J$274,MATCH(B226,'[22]CN BC'!$H$10:$H$274,0)),"")</f>
        <v>0</v>
      </c>
      <c r="Z226" s="1138">
        <f>VLOOKUP(B226,'[23]CN BC'!$H$10:$J$275,3,FALSE)</f>
        <v>19</v>
      </c>
      <c r="AA226" s="1139">
        <f t="shared" si="51"/>
        <v>21</v>
      </c>
      <c r="AB226" s="1139">
        <f t="shared" si="44"/>
        <v>0</v>
      </c>
      <c r="AC226" s="1139">
        <f t="shared" si="52"/>
        <v>19</v>
      </c>
      <c r="AD226" s="1140"/>
      <c r="AE226" s="1141">
        <f t="shared" si="45"/>
        <v>10592264</v>
      </c>
      <c r="AF226" s="1519">
        <f t="shared" si="41"/>
        <v>4.5266085470085473</v>
      </c>
      <c r="AG226" s="1224">
        <v>2340000</v>
      </c>
      <c r="AH226" s="1521">
        <f t="shared" si="42"/>
        <v>10592264</v>
      </c>
      <c r="AI226" s="1142">
        <f t="shared" si="53"/>
        <v>209</v>
      </c>
      <c r="AJ226" s="1143">
        <f>IFERROR(INDEX('[17]CN BC'!$M$10:$M$276,MATCH(B226,'[17]CN BC'!$H$10:$H$276,0)),"")</f>
        <v>0</v>
      </c>
      <c r="AK226" s="1144" t="str">
        <f>VLOOKUP(B226,TH.T4!B228:AC558,28,FALSE)</f>
        <v>Đ-ĐT</v>
      </c>
      <c r="AL226" s="1130"/>
      <c r="AN226" s="1147"/>
    </row>
    <row r="227" spans="1:50" s="1146" customFormat="1" ht="29.25" customHeight="1">
      <c r="A227" s="1132">
        <f>_xlfn.AGGREGATE(4,7,A$17:A226)+1</f>
        <v>210</v>
      </c>
      <c r="B227" s="1215" t="s">
        <v>1534</v>
      </c>
      <c r="C227" s="1216" t="s">
        <v>1783</v>
      </c>
      <c r="D227" s="1347" t="s">
        <v>1388</v>
      </c>
      <c r="E227" s="579" t="str">
        <f>VLOOKUP(B227,TH.T6!B139:J469,9,FALSE)</f>
        <v>Giảng viên khoa
Điện - Điện tử</v>
      </c>
      <c r="F227" s="1217">
        <v>4.32</v>
      </c>
      <c r="G227" s="1218"/>
      <c r="H227" s="1394">
        <f t="shared" si="46"/>
        <v>0</v>
      </c>
      <c r="I227" s="1219"/>
      <c r="J227" s="1217">
        <v>4.32</v>
      </c>
      <c r="K227" s="1218"/>
      <c r="L227" s="1394">
        <f t="shared" si="47"/>
        <v>0</v>
      </c>
      <c r="M227" s="1219"/>
      <c r="N227" s="1217">
        <v>4.6500000000000004</v>
      </c>
      <c r="O227" s="1218"/>
      <c r="P227" s="1395">
        <f t="shared" si="48"/>
        <v>0</v>
      </c>
      <c r="Q227" s="1219"/>
      <c r="R227" s="1219" t="str">
        <f>IFERROR(INDEX('[18]Gui chi Quynh'!$E$11:$E$397,MATCH(B227,'[18]Gui chi Quynh'!$B$11:$B$397,0)),"")</f>
        <v>A3</v>
      </c>
      <c r="S227" s="1219">
        <f t="shared" si="49"/>
        <v>0.6</v>
      </c>
      <c r="T227" s="1219" t="str">
        <f>VLOOKUP(B227,'[19]Gui chi Quynh'!$B$11:$E$397,4,FALSE)</f>
        <v>A DN</v>
      </c>
      <c r="U227" s="1219">
        <f t="shared" si="43"/>
        <v>0</v>
      </c>
      <c r="V227" s="1219" t="str">
        <f>VLOOKUP(B227,'[20]Gui chi Quynh'!$B$11:$E$396,4,FALSE)</f>
        <v>A4</v>
      </c>
      <c r="W227" s="1219">
        <f t="shared" si="50"/>
        <v>0.5</v>
      </c>
      <c r="X227" s="1219">
        <f>IFERROR(INDEX('[21]CN BC'!$J$10:$J$275,MATCH(B227,'[21]CN BC'!$H$10:$H$275,0)),"")</f>
        <v>21</v>
      </c>
      <c r="Y227" s="1219">
        <f>IFERROR(INDEX('[22]CN BC'!$J$10:$J$274,MATCH(B227,'[22]CN BC'!$H$10:$H$274,0)),"")</f>
        <v>0</v>
      </c>
      <c r="Z227" s="1219">
        <f>VLOOKUP(B227,'[23]CN BC'!$H$10:$J$275,3,FALSE)</f>
        <v>19</v>
      </c>
      <c r="AA227" s="1348">
        <f t="shared" si="51"/>
        <v>21</v>
      </c>
      <c r="AB227" s="1348">
        <f t="shared" si="44"/>
        <v>0</v>
      </c>
      <c r="AC227" s="1348">
        <f t="shared" si="52"/>
        <v>19</v>
      </c>
      <c r="AD227" s="1220"/>
      <c r="AE227" s="1349">
        <f t="shared" si="45"/>
        <v>10978364</v>
      </c>
      <c r="AF227" s="1548">
        <f t="shared" si="41"/>
        <v>4.6916085470085473</v>
      </c>
      <c r="AG227" s="1359">
        <v>2340000</v>
      </c>
      <c r="AH227" s="1549">
        <f t="shared" si="42"/>
        <v>10978364</v>
      </c>
      <c r="AI227" s="1221">
        <f t="shared" si="53"/>
        <v>210</v>
      </c>
      <c r="AJ227" s="1350" t="s">
        <v>2363</v>
      </c>
      <c r="AK227" s="1144" t="str">
        <f>VLOOKUP(B227,TH.T4!B229:AC559,28,FALSE)</f>
        <v>Đ-ĐT</v>
      </c>
      <c r="AL227" s="1130"/>
      <c r="AN227" s="1147"/>
    </row>
    <row r="228" spans="1:50" s="1148" customFormat="1" ht="29.25" customHeight="1">
      <c r="A228" s="1132">
        <f>_xlfn.AGGREGATE(4,7,A$17:A227)+1</f>
        <v>211</v>
      </c>
      <c r="B228" s="1215" t="s">
        <v>1535</v>
      </c>
      <c r="C228" s="1216" t="s">
        <v>1784</v>
      </c>
      <c r="D228" s="1355" t="s">
        <v>1595</v>
      </c>
      <c r="E228" s="579" t="str">
        <f>VLOOKUP(B228,TH.T6!B140:J470,9,FALSE)</f>
        <v>Trưởng BM Cơ điện tử và Tự động hóa</v>
      </c>
      <c r="F228" s="1358">
        <v>3.33</v>
      </c>
      <c r="G228" s="1218"/>
      <c r="H228" s="1394">
        <f t="shared" si="46"/>
        <v>0</v>
      </c>
      <c r="I228" s="1219">
        <v>0.25</v>
      </c>
      <c r="J228" s="1358">
        <v>3.33</v>
      </c>
      <c r="K228" s="1218"/>
      <c r="L228" s="1394">
        <f t="shared" si="47"/>
        <v>0</v>
      </c>
      <c r="M228" s="1219">
        <v>0.25</v>
      </c>
      <c r="N228" s="1358">
        <v>3.66</v>
      </c>
      <c r="O228" s="1218"/>
      <c r="P228" s="1395">
        <f t="shared" si="48"/>
        <v>0</v>
      </c>
      <c r="Q228" s="1219">
        <v>0.25</v>
      </c>
      <c r="R228" s="1219" t="str">
        <f>IFERROR(INDEX('[18]Gui chi Quynh'!$E$11:$E$397,MATCH(B228,'[18]Gui chi Quynh'!$B$11:$B$397,0)),"")</f>
        <v>A3</v>
      </c>
      <c r="S228" s="1219">
        <f t="shared" si="49"/>
        <v>0.6</v>
      </c>
      <c r="T228" s="1219" t="str">
        <f>VLOOKUP(B228,'[19]Gui chi Quynh'!$B$11:$E$397,4,FALSE)</f>
        <v>A DN</v>
      </c>
      <c r="U228" s="1219">
        <f t="shared" si="43"/>
        <v>0</v>
      </c>
      <c r="V228" s="1219" t="str">
        <f>VLOOKUP(B228,'[20]Gui chi Quynh'!$B$11:$E$396,4,FALSE)</f>
        <v>A1</v>
      </c>
      <c r="W228" s="1219">
        <f t="shared" si="50"/>
        <v>0.8</v>
      </c>
      <c r="X228" s="1219">
        <f>IFERROR(INDEX('[21]CN BC'!$J$10:$J$275,MATCH(B228,'[21]CN BC'!$H$10:$H$275,0)),"")</f>
        <v>21</v>
      </c>
      <c r="Y228" s="1219">
        <f>IFERROR(INDEX('[22]CN BC'!$J$10:$J$274,MATCH(B228,'[22]CN BC'!$H$10:$H$274,0)),"")</f>
        <v>0</v>
      </c>
      <c r="Z228" s="1219">
        <f>VLOOKUP(B228,'[23]CN BC'!$H$10:$J$275,3,FALSE)</f>
        <v>19</v>
      </c>
      <c r="AA228" s="1348">
        <f t="shared" si="51"/>
        <v>21</v>
      </c>
      <c r="AB228" s="1348">
        <f t="shared" si="44"/>
        <v>0</v>
      </c>
      <c r="AC228" s="1348">
        <f t="shared" si="52"/>
        <v>19</v>
      </c>
      <c r="AD228" s="1220"/>
      <c r="AE228" s="1349">
        <f t="shared" si="45"/>
        <v>11908769</v>
      </c>
      <c r="AF228" s="1548">
        <f t="shared" si="41"/>
        <v>5.0892175213675213</v>
      </c>
      <c r="AG228" s="1359">
        <v>2340000</v>
      </c>
      <c r="AH228" s="1549">
        <f t="shared" si="42"/>
        <v>11908769</v>
      </c>
      <c r="AI228" s="1221">
        <f t="shared" si="53"/>
        <v>211</v>
      </c>
      <c r="AJ228" s="1350" t="s">
        <v>2363</v>
      </c>
      <c r="AK228" s="1144" t="str">
        <f>VLOOKUP(B228,TH.T4!B230:AC560,28,FALSE)</f>
        <v>Đ-ĐT</v>
      </c>
      <c r="AL228" s="1130"/>
      <c r="AM228" s="1146"/>
      <c r="AN228" s="1147"/>
      <c r="AO228" s="1146"/>
      <c r="AP228" s="1146"/>
      <c r="AQ228" s="1146"/>
      <c r="AR228" s="1146"/>
      <c r="AS228" s="1146"/>
      <c r="AT228" s="1146"/>
    </row>
    <row r="229" spans="1:50" s="1148" customFormat="1" ht="29.25" customHeight="1">
      <c r="A229" s="1132">
        <f>_xlfn.AGGREGATE(4,7,A$17:A228)+1</f>
        <v>212</v>
      </c>
      <c r="B229" s="1223" t="s">
        <v>1903</v>
      </c>
      <c r="C229" s="1153" t="s">
        <v>1786</v>
      </c>
      <c r="D229" s="1154" t="s">
        <v>1392</v>
      </c>
      <c r="E229" s="1058" t="str">
        <f>VLOOKUP(B229,TH.T6!B141:J471,9,FALSE)</f>
        <v>Giảng viên khoa Điện - Điện tử</v>
      </c>
      <c r="F229" s="1160">
        <v>4.32</v>
      </c>
      <c r="G229" s="1137"/>
      <c r="H229" s="1392">
        <f t="shared" si="46"/>
        <v>0</v>
      </c>
      <c r="I229" s="1138"/>
      <c r="J229" s="1160">
        <v>4.32</v>
      </c>
      <c r="K229" s="1137"/>
      <c r="L229" s="1392">
        <f t="shared" si="47"/>
        <v>0</v>
      </c>
      <c r="M229" s="1138"/>
      <c r="N229" s="1160">
        <v>4.32</v>
      </c>
      <c r="O229" s="1137"/>
      <c r="P229" s="1393">
        <f t="shared" si="48"/>
        <v>0</v>
      </c>
      <c r="Q229" s="1138"/>
      <c r="R229" s="1138" t="str">
        <f>IFERROR(INDEX('[18]Gui chi Quynh'!$E$11:$E$397,MATCH(B229,'[18]Gui chi Quynh'!$B$11:$B$397,0)),"")</f>
        <v>A3</v>
      </c>
      <c r="S229" s="1138">
        <f t="shared" si="49"/>
        <v>0.6</v>
      </c>
      <c r="T229" s="1138" t="str">
        <f>VLOOKUP(B229,'[19]Gui chi Quynh'!$B$11:$E$397,4,FALSE)</f>
        <v>A DN</v>
      </c>
      <c r="U229" s="1138">
        <f t="shared" si="43"/>
        <v>0</v>
      </c>
      <c r="V229" s="1138" t="str">
        <f>VLOOKUP(B229,'[20]Gui chi Quynh'!$B$11:$E$396,4,FALSE)</f>
        <v>A3</v>
      </c>
      <c r="W229" s="1138">
        <f t="shared" si="50"/>
        <v>0.6</v>
      </c>
      <c r="X229" s="1138">
        <f>IFERROR(INDEX('[21]CN BC'!$J$10:$J$275,MATCH(B229,'[21]CN BC'!$H$10:$H$275,0)),"")</f>
        <v>23</v>
      </c>
      <c r="Y229" s="1138">
        <f>IFERROR(INDEX('[22]CN BC'!$J$10:$J$274,MATCH(B229,'[22]CN BC'!$H$10:$H$274,0)),"")</f>
        <v>0</v>
      </c>
      <c r="Z229" s="1138">
        <f>VLOOKUP(B229,'[23]CN BC'!$H$10:$J$275,3,FALSE)</f>
        <v>19</v>
      </c>
      <c r="AA229" s="1139">
        <f t="shared" si="51"/>
        <v>23</v>
      </c>
      <c r="AB229" s="1139">
        <f t="shared" si="44"/>
        <v>0</v>
      </c>
      <c r="AC229" s="1139">
        <f t="shared" si="52"/>
        <v>19</v>
      </c>
      <c r="AD229" s="1140"/>
      <c r="AE229" s="1141">
        <f t="shared" si="45"/>
        <v>12130560</v>
      </c>
      <c r="AF229" s="1519">
        <f t="shared" si="41"/>
        <v>5.1840000000000002</v>
      </c>
      <c r="AG229" s="1224">
        <v>2340000</v>
      </c>
      <c r="AH229" s="1521">
        <f t="shared" si="42"/>
        <v>12130560</v>
      </c>
      <c r="AI229" s="1142">
        <f t="shared" si="53"/>
        <v>212</v>
      </c>
      <c r="AJ229" s="1143">
        <f>IFERROR(INDEX('[17]CN BC'!$M$10:$M$276,MATCH(B229,'[17]CN BC'!$H$10:$H$276,0)),"")</f>
        <v>0</v>
      </c>
      <c r="AK229" s="1144" t="str">
        <f>VLOOKUP(B229,TH.T4!B231:AC561,28,FALSE)</f>
        <v>Đ-ĐT</v>
      </c>
      <c r="AL229" s="1167"/>
      <c r="AM229" s="1146"/>
      <c r="AN229" s="1147"/>
      <c r="AO229" s="1146"/>
      <c r="AP229" s="1146"/>
      <c r="AQ229" s="1146"/>
      <c r="AR229" s="1146"/>
      <c r="AS229" s="1146"/>
      <c r="AT229" s="1146"/>
    </row>
    <row r="230" spans="1:50" s="1148" customFormat="1" ht="29.25" customHeight="1">
      <c r="A230" s="1132">
        <f>_xlfn.AGGREGATE(4,7,A$17:A229)+1</f>
        <v>213</v>
      </c>
      <c r="B230" s="1133" t="s">
        <v>1904</v>
      </c>
      <c r="C230" s="1149" t="s">
        <v>1787</v>
      </c>
      <c r="D230" s="1154" t="s">
        <v>1396</v>
      </c>
      <c r="E230" s="1058" t="str">
        <f>VLOOKUP(B230,TH.T6!B142:J472,9,FALSE)</f>
        <v>Giảng viên khoa Điện - Điện tử</v>
      </c>
      <c r="F230" s="1136">
        <v>4.6500000000000004</v>
      </c>
      <c r="G230" s="1137"/>
      <c r="H230" s="1392">
        <f t="shared" si="46"/>
        <v>0</v>
      </c>
      <c r="I230" s="1138"/>
      <c r="J230" s="1136">
        <v>4.6500000000000004</v>
      </c>
      <c r="K230" s="1137"/>
      <c r="L230" s="1392">
        <f t="shared" si="47"/>
        <v>0</v>
      </c>
      <c r="M230" s="1138"/>
      <c r="N230" s="1136">
        <v>4.6500000000000004</v>
      </c>
      <c r="O230" s="1137"/>
      <c r="P230" s="1393">
        <f t="shared" si="48"/>
        <v>0</v>
      </c>
      <c r="Q230" s="1138"/>
      <c r="R230" s="1138" t="str">
        <f>IFERROR(INDEX('[18]Gui chi Quynh'!$E$11:$E$397,MATCH(B230,'[18]Gui chi Quynh'!$B$11:$B$397,0)),"")</f>
        <v>A3</v>
      </c>
      <c r="S230" s="1138">
        <f t="shared" si="49"/>
        <v>0.6</v>
      </c>
      <c r="T230" s="1138" t="str">
        <f>VLOOKUP(B230,'[19]Gui chi Quynh'!$B$11:$E$397,4,FALSE)</f>
        <v>A DN</v>
      </c>
      <c r="U230" s="1138">
        <f t="shared" si="43"/>
        <v>0</v>
      </c>
      <c r="V230" s="1138" t="str">
        <f>VLOOKUP(B230,'[20]Gui chi Quynh'!$B$11:$E$396,4,FALSE)</f>
        <v>A3</v>
      </c>
      <c r="W230" s="1138">
        <f t="shared" si="50"/>
        <v>0.6</v>
      </c>
      <c r="X230" s="1138">
        <f>IFERROR(INDEX('[21]CN BC'!$J$10:$J$275,MATCH(B230,'[21]CN BC'!$H$10:$H$275,0)),"")</f>
        <v>23</v>
      </c>
      <c r="Y230" s="1138">
        <f>IFERROR(INDEX('[22]CN BC'!$J$10:$J$274,MATCH(B230,'[22]CN BC'!$H$10:$H$274,0)),"")</f>
        <v>0</v>
      </c>
      <c r="Z230" s="1138">
        <f>VLOOKUP(B230,'[23]CN BC'!$H$10:$J$275,3,FALSE)</f>
        <v>19</v>
      </c>
      <c r="AA230" s="1139">
        <f t="shared" si="51"/>
        <v>23</v>
      </c>
      <c r="AB230" s="1139">
        <f t="shared" si="44"/>
        <v>0</v>
      </c>
      <c r="AC230" s="1139">
        <f t="shared" si="52"/>
        <v>19</v>
      </c>
      <c r="AD230" s="1140"/>
      <c r="AE230" s="1141">
        <f t="shared" si="45"/>
        <v>13057200</v>
      </c>
      <c r="AF230" s="1519">
        <f t="shared" si="41"/>
        <v>5.58</v>
      </c>
      <c r="AG230" s="1224">
        <v>2340000</v>
      </c>
      <c r="AH230" s="1521">
        <f t="shared" si="42"/>
        <v>13057200</v>
      </c>
      <c r="AI230" s="1142">
        <f t="shared" si="53"/>
        <v>213</v>
      </c>
      <c r="AJ230" s="1143">
        <f>IFERROR(INDEX('[17]CN BC'!$M$10:$M$276,MATCH(B230,'[17]CN BC'!$H$10:$H$276,0)),"")</f>
        <v>0</v>
      </c>
      <c r="AK230" s="1144" t="str">
        <f>VLOOKUP(B230,TH.T4!B232:AC562,28,FALSE)</f>
        <v>Đ-ĐT</v>
      </c>
      <c r="AL230" s="1130"/>
      <c r="AM230" s="1146"/>
      <c r="AN230" s="1147"/>
      <c r="AO230" s="1146"/>
      <c r="AP230" s="1146"/>
      <c r="AQ230" s="1146"/>
      <c r="AR230" s="1146"/>
      <c r="AS230" s="1146"/>
      <c r="AT230" s="1146"/>
      <c r="AU230" s="1146"/>
      <c r="AV230" s="1146"/>
      <c r="AW230" s="1146"/>
      <c r="AX230" s="1146"/>
    </row>
    <row r="231" spans="1:50" s="1148" customFormat="1" ht="29.25" customHeight="1">
      <c r="A231" s="1132">
        <f>_xlfn.AGGREGATE(4,7,A$17:A230)+1</f>
        <v>214</v>
      </c>
      <c r="B231" s="1133" t="s">
        <v>1536</v>
      </c>
      <c r="C231" s="1153" t="s">
        <v>1788</v>
      </c>
      <c r="D231" s="1154" t="s">
        <v>389</v>
      </c>
      <c r="E231" s="1058" t="str">
        <f>VLOOKUP(B231,TH.T6!B143:J473,9,FALSE)</f>
        <v>Giảng viên khoa
Điện - Điện tử</v>
      </c>
      <c r="F231" s="1160">
        <v>3.66</v>
      </c>
      <c r="G231" s="1137"/>
      <c r="H231" s="1392">
        <f t="shared" si="46"/>
        <v>0</v>
      </c>
      <c r="I231" s="1138"/>
      <c r="J231" s="1160">
        <v>3.66</v>
      </c>
      <c r="K231" s="1137"/>
      <c r="L231" s="1392">
        <f t="shared" si="47"/>
        <v>0</v>
      </c>
      <c r="M231" s="1138"/>
      <c r="N231" s="1160">
        <v>3.66</v>
      </c>
      <c r="O231" s="1137"/>
      <c r="P231" s="1393">
        <f t="shared" si="48"/>
        <v>0</v>
      </c>
      <c r="Q231" s="1138"/>
      <c r="R231" s="1138" t="str">
        <f>IFERROR(INDEX('[18]Gui chi Quynh'!$E$11:$E$397,MATCH(B231,'[18]Gui chi Quynh'!$B$11:$B$397,0)),"")</f>
        <v>A3</v>
      </c>
      <c r="S231" s="1138">
        <f t="shared" si="49"/>
        <v>0.6</v>
      </c>
      <c r="T231" s="1138" t="str">
        <f>VLOOKUP(B231,'[19]Gui chi Quynh'!$B$11:$E$397,4,FALSE)</f>
        <v>A DN</v>
      </c>
      <c r="U231" s="1138">
        <f t="shared" si="43"/>
        <v>0</v>
      </c>
      <c r="V231" s="1138" t="str">
        <f>VLOOKUP(B231,'[20]Gui chi Quynh'!$B$11:$E$396,4,FALSE)</f>
        <v>A3</v>
      </c>
      <c r="W231" s="1138">
        <f t="shared" si="50"/>
        <v>0.6</v>
      </c>
      <c r="X231" s="1138">
        <f>IFERROR(INDEX('[21]CN BC'!$J$10:$J$275,MATCH(B231,'[21]CN BC'!$H$10:$H$275,0)),"")</f>
        <v>23</v>
      </c>
      <c r="Y231" s="1138">
        <f>IFERROR(INDEX('[22]CN BC'!$J$10:$J$274,MATCH(B231,'[22]CN BC'!$H$10:$H$274,0)),"")</f>
        <v>0</v>
      </c>
      <c r="Z231" s="1138">
        <f>VLOOKUP(B231,'[23]CN BC'!$H$10:$J$275,3,FALSE)</f>
        <v>19</v>
      </c>
      <c r="AA231" s="1139">
        <f t="shared" si="51"/>
        <v>23</v>
      </c>
      <c r="AB231" s="1139">
        <f t="shared" si="44"/>
        <v>0</v>
      </c>
      <c r="AC231" s="1139">
        <f t="shared" si="52"/>
        <v>19</v>
      </c>
      <c r="AD231" s="1140"/>
      <c r="AE231" s="1141">
        <f t="shared" si="45"/>
        <v>10277280</v>
      </c>
      <c r="AF231" s="1519">
        <f t="shared" si="41"/>
        <v>4.3920000000000003</v>
      </c>
      <c r="AG231" s="1224">
        <v>2340000</v>
      </c>
      <c r="AH231" s="1521">
        <f t="shared" si="42"/>
        <v>10277280</v>
      </c>
      <c r="AI231" s="1142">
        <f t="shared" si="53"/>
        <v>214</v>
      </c>
      <c r="AJ231" s="1143">
        <f>IFERROR(INDEX('[17]CN BC'!$M$10:$M$276,MATCH(B231,'[17]CN BC'!$H$10:$H$276,0)),"")</f>
        <v>0</v>
      </c>
      <c r="AK231" s="1144" t="str">
        <f>VLOOKUP(B231,TH.T4!B233:AC563,28,FALSE)</f>
        <v>Đ-ĐT</v>
      </c>
      <c r="AL231" s="1130"/>
      <c r="AM231" s="1146"/>
      <c r="AN231" s="1147"/>
      <c r="AO231" s="1146"/>
      <c r="AP231" s="1146"/>
      <c r="AQ231" s="1146"/>
      <c r="AR231" s="1146"/>
      <c r="AS231" s="1146"/>
      <c r="AT231" s="1146"/>
    </row>
    <row r="232" spans="1:50" s="1148" customFormat="1" ht="29.25" customHeight="1">
      <c r="A232" s="1132">
        <f>_xlfn.AGGREGATE(4,7,A$17:A231)+1</f>
        <v>215</v>
      </c>
      <c r="B232" s="1215" t="s">
        <v>1537</v>
      </c>
      <c r="C232" s="1216" t="s">
        <v>1789</v>
      </c>
      <c r="D232" s="1347" t="s">
        <v>1334</v>
      </c>
      <c r="E232" s="579" t="str">
        <f>VLOOKUP(B232,TH.T6!B144:J474,9,FALSE)</f>
        <v>Giảng viên khoa
Điện - Điện tử</v>
      </c>
      <c r="F232" s="1358">
        <v>3.99</v>
      </c>
      <c r="G232" s="1218"/>
      <c r="H232" s="1394">
        <f t="shared" si="46"/>
        <v>0</v>
      </c>
      <c r="I232" s="1219"/>
      <c r="J232" s="1358">
        <v>3.99</v>
      </c>
      <c r="K232" s="1218"/>
      <c r="L232" s="1394">
        <f t="shared" si="47"/>
        <v>0</v>
      </c>
      <c r="M232" s="1219"/>
      <c r="N232" s="1358">
        <v>4.32</v>
      </c>
      <c r="O232" s="1218"/>
      <c r="P232" s="1395">
        <f t="shared" si="48"/>
        <v>0</v>
      </c>
      <c r="Q232" s="1219"/>
      <c r="R232" s="1219" t="str">
        <f>IFERROR(INDEX('[18]Gui chi Quynh'!$E$11:$E$397,MATCH(B232,'[18]Gui chi Quynh'!$B$11:$B$397,0)),"")</f>
        <v>A3</v>
      </c>
      <c r="S232" s="1219">
        <f t="shared" si="49"/>
        <v>0.6</v>
      </c>
      <c r="T232" s="1219" t="str">
        <f>VLOOKUP(B232,'[19]Gui chi Quynh'!$B$11:$E$397,4,FALSE)</f>
        <v>A DN</v>
      </c>
      <c r="U232" s="1219">
        <f t="shared" si="43"/>
        <v>0</v>
      </c>
      <c r="V232" s="1219" t="str">
        <f>VLOOKUP(B232,'[20]Gui chi Quynh'!$B$11:$E$396,4,FALSE)</f>
        <v>A3</v>
      </c>
      <c r="W232" s="1219">
        <f t="shared" si="50"/>
        <v>0.6</v>
      </c>
      <c r="X232" s="1219">
        <f>IFERROR(INDEX('[21]CN BC'!$J$10:$J$275,MATCH(B232,'[21]CN BC'!$H$10:$H$275,0)),"")</f>
        <v>23</v>
      </c>
      <c r="Y232" s="1219">
        <f>IFERROR(INDEX('[22]CN BC'!$J$10:$J$274,MATCH(B232,'[22]CN BC'!$H$10:$H$274,0)),"")</f>
        <v>0</v>
      </c>
      <c r="Z232" s="1219">
        <f>VLOOKUP(B232,'[23]CN BC'!$H$10:$J$275,3,FALSE)</f>
        <v>19</v>
      </c>
      <c r="AA232" s="1348">
        <f t="shared" si="51"/>
        <v>23</v>
      </c>
      <c r="AB232" s="1348">
        <f t="shared" si="44"/>
        <v>0</v>
      </c>
      <c r="AC232" s="1348">
        <f t="shared" si="52"/>
        <v>19</v>
      </c>
      <c r="AD232" s="1220"/>
      <c r="AE232" s="1349">
        <f t="shared" si="45"/>
        <v>11667240</v>
      </c>
      <c r="AF232" s="1548">
        <f t="shared" si="41"/>
        <v>4.9859999999999998</v>
      </c>
      <c r="AG232" s="1359">
        <v>2340000</v>
      </c>
      <c r="AH232" s="1549">
        <f t="shared" si="42"/>
        <v>11667240</v>
      </c>
      <c r="AI232" s="1221">
        <f t="shared" si="53"/>
        <v>215</v>
      </c>
      <c r="AJ232" s="1350" t="s">
        <v>2363</v>
      </c>
      <c r="AK232" s="1144" t="str">
        <f>VLOOKUP(B232,TH.T4!B234:AC564,28,FALSE)</f>
        <v>Đ-ĐT</v>
      </c>
      <c r="AL232" s="1130"/>
      <c r="AM232" s="1146"/>
      <c r="AN232" s="1147"/>
      <c r="AO232" s="1146"/>
      <c r="AP232" s="1146"/>
      <c r="AQ232" s="1146"/>
      <c r="AR232" s="1146"/>
      <c r="AS232" s="1146"/>
      <c r="AT232" s="1146"/>
      <c r="AU232" s="1146"/>
      <c r="AV232" s="1146"/>
      <c r="AW232" s="1146"/>
      <c r="AX232" s="1146"/>
    </row>
    <row r="233" spans="1:50" s="1148" customFormat="1" ht="29.25" customHeight="1">
      <c r="A233" s="1132">
        <f>_xlfn.AGGREGATE(4,7,A$17:A232)+1</f>
        <v>216</v>
      </c>
      <c r="B233" s="1133" t="s">
        <v>1905</v>
      </c>
      <c r="C233" s="1149" t="s">
        <v>1790</v>
      </c>
      <c r="D233" s="1168" t="s">
        <v>463</v>
      </c>
      <c r="E233" s="1058" t="str">
        <f>VLOOKUP(B233,TH.T6!B145:J475,9,FALSE)</f>
        <v>Giảng viên khoa Điện - Điện tử</v>
      </c>
      <c r="F233" s="1160">
        <v>3.66</v>
      </c>
      <c r="G233" s="1137"/>
      <c r="H233" s="1392">
        <f t="shared" si="46"/>
        <v>0</v>
      </c>
      <c r="I233" s="1138"/>
      <c r="J233" s="1160">
        <v>3.66</v>
      </c>
      <c r="K233" s="1137"/>
      <c r="L233" s="1392">
        <f t="shared" si="47"/>
        <v>0</v>
      </c>
      <c r="M233" s="1138"/>
      <c r="N233" s="1160">
        <v>3.66</v>
      </c>
      <c r="O233" s="1137"/>
      <c r="P233" s="1393">
        <f t="shared" si="48"/>
        <v>0</v>
      </c>
      <c r="Q233" s="1138"/>
      <c r="R233" s="1138" t="str">
        <f>IFERROR(INDEX('[18]Gui chi Quynh'!$E$11:$E$397,MATCH(B233,'[18]Gui chi Quynh'!$B$11:$B$397,0)),"")</f>
        <v>A3</v>
      </c>
      <c r="S233" s="1138">
        <f t="shared" si="49"/>
        <v>0.6</v>
      </c>
      <c r="T233" s="1138" t="str">
        <f>VLOOKUP(B233,'[19]Gui chi Quynh'!$B$11:$E$397,4,FALSE)</f>
        <v>A DN</v>
      </c>
      <c r="U233" s="1138">
        <f t="shared" si="43"/>
        <v>0</v>
      </c>
      <c r="V233" s="1138" t="str">
        <f>VLOOKUP(B233,'[20]Gui chi Quynh'!$B$11:$E$396,4,FALSE)</f>
        <v>A4</v>
      </c>
      <c r="W233" s="1138">
        <f t="shared" si="50"/>
        <v>0.5</v>
      </c>
      <c r="X233" s="1138">
        <f>IFERROR(INDEX('[21]CN BC'!$J$10:$J$275,MATCH(B233,'[21]CN BC'!$H$10:$H$275,0)),"")</f>
        <v>23</v>
      </c>
      <c r="Y233" s="1138">
        <f>IFERROR(INDEX('[22]CN BC'!$J$10:$J$274,MATCH(B233,'[22]CN BC'!$H$10:$H$274,0)),"")</f>
        <v>0</v>
      </c>
      <c r="Z233" s="1138">
        <f>VLOOKUP(B233,'[23]CN BC'!$H$10:$J$275,3,FALSE)</f>
        <v>19</v>
      </c>
      <c r="AA233" s="1139">
        <f t="shared" si="51"/>
        <v>23</v>
      </c>
      <c r="AB233" s="1139">
        <f t="shared" si="44"/>
        <v>0</v>
      </c>
      <c r="AC233" s="1139">
        <f t="shared" si="52"/>
        <v>19</v>
      </c>
      <c r="AD233" s="1140"/>
      <c r="AE233" s="1141">
        <f t="shared" si="45"/>
        <v>9420840</v>
      </c>
      <c r="AF233" s="1519">
        <f t="shared" si="41"/>
        <v>4.0259999999999998</v>
      </c>
      <c r="AG233" s="1224">
        <v>2340000</v>
      </c>
      <c r="AH233" s="1521">
        <f t="shared" si="42"/>
        <v>9420840</v>
      </c>
      <c r="AI233" s="1142">
        <f t="shared" si="53"/>
        <v>216</v>
      </c>
      <c r="AJ233" s="1143">
        <f>IFERROR(INDEX('[17]CN BC'!$M$10:$M$276,MATCH(B233,'[17]CN BC'!$H$10:$H$276,0)),"")</f>
        <v>0</v>
      </c>
      <c r="AK233" s="1144" t="str">
        <f>VLOOKUP(B233,TH.T4!B235:AC565,28,FALSE)</f>
        <v>Đ-ĐT</v>
      </c>
      <c r="AL233" s="1130"/>
      <c r="AM233" s="1146"/>
      <c r="AN233" s="1147"/>
      <c r="AO233" s="1146"/>
      <c r="AP233" s="1146"/>
      <c r="AQ233" s="1146"/>
      <c r="AR233" s="1146"/>
      <c r="AS233" s="1146"/>
      <c r="AT233" s="1146"/>
      <c r="AU233" s="1146"/>
      <c r="AV233" s="1146"/>
      <c r="AW233" s="1146"/>
      <c r="AX233" s="1146"/>
    </row>
    <row r="234" spans="1:50" s="1148" customFormat="1" ht="29.25" customHeight="1">
      <c r="A234" s="1132">
        <f>_xlfn.AGGREGATE(4,7,A$17:A233)+1</f>
        <v>217</v>
      </c>
      <c r="B234" s="1133" t="s">
        <v>1538</v>
      </c>
      <c r="C234" s="1149" t="s">
        <v>1791</v>
      </c>
      <c r="D234" s="1168" t="s">
        <v>510</v>
      </c>
      <c r="E234" s="1058" t="str">
        <f>VLOOKUP(B234,TH.T6!B146:J476,9,FALSE)</f>
        <v>Giảng viên khoa
Điện - Điện tử</v>
      </c>
      <c r="F234" s="1160">
        <v>3.66</v>
      </c>
      <c r="G234" s="1137"/>
      <c r="H234" s="1392">
        <f t="shared" si="46"/>
        <v>0</v>
      </c>
      <c r="I234" s="1138"/>
      <c r="J234" s="1160">
        <v>3.66</v>
      </c>
      <c r="K234" s="1137"/>
      <c r="L234" s="1392">
        <f t="shared" si="47"/>
        <v>0</v>
      </c>
      <c r="M234" s="1138"/>
      <c r="N234" s="1160">
        <v>3.66</v>
      </c>
      <c r="O234" s="1137"/>
      <c r="P234" s="1393">
        <f t="shared" si="48"/>
        <v>0</v>
      </c>
      <c r="Q234" s="1138"/>
      <c r="R234" s="1138" t="str">
        <f>IFERROR(INDEX('[18]Gui chi Quynh'!$E$11:$E$397,MATCH(B234,'[18]Gui chi Quynh'!$B$11:$B$397,0)),"")</f>
        <v>A3</v>
      </c>
      <c r="S234" s="1138">
        <f t="shared" si="49"/>
        <v>0.6</v>
      </c>
      <c r="T234" s="1138" t="str">
        <f>VLOOKUP(B234,'[19]Gui chi Quynh'!$B$11:$E$397,4,FALSE)</f>
        <v>A DN</v>
      </c>
      <c r="U234" s="1138">
        <f t="shared" si="43"/>
        <v>0</v>
      </c>
      <c r="V234" s="1138" t="str">
        <f>VLOOKUP(B234,'[20]Gui chi Quynh'!$B$11:$E$396,4,FALSE)</f>
        <v>A3</v>
      </c>
      <c r="W234" s="1138">
        <f t="shared" si="50"/>
        <v>0.6</v>
      </c>
      <c r="X234" s="1138">
        <f>IFERROR(INDEX('[21]CN BC'!$J$10:$J$275,MATCH(B234,'[21]CN BC'!$H$10:$H$275,0)),"")</f>
        <v>23</v>
      </c>
      <c r="Y234" s="1138">
        <f>IFERROR(INDEX('[22]CN BC'!$J$10:$J$274,MATCH(B234,'[22]CN BC'!$H$10:$H$274,0)),"")</f>
        <v>0</v>
      </c>
      <c r="Z234" s="1138">
        <f>VLOOKUP(B234,'[23]CN BC'!$H$10:$J$275,3,FALSE)</f>
        <v>19</v>
      </c>
      <c r="AA234" s="1139">
        <f t="shared" si="51"/>
        <v>23</v>
      </c>
      <c r="AB234" s="1139">
        <f t="shared" si="44"/>
        <v>0</v>
      </c>
      <c r="AC234" s="1139">
        <f t="shared" si="52"/>
        <v>19</v>
      </c>
      <c r="AD234" s="1140"/>
      <c r="AE234" s="1141">
        <f t="shared" si="45"/>
        <v>10277280</v>
      </c>
      <c r="AF234" s="1519">
        <f t="shared" si="41"/>
        <v>4.3920000000000003</v>
      </c>
      <c r="AG234" s="1224">
        <v>2340000</v>
      </c>
      <c r="AH234" s="1521">
        <f t="shared" si="42"/>
        <v>10277280</v>
      </c>
      <c r="AI234" s="1142">
        <f t="shared" si="53"/>
        <v>217</v>
      </c>
      <c r="AJ234" s="1143">
        <f>IFERROR(INDEX('[17]CN BC'!$M$10:$M$276,MATCH(B234,'[17]CN BC'!$H$10:$H$276,0)),"")</f>
        <v>0</v>
      </c>
      <c r="AK234" s="1144" t="str">
        <f>VLOOKUP(B234,TH.T4!B236:AC566,28,FALSE)</f>
        <v>Đ-ĐT</v>
      </c>
      <c r="AL234" s="1130"/>
      <c r="AM234" s="1146"/>
      <c r="AN234" s="1147"/>
      <c r="AO234" s="1146"/>
      <c r="AP234" s="1146"/>
      <c r="AQ234" s="1146"/>
      <c r="AR234" s="1146"/>
      <c r="AS234" s="1146"/>
      <c r="AT234" s="1146"/>
      <c r="AU234" s="1146"/>
      <c r="AV234" s="1146"/>
      <c r="AW234" s="1146"/>
      <c r="AX234" s="1146"/>
    </row>
    <row r="235" spans="1:50" s="1148" customFormat="1" ht="29.25" customHeight="1">
      <c r="A235" s="1132">
        <f>_xlfn.AGGREGATE(4,7,A$17:A234)+1</f>
        <v>218</v>
      </c>
      <c r="B235" s="1133" t="s">
        <v>1906</v>
      </c>
      <c r="C235" s="1153" t="s">
        <v>1792</v>
      </c>
      <c r="D235" s="1154" t="s">
        <v>1399</v>
      </c>
      <c r="E235" s="1058" t="str">
        <f>VLOOKUP(B235,TH.T6!B147:J477,9,FALSE)</f>
        <v>Giảng viên khoa Điện - Điện tử</v>
      </c>
      <c r="F235" s="1136">
        <v>4.9800000000000004</v>
      </c>
      <c r="G235" s="1137">
        <v>0.09</v>
      </c>
      <c r="H235" s="1392">
        <f t="shared" si="46"/>
        <v>0.44800000000000001</v>
      </c>
      <c r="I235" s="1138">
        <v>0.35</v>
      </c>
      <c r="J235" s="1136">
        <v>4.9800000000000004</v>
      </c>
      <c r="K235" s="1137">
        <v>0.09</v>
      </c>
      <c r="L235" s="1392">
        <f t="shared" si="47"/>
        <v>0.44800000000000001</v>
      </c>
      <c r="M235" s="1138">
        <v>0.35</v>
      </c>
      <c r="N235" s="1136">
        <v>4.9800000000000004</v>
      </c>
      <c r="O235" s="1137">
        <v>0.09</v>
      </c>
      <c r="P235" s="1393">
        <f t="shared" si="48"/>
        <v>0.44800000000000001</v>
      </c>
      <c r="Q235" s="1138">
        <v>0.35</v>
      </c>
      <c r="R235" s="1138" t="str">
        <f>IFERROR(INDEX('[18]Gui chi Quynh'!$E$11:$E$397,MATCH(B235,'[18]Gui chi Quynh'!$B$11:$B$397,0)),"")</f>
        <v>A3</v>
      </c>
      <c r="S235" s="1138">
        <f t="shared" si="49"/>
        <v>0.6</v>
      </c>
      <c r="T235" s="1138" t="str">
        <f>VLOOKUP(B235,'[19]Gui chi Quynh'!$B$11:$E$397,4,FALSE)</f>
        <v>A3</v>
      </c>
      <c r="U235" s="1138">
        <f t="shared" si="43"/>
        <v>0.6</v>
      </c>
      <c r="V235" s="1138" t="str">
        <f>VLOOKUP(B235,'[20]Gui chi Quynh'!$B$11:$E$396,4,FALSE)</f>
        <v>A2</v>
      </c>
      <c r="W235" s="1138">
        <f t="shared" si="50"/>
        <v>0.7</v>
      </c>
      <c r="X235" s="1138">
        <f>IFERROR(INDEX('[21]CN BC'!$J$10:$J$275,MATCH(B235,'[21]CN BC'!$H$10:$H$275,0)),"")</f>
        <v>23</v>
      </c>
      <c r="Y235" s="1138">
        <f>IFERROR(INDEX('[22]CN BC'!$J$10:$J$274,MATCH(B235,'[22]CN BC'!$H$10:$H$274,0)),"")</f>
        <v>20</v>
      </c>
      <c r="Z235" s="1138">
        <f>VLOOKUP(B235,'[23]CN BC'!$H$10:$J$275,3,FALSE)</f>
        <v>19</v>
      </c>
      <c r="AA235" s="1139">
        <f t="shared" si="51"/>
        <v>23</v>
      </c>
      <c r="AB235" s="1139">
        <f t="shared" si="44"/>
        <v>20</v>
      </c>
      <c r="AC235" s="1139">
        <f t="shared" si="52"/>
        <v>19</v>
      </c>
      <c r="AD235" s="1140"/>
      <c r="AE235" s="1141">
        <f t="shared" si="45"/>
        <v>24951505</v>
      </c>
      <c r="AF235" s="1519">
        <f t="shared" si="41"/>
        <v>10.663036324786324</v>
      </c>
      <c r="AG235" s="1224">
        <v>2340000</v>
      </c>
      <c r="AH235" s="1521">
        <f t="shared" si="42"/>
        <v>24951505</v>
      </c>
      <c r="AI235" s="1142">
        <f t="shared" si="53"/>
        <v>218</v>
      </c>
      <c r="AJ235" s="1143">
        <f>IFERROR(INDEX('[17]CN BC'!$M$10:$M$276,MATCH(B235,'[17]CN BC'!$H$10:$H$276,0)),"")</f>
        <v>0</v>
      </c>
      <c r="AK235" s="1144" t="str">
        <f>VLOOKUP(B235,TH.T4!B237:AC567,28,FALSE)</f>
        <v>Đ-ĐT</v>
      </c>
      <c r="AL235" s="1130"/>
      <c r="AM235" s="1146"/>
      <c r="AN235" s="1147"/>
      <c r="AO235" s="1146"/>
      <c r="AP235" s="1146"/>
      <c r="AQ235" s="1146"/>
      <c r="AR235" s="1146"/>
      <c r="AS235" s="1146"/>
      <c r="AT235" s="1146"/>
    </row>
    <row r="236" spans="1:50" s="1148" customFormat="1" ht="29.25" customHeight="1">
      <c r="A236" s="1132">
        <f>_xlfn.AGGREGATE(4,7,A$17:A235)+1</f>
        <v>219</v>
      </c>
      <c r="B236" s="1133" t="s">
        <v>1907</v>
      </c>
      <c r="C236" s="1153" t="s">
        <v>1793</v>
      </c>
      <c r="D236" s="1154" t="s">
        <v>1400</v>
      </c>
      <c r="E236" s="1058" t="str">
        <f>VLOOKUP(B236,TH.T6!B148:J478,9,FALSE)</f>
        <v>Giảng viên khoa Điện - Điện tử</v>
      </c>
      <c r="F236" s="1136">
        <v>4.9800000000000004</v>
      </c>
      <c r="G236" s="1137">
        <v>0.12</v>
      </c>
      <c r="H236" s="1392">
        <f t="shared" si="46"/>
        <v>0.59799999999999998</v>
      </c>
      <c r="I236" s="1138"/>
      <c r="J236" s="1136">
        <v>4.9800000000000004</v>
      </c>
      <c r="K236" s="1137">
        <v>0.12</v>
      </c>
      <c r="L236" s="1392">
        <f t="shared" si="47"/>
        <v>0.59799999999999998</v>
      </c>
      <c r="M236" s="1138"/>
      <c r="N236" s="1136">
        <v>4.9800000000000004</v>
      </c>
      <c r="O236" s="1137">
        <v>0.12</v>
      </c>
      <c r="P236" s="1393">
        <f t="shared" si="48"/>
        <v>0.59799999999999998</v>
      </c>
      <c r="Q236" s="1138"/>
      <c r="R236" s="1138" t="str">
        <f>IFERROR(INDEX('[18]Gui chi Quynh'!$E$11:$E$397,MATCH(B236,'[18]Gui chi Quynh'!$B$11:$B$397,0)),"")</f>
        <v>A4</v>
      </c>
      <c r="S236" s="1138">
        <f t="shared" si="49"/>
        <v>0.5</v>
      </c>
      <c r="T236" s="1138" t="str">
        <f>VLOOKUP(B236,'[19]Gui chi Quynh'!$B$11:$E$397,4,FALSE)</f>
        <v>A DN</v>
      </c>
      <c r="U236" s="1138">
        <f t="shared" si="43"/>
        <v>0</v>
      </c>
      <c r="V236" s="1138" t="str">
        <f>VLOOKUP(B236,'[20]Gui chi Quynh'!$B$11:$E$396,4,FALSE)</f>
        <v>A4</v>
      </c>
      <c r="W236" s="1138">
        <f t="shared" si="50"/>
        <v>0.5</v>
      </c>
      <c r="X236" s="1138">
        <f>IFERROR(INDEX('[21]CN BC'!$J$10:$J$275,MATCH(B236,'[21]CN BC'!$H$10:$H$275,0)),"")</f>
        <v>21</v>
      </c>
      <c r="Y236" s="1138">
        <f>IFERROR(INDEX('[22]CN BC'!$J$10:$J$274,MATCH(B236,'[22]CN BC'!$H$10:$H$274,0)),"")</f>
        <v>0</v>
      </c>
      <c r="Z236" s="1138">
        <f>VLOOKUP(B236,'[23]CN BC'!$H$10:$J$275,3,FALSE)</f>
        <v>19</v>
      </c>
      <c r="AA236" s="1139">
        <f t="shared" si="51"/>
        <v>21</v>
      </c>
      <c r="AB236" s="1139">
        <f t="shared" si="44"/>
        <v>0</v>
      </c>
      <c r="AC236" s="1139">
        <f t="shared" si="52"/>
        <v>19</v>
      </c>
      <c r="AD236" s="1140"/>
      <c r="AE236" s="1141">
        <f t="shared" si="45"/>
        <v>12485019</v>
      </c>
      <c r="AF236" s="1519">
        <f t="shared" si="41"/>
        <v>5.3354782051282053</v>
      </c>
      <c r="AG236" s="1224">
        <v>2340000</v>
      </c>
      <c r="AH236" s="1521">
        <f t="shared" si="42"/>
        <v>12485019</v>
      </c>
      <c r="AI236" s="1142">
        <f t="shared" si="53"/>
        <v>219</v>
      </c>
      <c r="AJ236" s="1143">
        <f>IFERROR(INDEX('[17]CN BC'!$M$10:$M$276,MATCH(B236,'[17]CN BC'!$H$10:$H$276,0)),"")</f>
        <v>0</v>
      </c>
      <c r="AK236" s="1144" t="str">
        <f>VLOOKUP(B236,TH.T4!B238:AC568,28,FALSE)</f>
        <v>Đ-ĐT</v>
      </c>
      <c r="AL236" s="1130"/>
      <c r="AM236" s="1146"/>
      <c r="AN236" s="1147"/>
    </row>
    <row r="237" spans="1:50" s="1148" customFormat="1" ht="29.25" customHeight="1">
      <c r="A237" s="1132">
        <f>_xlfn.AGGREGATE(4,7,A$17:A236)+1</f>
        <v>220</v>
      </c>
      <c r="B237" s="1133" t="s">
        <v>1908</v>
      </c>
      <c r="C237" s="1153" t="s">
        <v>1794</v>
      </c>
      <c r="D237" s="1154" t="s">
        <v>1401</v>
      </c>
      <c r="E237" s="1058" t="str">
        <f>VLOOKUP(B237,TH.T6!B149:J479,9,FALSE)</f>
        <v>Giảng viên khoa Điện - Điện tử</v>
      </c>
      <c r="F237" s="1136">
        <v>4.9800000000000004</v>
      </c>
      <c r="G237" s="1137">
        <v>0.09</v>
      </c>
      <c r="H237" s="1392">
        <f t="shared" si="46"/>
        <v>0.44800000000000001</v>
      </c>
      <c r="I237" s="1138"/>
      <c r="J237" s="1136">
        <v>4.9800000000000004</v>
      </c>
      <c r="K237" s="1137">
        <v>0.09</v>
      </c>
      <c r="L237" s="1392">
        <f t="shared" si="47"/>
        <v>0.44800000000000001</v>
      </c>
      <c r="M237" s="1138"/>
      <c r="N237" s="1136">
        <v>4.9800000000000004</v>
      </c>
      <c r="O237" s="1137">
        <v>0.09</v>
      </c>
      <c r="P237" s="1393">
        <f t="shared" si="48"/>
        <v>0.44800000000000001</v>
      </c>
      <c r="Q237" s="1138"/>
      <c r="R237" s="1138" t="str">
        <f>IFERROR(INDEX('[18]Gui chi Quynh'!$E$11:$E$397,MATCH(B237,'[18]Gui chi Quynh'!$B$11:$B$397,0)),"")</f>
        <v>A3</v>
      </c>
      <c r="S237" s="1138">
        <f t="shared" si="49"/>
        <v>0.6</v>
      </c>
      <c r="T237" s="1138" t="str">
        <f>VLOOKUP(B237,'[19]Gui chi Quynh'!$B$11:$E$397,4,FALSE)</f>
        <v>A DN</v>
      </c>
      <c r="U237" s="1138">
        <f t="shared" si="43"/>
        <v>0</v>
      </c>
      <c r="V237" s="1138" t="str">
        <f>VLOOKUP(B237,'[20]Gui chi Quynh'!$B$11:$E$396,4,FALSE)</f>
        <v>A4</v>
      </c>
      <c r="W237" s="1138">
        <f t="shared" si="50"/>
        <v>0.5</v>
      </c>
      <c r="X237" s="1138">
        <f>IFERROR(INDEX('[21]CN BC'!$J$10:$J$275,MATCH(B237,'[21]CN BC'!$H$10:$H$275,0)),"")</f>
        <v>23</v>
      </c>
      <c r="Y237" s="1138">
        <f>IFERROR(INDEX('[22]CN BC'!$J$10:$J$274,MATCH(B237,'[22]CN BC'!$H$10:$H$274,0)),"")</f>
        <v>0</v>
      </c>
      <c r="Z237" s="1138">
        <f>VLOOKUP(B237,'[23]CN BC'!$H$10:$J$275,3,FALSE)</f>
        <v>19</v>
      </c>
      <c r="AA237" s="1139">
        <f t="shared" si="51"/>
        <v>23</v>
      </c>
      <c r="AB237" s="1139">
        <f t="shared" si="44"/>
        <v>0</v>
      </c>
      <c r="AC237" s="1139">
        <f t="shared" si="52"/>
        <v>19</v>
      </c>
      <c r="AD237" s="1140"/>
      <c r="AE237" s="1141">
        <f t="shared" si="45"/>
        <v>13971672</v>
      </c>
      <c r="AF237" s="1519">
        <f t="shared" si="41"/>
        <v>5.9707999999999997</v>
      </c>
      <c r="AG237" s="1224">
        <v>2340000</v>
      </c>
      <c r="AH237" s="1521">
        <f t="shared" si="42"/>
        <v>13971672</v>
      </c>
      <c r="AI237" s="1142">
        <f t="shared" si="53"/>
        <v>220</v>
      </c>
      <c r="AJ237" s="1143">
        <f>IFERROR(INDEX('[17]CN BC'!$M$10:$M$276,MATCH(B237,'[17]CN BC'!$H$10:$H$276,0)),"")</f>
        <v>0</v>
      </c>
      <c r="AK237" s="1144" t="str">
        <f>VLOOKUP(B237,TH.T4!B239:AC569,28,FALSE)</f>
        <v>Đ-ĐT</v>
      </c>
      <c r="AL237" s="1130"/>
      <c r="AM237" s="1146"/>
      <c r="AN237" s="1147"/>
      <c r="AO237" s="1146"/>
      <c r="AP237" s="1146"/>
      <c r="AQ237" s="1146"/>
      <c r="AR237" s="1146"/>
      <c r="AS237" s="1146"/>
      <c r="AT237" s="1146"/>
    </row>
    <row r="238" spans="1:50" s="1146" customFormat="1" ht="29.25" customHeight="1">
      <c r="A238" s="1132">
        <f>_xlfn.AGGREGATE(4,7,A$17:A237)+1</f>
        <v>221</v>
      </c>
      <c r="B238" s="1215" t="s">
        <v>1909</v>
      </c>
      <c r="C238" s="1216" t="s">
        <v>1795</v>
      </c>
      <c r="D238" s="1347" t="s">
        <v>1404</v>
      </c>
      <c r="E238" s="579" t="str">
        <f>VLOOKUP(B238,TH.T6!B150:J480,9,FALSE)</f>
        <v>Giảng viên khoa Điện - Điện tử</v>
      </c>
      <c r="F238" s="1217">
        <v>4.32</v>
      </c>
      <c r="G238" s="1357"/>
      <c r="H238" s="1394">
        <f t="shared" si="46"/>
        <v>0</v>
      </c>
      <c r="I238" s="1219"/>
      <c r="J238" s="1217">
        <v>4.32</v>
      </c>
      <c r="K238" s="1357"/>
      <c r="L238" s="1394">
        <f t="shared" si="47"/>
        <v>0</v>
      </c>
      <c r="M238" s="1219"/>
      <c r="N238" s="1217">
        <v>4.6500000000000004</v>
      </c>
      <c r="O238" s="1357"/>
      <c r="P238" s="1395">
        <f t="shared" si="48"/>
        <v>0</v>
      </c>
      <c r="Q238" s="1219"/>
      <c r="R238" s="1219" t="str">
        <f>IFERROR(INDEX('[18]Gui chi Quynh'!$E$11:$E$397,MATCH(B238,'[18]Gui chi Quynh'!$B$11:$B$397,0)),"")</f>
        <v>A4</v>
      </c>
      <c r="S238" s="1219">
        <f t="shared" si="49"/>
        <v>0.5</v>
      </c>
      <c r="T238" s="1219" t="str">
        <f>VLOOKUP(B238,'[19]Gui chi Quynh'!$B$11:$E$397,4,FALSE)</f>
        <v>A DN</v>
      </c>
      <c r="U238" s="1219">
        <f t="shared" si="43"/>
        <v>0</v>
      </c>
      <c r="V238" s="1219" t="str">
        <f>VLOOKUP(B238,'[20]Gui chi Quynh'!$B$11:$E$396,4,FALSE)</f>
        <v>A3</v>
      </c>
      <c r="W238" s="1219">
        <f t="shared" si="50"/>
        <v>0.6</v>
      </c>
      <c r="X238" s="1219">
        <f>IFERROR(INDEX('[21]CN BC'!$J$10:$J$275,MATCH(B238,'[21]CN BC'!$H$10:$H$275,0)),"")</f>
        <v>23</v>
      </c>
      <c r="Y238" s="1219">
        <f>IFERROR(INDEX('[22]CN BC'!$J$10:$J$274,MATCH(B238,'[22]CN BC'!$H$10:$H$274,0)),"")</f>
        <v>0</v>
      </c>
      <c r="Z238" s="1219">
        <f>VLOOKUP(B238,'[23]CN BC'!$H$10:$J$275,3,FALSE)</f>
        <v>19</v>
      </c>
      <c r="AA238" s="1348">
        <f t="shared" si="51"/>
        <v>23</v>
      </c>
      <c r="AB238" s="1348">
        <f t="shared" si="44"/>
        <v>0</v>
      </c>
      <c r="AC238" s="1348">
        <f t="shared" si="52"/>
        <v>19</v>
      </c>
      <c r="AD238" s="1220"/>
      <c r="AE238" s="1349">
        <f t="shared" si="45"/>
        <v>11583000</v>
      </c>
      <c r="AF238" s="1548">
        <f t="shared" si="41"/>
        <v>4.95</v>
      </c>
      <c r="AG238" s="1359">
        <v>2340000</v>
      </c>
      <c r="AH238" s="1549">
        <f t="shared" si="42"/>
        <v>11583000</v>
      </c>
      <c r="AI238" s="1221">
        <f t="shared" si="53"/>
        <v>221</v>
      </c>
      <c r="AJ238" s="1350" t="s">
        <v>2363</v>
      </c>
      <c r="AK238" s="1144" t="str">
        <f>VLOOKUP(B238,TH.T4!B240:AC570,28,FALSE)</f>
        <v>Đ-ĐT</v>
      </c>
      <c r="AL238" s="1130"/>
      <c r="AN238" s="1147"/>
    </row>
    <row r="239" spans="1:50" s="1146" customFormat="1" ht="29.25" customHeight="1">
      <c r="A239" s="1132">
        <f>_xlfn.AGGREGATE(4,7,A$17:A238)+1</f>
        <v>222</v>
      </c>
      <c r="B239" s="1215" t="s">
        <v>1539</v>
      </c>
      <c r="C239" s="1216" t="s">
        <v>1796</v>
      </c>
      <c r="D239" s="1347" t="s">
        <v>1405</v>
      </c>
      <c r="E239" s="579" t="str">
        <f>VLOOKUP(B239,TH.T6!B151:J481,9,FALSE)</f>
        <v>Giảng viên khoa
Điện - Điện tử</v>
      </c>
      <c r="F239" s="1217">
        <v>4.32</v>
      </c>
      <c r="G239" s="1218"/>
      <c r="H239" s="1394">
        <f t="shared" si="46"/>
        <v>0</v>
      </c>
      <c r="I239" s="1219"/>
      <c r="J239" s="1217">
        <v>4.32</v>
      </c>
      <c r="K239" s="1218"/>
      <c r="L239" s="1394">
        <f t="shared" si="47"/>
        <v>0</v>
      </c>
      <c r="M239" s="1219"/>
      <c r="N239" s="1217">
        <v>4.6500000000000004</v>
      </c>
      <c r="O239" s="1218"/>
      <c r="P239" s="1395">
        <f t="shared" si="48"/>
        <v>0</v>
      </c>
      <c r="Q239" s="1219"/>
      <c r="R239" s="1219" t="str">
        <f>IFERROR(INDEX('[18]Gui chi Quynh'!$E$11:$E$397,MATCH(B239,'[18]Gui chi Quynh'!$B$11:$B$397,0)),"")</f>
        <v>A3</v>
      </c>
      <c r="S239" s="1219">
        <f t="shared" si="49"/>
        <v>0.6</v>
      </c>
      <c r="T239" s="1219" t="str">
        <f>VLOOKUP(B239,'[19]Gui chi Quynh'!$B$11:$E$397,4,FALSE)</f>
        <v>A DN</v>
      </c>
      <c r="U239" s="1219">
        <f t="shared" si="43"/>
        <v>0</v>
      </c>
      <c r="V239" s="1219" t="str">
        <f>VLOOKUP(B239,'[20]Gui chi Quynh'!$B$11:$E$396,4,FALSE)</f>
        <v>A4</v>
      </c>
      <c r="W239" s="1219">
        <f t="shared" si="50"/>
        <v>0.5</v>
      </c>
      <c r="X239" s="1219">
        <f>IFERROR(INDEX('[21]CN BC'!$J$10:$J$275,MATCH(B239,'[21]CN BC'!$H$10:$H$275,0)),"")</f>
        <v>21</v>
      </c>
      <c r="Y239" s="1219">
        <f>IFERROR(INDEX('[22]CN BC'!$J$10:$J$274,MATCH(B239,'[22]CN BC'!$H$10:$H$274,0)),"")</f>
        <v>0</v>
      </c>
      <c r="Z239" s="1219">
        <f>VLOOKUP(B239,'[23]CN BC'!$H$10:$J$275,3,FALSE)</f>
        <v>19</v>
      </c>
      <c r="AA239" s="1348">
        <f t="shared" si="51"/>
        <v>21</v>
      </c>
      <c r="AB239" s="1348">
        <f t="shared" si="44"/>
        <v>0</v>
      </c>
      <c r="AC239" s="1348">
        <f t="shared" si="52"/>
        <v>19</v>
      </c>
      <c r="AD239" s="1220"/>
      <c r="AE239" s="1349">
        <f t="shared" si="45"/>
        <v>10978364</v>
      </c>
      <c r="AF239" s="1548">
        <f t="shared" si="41"/>
        <v>4.6916085470085473</v>
      </c>
      <c r="AG239" s="1359">
        <v>2340000</v>
      </c>
      <c r="AH239" s="1549">
        <f t="shared" si="42"/>
        <v>10978364</v>
      </c>
      <c r="AI239" s="1221">
        <f t="shared" si="53"/>
        <v>222</v>
      </c>
      <c r="AJ239" s="1350" t="s">
        <v>2363</v>
      </c>
      <c r="AK239" s="1144" t="str">
        <f>VLOOKUP(B239,TH.T4!B241:AC571,28,FALSE)</f>
        <v>Đ-ĐT</v>
      </c>
      <c r="AL239" s="1130"/>
      <c r="AN239" s="1147"/>
    </row>
    <row r="240" spans="1:50" s="1148" customFormat="1" ht="29.25" customHeight="1">
      <c r="A240" s="1132">
        <f>_xlfn.AGGREGATE(4,7,A$17:A239)+1</f>
        <v>223</v>
      </c>
      <c r="B240" s="1133" t="s">
        <v>1910</v>
      </c>
      <c r="C240" s="1149" t="s">
        <v>1797</v>
      </c>
      <c r="D240" s="1154" t="s">
        <v>1406</v>
      </c>
      <c r="E240" s="1058" t="str">
        <f>VLOOKUP(B240,TH.T6!B152:J482,9,FALSE)</f>
        <v>Giảng viên khoa Điện - Điện tử</v>
      </c>
      <c r="F240" s="1136">
        <v>4.6500000000000004</v>
      </c>
      <c r="G240" s="1137"/>
      <c r="H240" s="1392">
        <f t="shared" si="46"/>
        <v>0</v>
      </c>
      <c r="I240" s="1138"/>
      <c r="J240" s="1136">
        <v>4.6500000000000004</v>
      </c>
      <c r="K240" s="1137"/>
      <c r="L240" s="1392">
        <f t="shared" si="47"/>
        <v>0</v>
      </c>
      <c r="M240" s="1138"/>
      <c r="N240" s="1136">
        <v>4.6500000000000004</v>
      </c>
      <c r="O240" s="1137"/>
      <c r="P240" s="1393">
        <f t="shared" si="48"/>
        <v>0</v>
      </c>
      <c r="Q240" s="1138"/>
      <c r="R240" s="1138" t="str">
        <f>IFERROR(INDEX('[18]Gui chi Quynh'!$E$11:$E$397,MATCH(B240,'[18]Gui chi Quynh'!$B$11:$B$397,0)),"")</f>
        <v>A3</v>
      </c>
      <c r="S240" s="1138">
        <f t="shared" si="49"/>
        <v>0.6</v>
      </c>
      <c r="T240" s="1138" t="str">
        <f>VLOOKUP(B240,'[19]Gui chi Quynh'!$B$11:$E$397,4,FALSE)</f>
        <v>A DN</v>
      </c>
      <c r="U240" s="1138">
        <f t="shared" si="43"/>
        <v>0</v>
      </c>
      <c r="V240" s="1138" t="str">
        <f>VLOOKUP(B240,'[20]Gui chi Quynh'!$B$11:$E$396,4,FALSE)</f>
        <v>A4</v>
      </c>
      <c r="W240" s="1138">
        <f t="shared" si="50"/>
        <v>0.5</v>
      </c>
      <c r="X240" s="1138">
        <f>IFERROR(INDEX('[21]CN BC'!$J$10:$J$275,MATCH(B240,'[21]CN BC'!$H$10:$H$275,0)),"")</f>
        <v>21</v>
      </c>
      <c r="Y240" s="1138">
        <f>IFERROR(INDEX('[22]CN BC'!$J$10:$J$274,MATCH(B240,'[22]CN BC'!$H$10:$H$274,0)),"")</f>
        <v>0</v>
      </c>
      <c r="Z240" s="1138">
        <f>VLOOKUP(B240,'[23]CN BC'!$H$10:$J$275,3,FALSE)</f>
        <v>19</v>
      </c>
      <c r="AA240" s="1139">
        <f t="shared" si="51"/>
        <v>21</v>
      </c>
      <c r="AB240" s="1139">
        <f t="shared" si="44"/>
        <v>0</v>
      </c>
      <c r="AC240" s="1139">
        <f t="shared" si="52"/>
        <v>19</v>
      </c>
      <c r="AD240" s="1140"/>
      <c r="AE240" s="1141">
        <f t="shared" si="45"/>
        <v>11401396</v>
      </c>
      <c r="AF240" s="1519">
        <f t="shared" si="41"/>
        <v>4.8723914529914527</v>
      </c>
      <c r="AG240" s="1224">
        <v>2340000</v>
      </c>
      <c r="AH240" s="1521">
        <f t="shared" si="42"/>
        <v>11401396</v>
      </c>
      <c r="AI240" s="1142">
        <f t="shared" si="53"/>
        <v>223</v>
      </c>
      <c r="AJ240" s="1143">
        <f>IFERROR(INDEX('[17]CN BC'!$M$10:$M$276,MATCH(B240,'[17]CN BC'!$H$10:$H$276,0)),"")</f>
        <v>0</v>
      </c>
      <c r="AK240" s="1144" t="str">
        <f>VLOOKUP(B240,TH.T4!B242:AC572,28,FALSE)</f>
        <v>Đ-ĐT</v>
      </c>
      <c r="AL240" s="1130"/>
      <c r="AM240" s="1146"/>
      <c r="AN240" s="1147"/>
      <c r="AO240" s="1146"/>
      <c r="AP240" s="1146"/>
      <c r="AQ240" s="1146"/>
      <c r="AR240" s="1146"/>
      <c r="AS240" s="1146"/>
      <c r="AT240" s="1146"/>
      <c r="AU240" s="1146"/>
      <c r="AV240" s="1146"/>
      <c r="AW240" s="1146"/>
      <c r="AX240" s="1146"/>
    </row>
    <row r="241" spans="1:46" s="1148" customFormat="1" ht="29.25" customHeight="1">
      <c r="A241" s="1132">
        <f>_xlfn.AGGREGATE(4,7,A$17:A240)+1</f>
        <v>224</v>
      </c>
      <c r="B241" s="1133" t="s">
        <v>1911</v>
      </c>
      <c r="C241" s="1153" t="s">
        <v>1798</v>
      </c>
      <c r="D241" s="1154" t="s">
        <v>1407</v>
      </c>
      <c r="E241" s="1058" t="str">
        <f>VLOOKUP(B241,TH.T6!B153:J483,9,FALSE)</f>
        <v>Giảng viên khoa Điện - Điện tử</v>
      </c>
      <c r="F241" s="1136">
        <v>4.6500000000000004</v>
      </c>
      <c r="G241" s="1137"/>
      <c r="H241" s="1392">
        <f t="shared" si="46"/>
        <v>0</v>
      </c>
      <c r="I241" s="1138"/>
      <c r="J241" s="1136">
        <v>4.6500000000000004</v>
      </c>
      <c r="K241" s="1137"/>
      <c r="L241" s="1392">
        <f t="shared" si="47"/>
        <v>0</v>
      </c>
      <c r="M241" s="1138"/>
      <c r="N241" s="1136">
        <v>4.6500000000000004</v>
      </c>
      <c r="O241" s="1137"/>
      <c r="P241" s="1393">
        <f t="shared" si="48"/>
        <v>0</v>
      </c>
      <c r="Q241" s="1138"/>
      <c r="R241" s="1138" t="str">
        <f>IFERROR(INDEX('[18]Gui chi Quynh'!$E$11:$E$397,MATCH(B241,'[18]Gui chi Quynh'!$B$11:$B$397,0)),"")</f>
        <v>A3</v>
      </c>
      <c r="S241" s="1138">
        <f t="shared" si="49"/>
        <v>0.6</v>
      </c>
      <c r="T241" s="1138" t="str">
        <f>VLOOKUP(B241,'[19]Gui chi Quynh'!$B$11:$E$397,4,FALSE)</f>
        <v>A DN</v>
      </c>
      <c r="U241" s="1138">
        <f t="shared" si="43"/>
        <v>0</v>
      </c>
      <c r="V241" s="1138" t="str">
        <f>VLOOKUP(B241,'[20]Gui chi Quynh'!$B$11:$E$396,4,FALSE)</f>
        <v>A4</v>
      </c>
      <c r="W241" s="1138">
        <f t="shared" si="50"/>
        <v>0.5</v>
      </c>
      <c r="X241" s="1138">
        <f>IFERROR(INDEX('[21]CN BC'!$J$10:$J$275,MATCH(B241,'[21]CN BC'!$H$10:$H$275,0)),"")</f>
        <v>21</v>
      </c>
      <c r="Y241" s="1138">
        <f>IFERROR(INDEX('[22]CN BC'!$J$10:$J$274,MATCH(B241,'[22]CN BC'!$H$10:$H$274,0)),"")</f>
        <v>0</v>
      </c>
      <c r="Z241" s="1138">
        <f>VLOOKUP(B241,'[23]CN BC'!$H$10:$J$275,3,FALSE)</f>
        <v>19</v>
      </c>
      <c r="AA241" s="1139">
        <f t="shared" si="51"/>
        <v>21</v>
      </c>
      <c r="AB241" s="1139">
        <f t="shared" si="44"/>
        <v>0</v>
      </c>
      <c r="AC241" s="1139">
        <f t="shared" si="52"/>
        <v>19</v>
      </c>
      <c r="AD241" s="1140"/>
      <c r="AE241" s="1141">
        <f t="shared" si="45"/>
        <v>11401396</v>
      </c>
      <c r="AF241" s="1519">
        <f t="shared" si="41"/>
        <v>4.8723914529914527</v>
      </c>
      <c r="AG241" s="1224">
        <v>2340000</v>
      </c>
      <c r="AH241" s="1521">
        <f t="shared" si="42"/>
        <v>11401396</v>
      </c>
      <c r="AI241" s="1142">
        <f t="shared" si="53"/>
        <v>224</v>
      </c>
      <c r="AJ241" s="1143">
        <f>IFERROR(INDEX('[17]CN BC'!$M$10:$M$276,MATCH(B241,'[17]CN BC'!$H$10:$H$276,0)),"")</f>
        <v>0</v>
      </c>
      <c r="AK241" s="1144" t="str">
        <f>VLOOKUP(B241,TH.T4!B243:AC573,28,FALSE)</f>
        <v>Đ-ĐT</v>
      </c>
      <c r="AL241" s="1130"/>
      <c r="AM241" s="1146"/>
      <c r="AN241" s="1147"/>
      <c r="AO241" s="1146"/>
      <c r="AP241" s="1146"/>
      <c r="AQ241" s="1146"/>
      <c r="AR241" s="1146"/>
      <c r="AS241" s="1146"/>
      <c r="AT241" s="1146"/>
    </row>
    <row r="242" spans="1:46" s="1146" customFormat="1" ht="29.25" customHeight="1">
      <c r="A242" s="1132">
        <f>_xlfn.AGGREGATE(4,7,A$17:A241)+1</f>
        <v>225</v>
      </c>
      <c r="B242" s="1172" t="s">
        <v>1912</v>
      </c>
      <c r="C242" s="1149" t="s">
        <v>1799</v>
      </c>
      <c r="D242" s="1173" t="s">
        <v>1409</v>
      </c>
      <c r="E242" s="1058" t="str">
        <f>VLOOKUP(B242,TH.T6!B154:J484,9,FALSE)</f>
        <v>Giảng viên khoa Điện - Điện tử</v>
      </c>
      <c r="F242" s="1174">
        <v>4.6500000000000004</v>
      </c>
      <c r="G242" s="1175"/>
      <c r="H242" s="1392">
        <f t="shared" si="46"/>
        <v>0</v>
      </c>
      <c r="I242" s="1176"/>
      <c r="J242" s="1174">
        <v>4.6500000000000004</v>
      </c>
      <c r="K242" s="1175"/>
      <c r="L242" s="1392">
        <f t="shared" si="47"/>
        <v>0</v>
      </c>
      <c r="M242" s="1176"/>
      <c r="N242" s="1174">
        <v>4.6500000000000004</v>
      </c>
      <c r="O242" s="1175"/>
      <c r="P242" s="1393">
        <f t="shared" si="48"/>
        <v>0</v>
      </c>
      <c r="Q242" s="1176"/>
      <c r="R242" s="1138" t="str">
        <f>IFERROR(INDEX('[18]Gui chi Quynh'!$E$11:$E$397,MATCH(B242,'[18]Gui chi Quynh'!$B$11:$B$397,0)),"")</f>
        <v>A3</v>
      </c>
      <c r="S242" s="1138">
        <f t="shared" si="49"/>
        <v>0.6</v>
      </c>
      <c r="T242" s="1138" t="str">
        <f>VLOOKUP(B242,'[19]Gui chi Quynh'!$B$11:$E$397,4,FALSE)</f>
        <v>A DN</v>
      </c>
      <c r="U242" s="1138">
        <f t="shared" si="43"/>
        <v>0</v>
      </c>
      <c r="V242" s="1138" t="str">
        <f>VLOOKUP(B242,'[20]Gui chi Quynh'!$B$11:$E$396,4,FALSE)</f>
        <v>A4</v>
      </c>
      <c r="W242" s="1138">
        <f t="shared" si="50"/>
        <v>0.5</v>
      </c>
      <c r="X242" s="1138">
        <f>IFERROR(INDEX('[21]CN BC'!$J$10:$J$275,MATCH(B242,'[21]CN BC'!$H$10:$H$275,0)),"")</f>
        <v>21</v>
      </c>
      <c r="Y242" s="1138">
        <f>IFERROR(INDEX('[22]CN BC'!$J$10:$J$274,MATCH(B242,'[22]CN BC'!$H$10:$H$274,0)),"")</f>
        <v>0</v>
      </c>
      <c r="Z242" s="1138">
        <f>VLOOKUP(B242,'[23]CN BC'!$H$10:$J$275,3,FALSE)</f>
        <v>19</v>
      </c>
      <c r="AA242" s="1139">
        <f t="shared" si="51"/>
        <v>21</v>
      </c>
      <c r="AB242" s="1139">
        <f t="shared" si="44"/>
        <v>0</v>
      </c>
      <c r="AC242" s="1139">
        <f t="shared" si="52"/>
        <v>19</v>
      </c>
      <c r="AD242" s="1140"/>
      <c r="AE242" s="1141">
        <f t="shared" si="45"/>
        <v>11401396</v>
      </c>
      <c r="AF242" s="1519">
        <f t="shared" si="41"/>
        <v>4.8723914529914527</v>
      </c>
      <c r="AG242" s="1224">
        <v>2340000</v>
      </c>
      <c r="AH242" s="1521">
        <f t="shared" si="42"/>
        <v>11401396</v>
      </c>
      <c r="AI242" s="1142">
        <f t="shared" si="53"/>
        <v>225</v>
      </c>
      <c r="AJ242" s="1143">
        <f>IFERROR(INDEX('[17]CN BC'!$M$10:$M$276,MATCH(B242,'[17]CN BC'!$H$10:$H$276,0)),"")</f>
        <v>0</v>
      </c>
      <c r="AK242" s="1144" t="str">
        <f>VLOOKUP(B242,TH.T4!B244:AC574,28,FALSE)</f>
        <v>Đ-ĐT</v>
      </c>
      <c r="AL242" s="1130"/>
      <c r="AN242" s="1147"/>
    </row>
    <row r="243" spans="1:46" s="1146" customFormat="1" ht="29.25" customHeight="1">
      <c r="A243" s="1132">
        <f>_xlfn.AGGREGATE(4,7,A$17:A242)+1</f>
        <v>226</v>
      </c>
      <c r="B243" s="1172" t="s">
        <v>1913</v>
      </c>
      <c r="C243" s="1149" t="s">
        <v>1800</v>
      </c>
      <c r="D243" s="1173" t="s">
        <v>1410</v>
      </c>
      <c r="E243" s="1058" t="str">
        <f>VLOOKUP(B243,TH.T6!B155:J485,9,FALSE)</f>
        <v>Giảng viên khoa Điện - Điện tử</v>
      </c>
      <c r="F243" s="1174">
        <v>4.6500000000000004</v>
      </c>
      <c r="G243" s="1175"/>
      <c r="H243" s="1392">
        <f t="shared" si="46"/>
        <v>0</v>
      </c>
      <c r="I243" s="1176"/>
      <c r="J243" s="1174">
        <v>4.6500000000000004</v>
      </c>
      <c r="K243" s="1175"/>
      <c r="L243" s="1392">
        <f t="shared" si="47"/>
        <v>0</v>
      </c>
      <c r="M243" s="1176"/>
      <c r="N243" s="1174">
        <v>4.6500000000000004</v>
      </c>
      <c r="O243" s="1175"/>
      <c r="P243" s="1393">
        <f t="shared" si="48"/>
        <v>0</v>
      </c>
      <c r="Q243" s="1176"/>
      <c r="R243" s="1138" t="str">
        <f>IFERROR(INDEX('[18]Gui chi Quynh'!$E$11:$E$397,MATCH(B243,'[18]Gui chi Quynh'!$B$11:$B$397,0)),"")</f>
        <v>A4</v>
      </c>
      <c r="S243" s="1138">
        <f t="shared" si="49"/>
        <v>0.5</v>
      </c>
      <c r="T243" s="1138" t="str">
        <f>VLOOKUP(B243,'[19]Gui chi Quynh'!$B$11:$E$397,4,FALSE)</f>
        <v>A DN</v>
      </c>
      <c r="U243" s="1138">
        <f t="shared" si="43"/>
        <v>0</v>
      </c>
      <c r="V243" s="1138" t="str">
        <f>VLOOKUP(B243,'[20]Gui chi Quynh'!$B$11:$E$396,4,FALSE)</f>
        <v>A3</v>
      </c>
      <c r="W243" s="1138">
        <f t="shared" si="50"/>
        <v>0.6</v>
      </c>
      <c r="X243" s="1138">
        <f>IFERROR(INDEX('[21]CN BC'!$J$10:$J$275,MATCH(B243,'[21]CN BC'!$H$10:$H$275,0)),"")</f>
        <v>23</v>
      </c>
      <c r="Y243" s="1138">
        <f>IFERROR(INDEX('[22]CN BC'!$J$10:$J$274,MATCH(B243,'[22]CN BC'!$H$10:$H$274,0)),"")</f>
        <v>0</v>
      </c>
      <c r="Z243" s="1138">
        <f>VLOOKUP(B243,'[23]CN BC'!$H$10:$J$275,3,FALSE)</f>
        <v>19</v>
      </c>
      <c r="AA243" s="1139">
        <f t="shared" si="51"/>
        <v>23</v>
      </c>
      <c r="AB243" s="1139">
        <f t="shared" si="44"/>
        <v>0</v>
      </c>
      <c r="AC243" s="1139">
        <f t="shared" si="52"/>
        <v>19</v>
      </c>
      <c r="AD243" s="1140"/>
      <c r="AE243" s="1141">
        <f t="shared" si="45"/>
        <v>11969100</v>
      </c>
      <c r="AF243" s="1519">
        <f t="shared" si="41"/>
        <v>5.1150000000000002</v>
      </c>
      <c r="AG243" s="1224">
        <v>2340000</v>
      </c>
      <c r="AH243" s="1521">
        <f t="shared" si="42"/>
        <v>11969100</v>
      </c>
      <c r="AI243" s="1142">
        <f t="shared" si="53"/>
        <v>226</v>
      </c>
      <c r="AJ243" s="1143">
        <f>IFERROR(INDEX('[17]CN BC'!$M$10:$M$276,MATCH(B243,'[17]CN BC'!$H$10:$H$276,0)),"")</f>
        <v>0</v>
      </c>
      <c r="AK243" s="1144" t="str">
        <f>VLOOKUP(B243,TH.T4!B245:AC575,28,FALSE)</f>
        <v>Đ-ĐT</v>
      </c>
      <c r="AL243" s="1130"/>
      <c r="AN243" s="1147"/>
    </row>
    <row r="244" spans="1:46" s="1146" customFormat="1" ht="29.25" customHeight="1">
      <c r="A244" s="1132">
        <f>_xlfn.AGGREGATE(4,7,A$17:A243)+1</f>
        <v>227</v>
      </c>
      <c r="B244" s="1172" t="s">
        <v>1540</v>
      </c>
      <c r="C244" s="1149" t="s">
        <v>1801</v>
      </c>
      <c r="D244" s="1173" t="s">
        <v>1412</v>
      </c>
      <c r="E244" s="1058" t="str">
        <f>VLOOKUP(B244,TH.T6!B156:J486,9,FALSE)</f>
        <v>Giảng viên khoa
Điện - Điện tử</v>
      </c>
      <c r="F244" s="1174">
        <v>3.99</v>
      </c>
      <c r="G244" s="1175"/>
      <c r="H244" s="1392">
        <f t="shared" si="46"/>
        <v>0</v>
      </c>
      <c r="I244" s="1176"/>
      <c r="J244" s="1174">
        <v>3.99</v>
      </c>
      <c r="K244" s="1175"/>
      <c r="L244" s="1392">
        <f t="shared" si="47"/>
        <v>0</v>
      </c>
      <c r="M244" s="1176"/>
      <c r="N244" s="1174">
        <v>3.99</v>
      </c>
      <c r="O244" s="1175"/>
      <c r="P244" s="1393">
        <f t="shared" si="48"/>
        <v>0</v>
      </c>
      <c r="Q244" s="1176"/>
      <c r="R244" s="1138" t="str">
        <f>IFERROR(INDEX('[18]Gui chi Quynh'!$E$11:$E$397,MATCH(B244,'[18]Gui chi Quynh'!$B$11:$B$397,0)),"")</f>
        <v>A3</v>
      </c>
      <c r="S244" s="1138">
        <f t="shared" si="49"/>
        <v>0.6</v>
      </c>
      <c r="T244" s="1138" t="str">
        <f>VLOOKUP(B244,'[19]Gui chi Quynh'!$B$11:$E$397,4,FALSE)</f>
        <v>A DN</v>
      </c>
      <c r="U244" s="1138">
        <f t="shared" si="43"/>
        <v>0</v>
      </c>
      <c r="V244" s="1138" t="str">
        <f>VLOOKUP(B244,'[20]Gui chi Quynh'!$B$11:$E$396,4,FALSE)</f>
        <v>A4</v>
      </c>
      <c r="W244" s="1138">
        <f t="shared" si="50"/>
        <v>0.5</v>
      </c>
      <c r="X244" s="1138">
        <f>IFERROR(INDEX('[21]CN BC'!$J$10:$J$275,MATCH(B244,'[21]CN BC'!$H$10:$H$275,0)),"")</f>
        <v>23</v>
      </c>
      <c r="Y244" s="1138">
        <f>IFERROR(INDEX('[22]CN BC'!$J$10:$J$274,MATCH(B244,'[22]CN BC'!$H$10:$H$274,0)),"")</f>
        <v>0</v>
      </c>
      <c r="Z244" s="1138">
        <f>VLOOKUP(B244,'[23]CN BC'!$H$10:$J$275,3,FALSE)</f>
        <v>19</v>
      </c>
      <c r="AA244" s="1139">
        <f t="shared" si="51"/>
        <v>23</v>
      </c>
      <c r="AB244" s="1139">
        <f t="shared" si="44"/>
        <v>0</v>
      </c>
      <c r="AC244" s="1139">
        <f t="shared" si="52"/>
        <v>19</v>
      </c>
      <c r="AD244" s="1140"/>
      <c r="AE244" s="1141">
        <f t="shared" si="45"/>
        <v>10270260</v>
      </c>
      <c r="AF244" s="1519">
        <f t="shared" si="41"/>
        <v>4.3890000000000002</v>
      </c>
      <c r="AG244" s="1224">
        <v>2340000</v>
      </c>
      <c r="AH244" s="1521">
        <f t="shared" si="42"/>
        <v>10270260</v>
      </c>
      <c r="AI244" s="1142">
        <f t="shared" si="53"/>
        <v>227</v>
      </c>
      <c r="AJ244" s="1143">
        <f>IFERROR(INDEX('[17]CN BC'!$M$10:$M$276,MATCH(B244,'[17]CN BC'!$H$10:$H$276,0)),"")</f>
        <v>0</v>
      </c>
      <c r="AK244" s="1144" t="str">
        <f>VLOOKUP(B244,TH.T4!B246:AC576,28,FALSE)</f>
        <v>Đ-ĐT</v>
      </c>
      <c r="AL244" s="1130"/>
      <c r="AN244" s="1147"/>
    </row>
    <row r="245" spans="1:46" s="1148" customFormat="1" ht="29.25" customHeight="1">
      <c r="A245" s="1132">
        <f>_xlfn.AGGREGATE(4,7,A$17:A244)+1</f>
        <v>228</v>
      </c>
      <c r="B245" s="1133" t="s">
        <v>1609</v>
      </c>
      <c r="C245" s="1153" t="s">
        <v>1973</v>
      </c>
      <c r="D245" s="1166" t="s">
        <v>1611</v>
      </c>
      <c r="E245" s="1058" t="str">
        <f>VLOOKUP(B245,TH.T6!B157:J487,9,FALSE)</f>
        <v>Giảng viên khoa
Điện - Điện tử</v>
      </c>
      <c r="F245" s="1160">
        <v>3.33</v>
      </c>
      <c r="G245" s="1137"/>
      <c r="H245" s="1392">
        <f t="shared" si="46"/>
        <v>0</v>
      </c>
      <c r="I245" s="1138"/>
      <c r="J245" s="1160">
        <v>3.33</v>
      </c>
      <c r="K245" s="1137"/>
      <c r="L245" s="1392">
        <f t="shared" si="47"/>
        <v>0</v>
      </c>
      <c r="M245" s="1138"/>
      <c r="N245" s="1160">
        <v>3.33</v>
      </c>
      <c r="O245" s="1137"/>
      <c r="P245" s="1393">
        <f t="shared" si="48"/>
        <v>0</v>
      </c>
      <c r="Q245" s="1138"/>
      <c r="R245" s="1138" t="str">
        <f>IFERROR(INDEX('[18]Gui chi Quynh'!$E$11:$E$397,MATCH(B245,'[18]Gui chi Quynh'!$B$11:$B$397,0)),"")</f>
        <v>A3</v>
      </c>
      <c r="S245" s="1138">
        <f t="shared" si="49"/>
        <v>0.6</v>
      </c>
      <c r="T245" s="1138" t="str">
        <f>VLOOKUP(B245,'[19]Gui chi Quynh'!$B$11:$E$397,4,FALSE)</f>
        <v>A DN</v>
      </c>
      <c r="U245" s="1138">
        <f t="shared" si="43"/>
        <v>0</v>
      </c>
      <c r="V245" s="1138" t="str">
        <f>VLOOKUP(B245,'[20]Gui chi Quynh'!$B$11:$E$396,4,FALSE)</f>
        <v>A2</v>
      </c>
      <c r="W245" s="1138">
        <f t="shared" si="50"/>
        <v>0.7</v>
      </c>
      <c r="X245" s="1138">
        <f>IFERROR(INDEX('[21]CN BC'!$J$10:$J$275,MATCH(B245,'[21]CN BC'!$H$10:$H$275,0)),"")</f>
        <v>23</v>
      </c>
      <c r="Y245" s="1138">
        <f>IFERROR(INDEX('[22]CN BC'!$J$10:$J$274,MATCH(B245,'[22]CN BC'!$H$10:$H$274,0)),"")</f>
        <v>0</v>
      </c>
      <c r="Z245" s="1138">
        <f>VLOOKUP(B245,'[23]CN BC'!$H$10:$J$275,3,FALSE)</f>
        <v>19</v>
      </c>
      <c r="AA245" s="1139">
        <f t="shared" si="51"/>
        <v>23</v>
      </c>
      <c r="AB245" s="1139">
        <f t="shared" si="44"/>
        <v>0</v>
      </c>
      <c r="AC245" s="1139">
        <f t="shared" si="52"/>
        <v>19</v>
      </c>
      <c r="AD245" s="1140"/>
      <c r="AE245" s="1141">
        <f t="shared" si="45"/>
        <v>10129860</v>
      </c>
      <c r="AF245" s="1519">
        <f t="shared" si="41"/>
        <v>4.3289999999999997</v>
      </c>
      <c r="AG245" s="1224">
        <v>2340000</v>
      </c>
      <c r="AH245" s="1521">
        <f t="shared" si="42"/>
        <v>10129860</v>
      </c>
      <c r="AI245" s="1142">
        <f t="shared" si="53"/>
        <v>228</v>
      </c>
      <c r="AJ245" s="1143">
        <f>IFERROR(INDEX('[17]CN BC'!$M$10:$M$276,MATCH(B245,'[17]CN BC'!$H$10:$H$276,0)),"")</f>
        <v>0</v>
      </c>
      <c r="AK245" s="1144" t="str">
        <f>VLOOKUP(B245,TH.T4!B247:AC577,28,FALSE)</f>
        <v>Đ-ĐT</v>
      </c>
      <c r="AL245" s="1130"/>
      <c r="AM245" s="1146"/>
      <c r="AN245" s="1147"/>
      <c r="AO245" s="1146"/>
      <c r="AP245" s="1146"/>
      <c r="AQ245" s="1146"/>
      <c r="AR245" s="1146"/>
      <c r="AS245" s="1146"/>
      <c r="AT245" s="1146"/>
    </row>
    <row r="246" spans="1:46" s="1148" customFormat="1" ht="29.25" customHeight="1">
      <c r="A246" s="1132">
        <f>_xlfn.AGGREGATE(4,7,A$17:A245)+1</f>
        <v>229</v>
      </c>
      <c r="B246" s="1133" t="s">
        <v>1610</v>
      </c>
      <c r="C246" s="1153" t="s">
        <v>1974</v>
      </c>
      <c r="D246" s="1166" t="s">
        <v>1612</v>
      </c>
      <c r="E246" s="1058" t="str">
        <f>VLOOKUP(B246,TH.T6!B158:J488,9,FALSE)</f>
        <v>Giảng viên khoa
Điện - Điện tử</v>
      </c>
      <c r="F246" s="1136">
        <v>2.67</v>
      </c>
      <c r="G246" s="1137"/>
      <c r="H246" s="1392">
        <f t="shared" si="46"/>
        <v>0</v>
      </c>
      <c r="I246" s="1138">
        <v>0.25</v>
      </c>
      <c r="J246" s="1136">
        <v>2.67</v>
      </c>
      <c r="K246" s="1137"/>
      <c r="L246" s="1392">
        <f t="shared" si="47"/>
        <v>0</v>
      </c>
      <c r="M246" s="1138">
        <v>0.25</v>
      </c>
      <c r="N246" s="1136">
        <v>2.67</v>
      </c>
      <c r="O246" s="1137"/>
      <c r="P246" s="1393">
        <f t="shared" si="48"/>
        <v>0</v>
      </c>
      <c r="Q246" s="1138">
        <v>0.25</v>
      </c>
      <c r="R246" s="1138" t="str">
        <f>IFERROR(INDEX('[18]Gui chi Quynh'!$E$11:$E$397,MATCH(B246,'[18]Gui chi Quynh'!$B$11:$B$397,0)),"")</f>
        <v>A3</v>
      </c>
      <c r="S246" s="1138">
        <f t="shared" si="49"/>
        <v>0.6</v>
      </c>
      <c r="T246" s="1138" t="str">
        <f>VLOOKUP(B246,'[19]Gui chi Quynh'!$B$11:$E$397,4,FALSE)</f>
        <v>A DN</v>
      </c>
      <c r="U246" s="1138">
        <f t="shared" si="43"/>
        <v>0</v>
      </c>
      <c r="V246" s="1138" t="str">
        <f>VLOOKUP(B246,'[20]Gui chi Quynh'!$B$11:$E$396,4,FALSE)</f>
        <v>A2</v>
      </c>
      <c r="W246" s="1138">
        <f t="shared" si="50"/>
        <v>0.7</v>
      </c>
      <c r="X246" s="1138">
        <f>IFERROR(INDEX('[21]CN BC'!$J$10:$J$275,MATCH(B246,'[21]CN BC'!$H$10:$H$275,0)),"")</f>
        <v>21</v>
      </c>
      <c r="Y246" s="1138">
        <f>IFERROR(INDEX('[22]CN BC'!$J$10:$J$274,MATCH(B246,'[22]CN BC'!$H$10:$H$274,0)),"")</f>
        <v>0</v>
      </c>
      <c r="Z246" s="1138">
        <f>VLOOKUP(B246,'[23]CN BC'!$H$10:$J$275,3,FALSE)</f>
        <v>19</v>
      </c>
      <c r="AA246" s="1139">
        <f t="shared" si="51"/>
        <v>21</v>
      </c>
      <c r="AB246" s="1139">
        <f t="shared" si="44"/>
        <v>0</v>
      </c>
      <c r="AC246" s="1139">
        <f t="shared" si="52"/>
        <v>19</v>
      </c>
      <c r="AD246" s="1140"/>
      <c r="AE246" s="1141">
        <f t="shared" si="45"/>
        <v>8526146</v>
      </c>
      <c r="AF246" s="1519">
        <f t="shared" si="41"/>
        <v>3.6436521367521366</v>
      </c>
      <c r="AG246" s="1224">
        <v>2340000</v>
      </c>
      <c r="AH246" s="1521">
        <f t="shared" si="42"/>
        <v>8526146</v>
      </c>
      <c r="AI246" s="1142">
        <f t="shared" si="53"/>
        <v>229</v>
      </c>
      <c r="AJ246" s="1143">
        <f>IFERROR(INDEX('[17]CN BC'!$M$10:$M$276,MATCH(B246,'[17]CN BC'!$H$10:$H$276,0)),"")</f>
        <v>0</v>
      </c>
      <c r="AK246" s="1144" t="str">
        <f>VLOOKUP(B246,TH.T4!B248:AC578,28,FALSE)</f>
        <v>Đ-ĐT</v>
      </c>
      <c r="AL246" s="1130"/>
      <c r="AM246" s="1146"/>
      <c r="AN246" s="1147"/>
      <c r="AO246" s="1146"/>
      <c r="AP246" s="1146"/>
      <c r="AQ246" s="1146"/>
      <c r="AR246" s="1146"/>
      <c r="AS246" s="1146"/>
      <c r="AT246" s="1146"/>
    </row>
    <row r="247" spans="1:46" s="1148" customFormat="1" ht="29.25" customHeight="1">
      <c r="A247" s="1132">
        <f>_xlfn.AGGREGATE(4,7,A$17:A246)+1</f>
        <v>230</v>
      </c>
      <c r="B247" s="1223" t="s">
        <v>1838</v>
      </c>
      <c r="C247" s="1153" t="s">
        <v>1975</v>
      </c>
      <c r="D247" s="1159">
        <v>1603205590132</v>
      </c>
      <c r="E247" s="1058" t="str">
        <f>VLOOKUP(B247,TH.T6!B159:J489,9,FALSE)</f>
        <v>Giảng viên khoa
Điện - Điện tử</v>
      </c>
      <c r="F247" s="1136">
        <v>2.67</v>
      </c>
      <c r="G247" s="1137"/>
      <c r="H247" s="1392">
        <f t="shared" si="46"/>
        <v>0</v>
      </c>
      <c r="I247" s="1138">
        <v>0.25</v>
      </c>
      <c r="J247" s="1136">
        <v>2.67</v>
      </c>
      <c r="K247" s="1137"/>
      <c r="L247" s="1392">
        <f t="shared" si="47"/>
        <v>0</v>
      </c>
      <c r="M247" s="1138">
        <v>0.25</v>
      </c>
      <c r="N247" s="1136">
        <v>2.67</v>
      </c>
      <c r="O247" s="1137"/>
      <c r="P247" s="1393">
        <f t="shared" si="48"/>
        <v>0</v>
      </c>
      <c r="Q247" s="1138">
        <v>0.25</v>
      </c>
      <c r="R247" s="1138" t="str">
        <f>IFERROR(INDEX('[18]Gui chi Quynh'!$E$11:$E$397,MATCH(B247,'[18]Gui chi Quynh'!$B$11:$B$397,0)),"")</f>
        <v>A3</v>
      </c>
      <c r="S247" s="1138">
        <f t="shared" si="49"/>
        <v>0.6</v>
      </c>
      <c r="T247" s="1138" t="str">
        <f>VLOOKUP(B247,'[19]Gui chi Quynh'!$B$11:$E$397,4,FALSE)</f>
        <v>A DN</v>
      </c>
      <c r="U247" s="1138">
        <f t="shared" si="43"/>
        <v>0</v>
      </c>
      <c r="V247" s="1138" t="str">
        <f>VLOOKUP(B247,'[20]Gui chi Quynh'!$B$11:$E$396,4,FALSE)</f>
        <v>A2</v>
      </c>
      <c r="W247" s="1138">
        <f t="shared" si="50"/>
        <v>0.7</v>
      </c>
      <c r="X247" s="1138">
        <f>IFERROR(INDEX('[21]CN BC'!$J$10:$J$275,MATCH(B247,'[21]CN BC'!$H$10:$H$275,0)),"")</f>
        <v>21</v>
      </c>
      <c r="Y247" s="1138">
        <f>IFERROR(INDEX('[22]CN BC'!$J$10:$J$274,MATCH(B247,'[22]CN BC'!$H$10:$H$274,0)),"")</f>
        <v>0</v>
      </c>
      <c r="Z247" s="1138">
        <f>VLOOKUP(B247,'[23]CN BC'!$H$10:$J$275,3,FALSE)</f>
        <v>19</v>
      </c>
      <c r="AA247" s="1139">
        <f t="shared" si="51"/>
        <v>21</v>
      </c>
      <c r="AB247" s="1139">
        <f t="shared" si="44"/>
        <v>0</v>
      </c>
      <c r="AC247" s="1139">
        <f t="shared" si="52"/>
        <v>19</v>
      </c>
      <c r="AD247" s="1140"/>
      <c r="AE247" s="1141">
        <f t="shared" si="45"/>
        <v>8526146</v>
      </c>
      <c r="AF247" s="1519">
        <f t="shared" si="41"/>
        <v>3.6436521367521366</v>
      </c>
      <c r="AG247" s="1224">
        <v>2340000</v>
      </c>
      <c r="AH247" s="1521">
        <f t="shared" si="42"/>
        <v>8526146</v>
      </c>
      <c r="AI247" s="1142">
        <f t="shared" si="53"/>
        <v>230</v>
      </c>
      <c r="AJ247" s="1143">
        <f>IFERROR(INDEX('[17]CN BC'!$M$10:$M$276,MATCH(B247,'[17]CN BC'!$H$10:$H$276,0)),"")</f>
        <v>0</v>
      </c>
      <c r="AK247" s="1144" t="str">
        <f>VLOOKUP(B247,TH.T4!B249:AC579,28,FALSE)</f>
        <v>Đ-ĐT</v>
      </c>
      <c r="AL247" s="1130"/>
      <c r="AM247" s="1146"/>
      <c r="AN247" s="1147"/>
      <c r="AO247" s="1146"/>
      <c r="AP247" s="1146"/>
      <c r="AQ247" s="1146"/>
      <c r="AR247" s="1146"/>
      <c r="AS247" s="1146"/>
      <c r="AT247" s="1146"/>
    </row>
    <row r="248" spans="1:46" s="1148" customFormat="1" ht="29.25" customHeight="1">
      <c r="A248" s="1132">
        <f>_xlfn.AGGREGATE(4,7,A$17:A247)+1</f>
        <v>231</v>
      </c>
      <c r="B248" s="1223" t="s">
        <v>1993</v>
      </c>
      <c r="C248" s="1153"/>
      <c r="D248" s="1225"/>
      <c r="E248" s="1058" t="str">
        <f>VLOOKUP(B248,TH.T6!B160:J490,9,FALSE)</f>
        <v>Giảng viên khoa Điện - Điện tử</v>
      </c>
      <c r="F248" s="1136">
        <v>3.99</v>
      </c>
      <c r="G248" s="1137"/>
      <c r="H248" s="1392">
        <f t="shared" si="46"/>
        <v>0</v>
      </c>
      <c r="I248" s="1138"/>
      <c r="J248" s="1136">
        <v>3.99</v>
      </c>
      <c r="K248" s="1137"/>
      <c r="L248" s="1392">
        <f t="shared" si="47"/>
        <v>0</v>
      </c>
      <c r="M248" s="1138"/>
      <c r="N248" s="1136">
        <v>3.99</v>
      </c>
      <c r="O248" s="1137"/>
      <c r="P248" s="1393">
        <f t="shared" si="48"/>
        <v>0</v>
      </c>
      <c r="Q248" s="1138"/>
      <c r="R248" s="1138" t="str">
        <f>IFERROR(INDEX('[18]Gui chi Quynh'!$E$11:$E$397,MATCH(B248,'[18]Gui chi Quynh'!$B$11:$B$397,0)),"")</f>
        <v>A3</v>
      </c>
      <c r="S248" s="1138">
        <f t="shared" si="49"/>
        <v>0.6</v>
      </c>
      <c r="T248" s="1138" t="str">
        <f>VLOOKUP(B248,'[19]Gui chi Quynh'!$B$11:$E$397,4,FALSE)</f>
        <v>A DN</v>
      </c>
      <c r="U248" s="1138">
        <f t="shared" si="43"/>
        <v>0</v>
      </c>
      <c r="V248" s="1138" t="str">
        <f>VLOOKUP(B248,'[20]Gui chi Quynh'!$B$11:$E$396,4,FALSE)</f>
        <v>A3</v>
      </c>
      <c r="W248" s="1138">
        <f t="shared" si="50"/>
        <v>0.6</v>
      </c>
      <c r="X248" s="1138">
        <f>IFERROR(INDEX('[21]CN BC'!$J$10:$J$275,MATCH(B248,'[21]CN BC'!$H$10:$H$275,0)),"")</f>
        <v>21</v>
      </c>
      <c r="Y248" s="1138">
        <f>IFERROR(INDEX('[22]CN BC'!$J$10:$J$274,MATCH(B248,'[22]CN BC'!$H$10:$H$274,0)),"")</f>
        <v>0</v>
      </c>
      <c r="Z248" s="1138">
        <f>VLOOKUP(B248,'[23]CN BC'!$H$10:$J$275,3,FALSE)</f>
        <v>19</v>
      </c>
      <c r="AA248" s="1139">
        <f t="shared" si="51"/>
        <v>21</v>
      </c>
      <c r="AB248" s="1139">
        <f t="shared" si="44"/>
        <v>0</v>
      </c>
      <c r="AC248" s="1139">
        <f t="shared" si="52"/>
        <v>19</v>
      </c>
      <c r="AD248" s="1140"/>
      <c r="AE248" s="1141">
        <f t="shared" si="45"/>
        <v>10716793</v>
      </c>
      <c r="AF248" s="1519">
        <f t="shared" si="41"/>
        <v>4.5798260683760681</v>
      </c>
      <c r="AG248" s="1224">
        <v>2340000</v>
      </c>
      <c r="AH248" s="1521">
        <f t="shared" si="42"/>
        <v>10716793</v>
      </c>
      <c r="AI248" s="1142">
        <f t="shared" si="53"/>
        <v>231</v>
      </c>
      <c r="AJ248" s="1143">
        <f>IFERROR(INDEX('[17]CN BC'!$M$10:$M$276,MATCH(B248,'[17]CN BC'!$H$10:$H$276,0)),"")</f>
        <v>0</v>
      </c>
      <c r="AK248" s="1144" t="str">
        <f>VLOOKUP(B248,TH.T4!B250:AC580,28,FALSE)</f>
        <v>Đ-ĐT</v>
      </c>
      <c r="AL248" s="1130"/>
      <c r="AM248" s="1146"/>
      <c r="AN248" s="1147"/>
      <c r="AO248" s="1146"/>
      <c r="AP248" s="1146"/>
      <c r="AQ248" s="1146"/>
      <c r="AR248" s="1146"/>
      <c r="AS248" s="1146"/>
      <c r="AT248" s="1146"/>
    </row>
    <row r="249" spans="1:46" s="1148" customFormat="1" ht="29.25" customHeight="1">
      <c r="A249" s="1132">
        <f>_xlfn.AGGREGATE(4,7,A$17:A248)+1</f>
        <v>232</v>
      </c>
      <c r="B249" s="1223" t="s">
        <v>2002</v>
      </c>
      <c r="C249" s="1153"/>
      <c r="D249" s="1225"/>
      <c r="E249" s="1058" t="str">
        <f>VLOOKUP(B249,TH.T6!B161:J491,9,FALSE)</f>
        <v>Giảng viên khoa Điện - Điện tử</v>
      </c>
      <c r="F249" s="1136">
        <v>2.67</v>
      </c>
      <c r="G249" s="1137"/>
      <c r="H249" s="1392">
        <f t="shared" si="46"/>
        <v>0</v>
      </c>
      <c r="I249" s="1138"/>
      <c r="J249" s="1136">
        <v>2.67</v>
      </c>
      <c r="K249" s="1137"/>
      <c r="L249" s="1392">
        <f t="shared" si="47"/>
        <v>0</v>
      </c>
      <c r="M249" s="1138"/>
      <c r="N249" s="1136">
        <v>2.67</v>
      </c>
      <c r="O249" s="1137"/>
      <c r="P249" s="1393">
        <f t="shared" si="48"/>
        <v>0</v>
      </c>
      <c r="Q249" s="1138"/>
      <c r="R249" s="1138" t="str">
        <f>IFERROR(INDEX('[18]Gui chi Quynh'!$E$11:$E$397,MATCH(B249,'[18]Gui chi Quynh'!$B$11:$B$397,0)),"")</f>
        <v>A3</v>
      </c>
      <c r="S249" s="1138">
        <f t="shared" si="49"/>
        <v>0.6</v>
      </c>
      <c r="T249" s="1138" t="str">
        <f>VLOOKUP(B249,'[19]Gui chi Quynh'!$B$11:$E$397,4,FALSE)</f>
        <v>A DN</v>
      </c>
      <c r="U249" s="1138">
        <f t="shared" si="43"/>
        <v>0</v>
      </c>
      <c r="V249" s="1138" t="str">
        <f>VLOOKUP(B249,'[20]Gui chi Quynh'!$B$11:$E$396,4,FALSE)</f>
        <v>A2</v>
      </c>
      <c r="W249" s="1138">
        <f t="shared" si="50"/>
        <v>0.7</v>
      </c>
      <c r="X249" s="1138">
        <f>IFERROR(INDEX('[21]CN BC'!$J$10:$J$275,MATCH(B249,'[21]CN BC'!$H$10:$H$275,0)),"")</f>
        <v>23</v>
      </c>
      <c r="Y249" s="1138">
        <f>IFERROR(INDEX('[22]CN BC'!$J$10:$J$274,MATCH(B249,'[22]CN BC'!$H$10:$H$274,0)),"")</f>
        <v>0</v>
      </c>
      <c r="Z249" s="1138">
        <f>VLOOKUP(B249,'[23]CN BC'!$H$10:$J$275,3,FALSE)</f>
        <v>19</v>
      </c>
      <c r="AA249" s="1139">
        <f t="shared" si="51"/>
        <v>23</v>
      </c>
      <c r="AB249" s="1139">
        <f t="shared" si="44"/>
        <v>0</v>
      </c>
      <c r="AC249" s="1139">
        <f t="shared" si="52"/>
        <v>19</v>
      </c>
      <c r="AD249" s="1140"/>
      <c r="AE249" s="1141">
        <f t="shared" si="45"/>
        <v>8122140</v>
      </c>
      <c r="AF249" s="1519">
        <f t="shared" si="41"/>
        <v>3.4710000000000001</v>
      </c>
      <c r="AG249" s="1224">
        <v>2340000</v>
      </c>
      <c r="AH249" s="1521">
        <f t="shared" si="42"/>
        <v>8122140</v>
      </c>
      <c r="AI249" s="1142">
        <f t="shared" si="53"/>
        <v>232</v>
      </c>
      <c r="AJ249" s="1143">
        <f>IFERROR(INDEX('[17]CN BC'!$M$10:$M$276,MATCH(B249,'[17]CN BC'!$H$10:$H$276,0)),"")</f>
        <v>0</v>
      </c>
      <c r="AK249" s="1144" t="str">
        <f>VLOOKUP(B249,TH.T4!B251:AC581,28,FALSE)</f>
        <v>Đ-ĐT</v>
      </c>
      <c r="AL249" s="1171"/>
      <c r="AN249" s="1158"/>
    </row>
    <row r="250" spans="1:46" s="1148" customFormat="1" ht="29.25" customHeight="1">
      <c r="A250" s="1132">
        <f>_xlfn.AGGREGATE(4,7,A$17:A249)+1</f>
        <v>233</v>
      </c>
      <c r="B250" s="1223" t="s">
        <v>2004</v>
      </c>
      <c r="C250" s="1153"/>
      <c r="D250" s="1225"/>
      <c r="E250" s="1058" t="str">
        <f>VLOOKUP(B250,TH.T6!B162:J492,9,FALSE)</f>
        <v>Giảng viên khoa Điện - Điện tử</v>
      </c>
      <c r="F250" s="1136">
        <v>2.34</v>
      </c>
      <c r="G250" s="1137"/>
      <c r="H250" s="1392">
        <f t="shared" si="46"/>
        <v>0</v>
      </c>
      <c r="I250" s="1138"/>
      <c r="J250" s="1136">
        <v>2.34</v>
      </c>
      <c r="K250" s="1137"/>
      <c r="L250" s="1392">
        <f t="shared" si="47"/>
        <v>0</v>
      </c>
      <c r="M250" s="1138"/>
      <c r="N250" s="1136">
        <v>2.34</v>
      </c>
      <c r="O250" s="1137"/>
      <c r="P250" s="1393">
        <f t="shared" si="48"/>
        <v>0</v>
      </c>
      <c r="Q250" s="1138"/>
      <c r="R250" s="1138" t="str">
        <f>IFERROR(INDEX('[18]Gui chi Quynh'!$E$11:$E$397,MATCH(B250,'[18]Gui chi Quynh'!$B$11:$B$397,0)),"")</f>
        <v>A3</v>
      </c>
      <c r="S250" s="1138">
        <f t="shared" si="49"/>
        <v>0.6</v>
      </c>
      <c r="T250" s="1138" t="str">
        <f>VLOOKUP(B250,'[19]Gui chi Quynh'!$B$11:$E$397,4,FALSE)</f>
        <v>A DN</v>
      </c>
      <c r="U250" s="1138">
        <f t="shared" si="43"/>
        <v>0</v>
      </c>
      <c r="V250" s="1138" t="str">
        <f>VLOOKUP(B250,'[20]Gui chi Quynh'!$B$11:$E$396,4,FALSE)</f>
        <v>A3</v>
      </c>
      <c r="W250" s="1138">
        <f t="shared" si="50"/>
        <v>0.6</v>
      </c>
      <c r="X250" s="1138">
        <f>IFERROR(INDEX('[21]CN BC'!$J$10:$J$275,MATCH(B250,'[21]CN BC'!$H$10:$H$275,0)),"")</f>
        <v>23</v>
      </c>
      <c r="Y250" s="1138">
        <f>IFERROR(INDEX('[22]CN BC'!$J$10:$J$274,MATCH(B250,'[22]CN BC'!$H$10:$H$274,0)),"")</f>
        <v>0</v>
      </c>
      <c r="Z250" s="1138">
        <f>VLOOKUP(B250,'[23]CN BC'!$H$10:$J$275,3,FALSE)</f>
        <v>19</v>
      </c>
      <c r="AA250" s="1139">
        <f t="shared" si="51"/>
        <v>23</v>
      </c>
      <c r="AB250" s="1139">
        <f t="shared" si="44"/>
        <v>0</v>
      </c>
      <c r="AC250" s="1139">
        <f t="shared" si="52"/>
        <v>19</v>
      </c>
      <c r="AD250" s="1140"/>
      <c r="AE250" s="1141">
        <f t="shared" si="45"/>
        <v>6570720</v>
      </c>
      <c r="AF250" s="1519">
        <f t="shared" si="41"/>
        <v>2.8079999999999998</v>
      </c>
      <c r="AG250" s="1224">
        <v>2340000</v>
      </c>
      <c r="AH250" s="1521">
        <f t="shared" si="42"/>
        <v>6570720</v>
      </c>
      <c r="AI250" s="1142">
        <f t="shared" si="53"/>
        <v>233</v>
      </c>
      <c r="AJ250" s="1143">
        <f>IFERROR(INDEX('[17]CN BC'!$M$10:$M$276,MATCH(B250,'[17]CN BC'!$H$10:$H$276,0)),"")</f>
        <v>0</v>
      </c>
      <c r="AK250" s="1144" t="str">
        <f>VLOOKUP(B250,TH.T4!B252:AC582,28,FALSE)</f>
        <v>Đ-ĐT</v>
      </c>
      <c r="AL250" s="1171"/>
      <c r="AN250" s="1158"/>
    </row>
    <row r="251" spans="1:46" s="1148" customFormat="1" ht="29.25" customHeight="1">
      <c r="A251" s="1132">
        <f>_xlfn.AGGREGATE(4,7,A$17:A250)+1</f>
        <v>234</v>
      </c>
      <c r="B251" s="1133" t="s">
        <v>1914</v>
      </c>
      <c r="C251" s="1153" t="s">
        <v>1803</v>
      </c>
      <c r="D251" s="1154" t="s">
        <v>0</v>
      </c>
      <c r="E251" s="1058" t="str">
        <f>VLOOKUP(B251,TH.T6!B163:J493,9,FALSE)</f>
        <v>Trưởng khoa Động lực</v>
      </c>
      <c r="F251" s="1136">
        <v>4.6500000000000004</v>
      </c>
      <c r="G251" s="1137"/>
      <c r="H251" s="1392">
        <f t="shared" si="46"/>
        <v>0</v>
      </c>
      <c r="I251" s="1138">
        <v>0.45</v>
      </c>
      <c r="J251" s="1136">
        <v>4.6500000000000004</v>
      </c>
      <c r="K251" s="1137"/>
      <c r="L251" s="1392">
        <f t="shared" si="47"/>
        <v>0</v>
      </c>
      <c r="M251" s="1138">
        <v>0.45</v>
      </c>
      <c r="N251" s="1136">
        <v>4.6500000000000004</v>
      </c>
      <c r="O251" s="1137"/>
      <c r="P251" s="1393">
        <f t="shared" si="48"/>
        <v>0</v>
      </c>
      <c r="Q251" s="1138">
        <v>0.45</v>
      </c>
      <c r="R251" s="1138" t="str">
        <f>IFERROR(INDEX('[18]Gui chi Quynh'!$E$11:$E$397,MATCH(B251,'[18]Gui chi Quynh'!$B$11:$B$397,0)),"")</f>
        <v>A2</v>
      </c>
      <c r="S251" s="1138">
        <f t="shared" si="49"/>
        <v>0.7</v>
      </c>
      <c r="T251" s="1138" t="str">
        <f>VLOOKUP(B251,'[19]Gui chi Quynh'!$B$11:$E$397,4,FALSE)</f>
        <v>A2</v>
      </c>
      <c r="U251" s="1138">
        <f t="shared" si="43"/>
        <v>0.7</v>
      </c>
      <c r="V251" s="1138" t="str">
        <f>VLOOKUP(B251,'[20]Gui chi Quynh'!$B$11:$E$396,4,FALSE)</f>
        <v>A1</v>
      </c>
      <c r="W251" s="1138">
        <f t="shared" si="50"/>
        <v>0.8</v>
      </c>
      <c r="X251" s="1138">
        <f>IFERROR(INDEX('[21]CN BC'!$J$10:$J$275,MATCH(B251,'[21]CN BC'!$H$10:$H$275,0)),"")</f>
        <v>23</v>
      </c>
      <c r="Y251" s="1138">
        <f>IFERROR(INDEX('[22]CN BC'!$J$10:$J$274,MATCH(B251,'[22]CN BC'!$H$10:$H$274,0)),"")</f>
        <v>22</v>
      </c>
      <c r="Z251" s="1138">
        <f>VLOOKUP(B251,'[23]CN BC'!$H$10:$J$275,3,FALSE)</f>
        <v>19</v>
      </c>
      <c r="AA251" s="1139">
        <f t="shared" si="51"/>
        <v>23</v>
      </c>
      <c r="AB251" s="1139">
        <f t="shared" si="44"/>
        <v>22</v>
      </c>
      <c r="AC251" s="1139">
        <f t="shared" si="52"/>
        <v>19</v>
      </c>
      <c r="AD251" s="1140"/>
      <c r="AE251" s="1141">
        <f t="shared" si="45"/>
        <v>26254800</v>
      </c>
      <c r="AF251" s="1519">
        <f t="shared" si="41"/>
        <v>11.22</v>
      </c>
      <c r="AG251" s="1224">
        <v>2340000</v>
      </c>
      <c r="AH251" s="1521">
        <f t="shared" si="42"/>
        <v>26254800</v>
      </c>
      <c r="AI251" s="1142">
        <f t="shared" si="53"/>
        <v>234</v>
      </c>
      <c r="AJ251" s="1143">
        <f>IFERROR(INDEX('[17]CN BC'!$M$10:$M$276,MATCH(B251,'[17]CN BC'!$H$10:$H$276,0)),"")</f>
        <v>0</v>
      </c>
      <c r="AK251" s="1144" t="str">
        <f>VLOOKUP(B251,TH.T4!B253:AC583,28,FALSE)</f>
        <v>ĐL</v>
      </c>
      <c r="AL251" s="1167"/>
      <c r="AM251" s="1146"/>
      <c r="AN251" s="1147"/>
      <c r="AO251" s="1146"/>
      <c r="AP251" s="1146"/>
      <c r="AQ251" s="1146"/>
      <c r="AR251" s="1146"/>
      <c r="AS251" s="1146"/>
      <c r="AT251" s="1146"/>
    </row>
    <row r="252" spans="1:46" s="1148" customFormat="1" ht="29.25" customHeight="1">
      <c r="A252" s="1132">
        <f>_xlfn.AGGREGATE(4,7,A$17:A251)+1</f>
        <v>235</v>
      </c>
      <c r="B252" s="1133" t="s">
        <v>1915</v>
      </c>
      <c r="C252" s="1153" t="s">
        <v>1804</v>
      </c>
      <c r="D252" s="1154" t="s">
        <v>1420</v>
      </c>
      <c r="E252" s="1058" t="str">
        <f>VLOOKUP(B252,TH.T6!B164:J494,9,FALSE)</f>
        <v>Phó Trưởng khoa
 Động lực</v>
      </c>
      <c r="F252" s="1136">
        <v>4.9800000000000004</v>
      </c>
      <c r="G252" s="1137"/>
      <c r="H252" s="1392">
        <f t="shared" si="46"/>
        <v>0</v>
      </c>
      <c r="I252" s="1138">
        <v>0.35</v>
      </c>
      <c r="J252" s="1136">
        <v>4.9800000000000004</v>
      </c>
      <c r="K252" s="1137"/>
      <c r="L252" s="1392">
        <f t="shared" si="47"/>
        <v>0</v>
      </c>
      <c r="M252" s="1138">
        <v>0.35</v>
      </c>
      <c r="N252" s="1136">
        <v>4.9800000000000004</v>
      </c>
      <c r="O252" s="1137"/>
      <c r="P252" s="1393">
        <f t="shared" si="48"/>
        <v>0</v>
      </c>
      <c r="Q252" s="1138">
        <v>0.35</v>
      </c>
      <c r="R252" s="1138" t="str">
        <f>IFERROR(INDEX('[18]Gui chi Quynh'!$E$11:$E$397,MATCH(B252,'[18]Gui chi Quynh'!$B$11:$B$397,0)),"")</f>
        <v>A3</v>
      </c>
      <c r="S252" s="1138">
        <f t="shared" si="49"/>
        <v>0.6</v>
      </c>
      <c r="T252" s="1138" t="str">
        <f>VLOOKUP(B252,'[19]Gui chi Quynh'!$B$11:$E$397,4,FALSE)</f>
        <v>A4</v>
      </c>
      <c r="U252" s="1138">
        <f t="shared" si="43"/>
        <v>0.5</v>
      </c>
      <c r="V252" s="1138" t="str">
        <f>VLOOKUP(B252,'[20]Gui chi Quynh'!$B$11:$E$396,4,FALSE)</f>
        <v>A2</v>
      </c>
      <c r="W252" s="1138">
        <f t="shared" si="50"/>
        <v>0.7</v>
      </c>
      <c r="X252" s="1138">
        <f>IFERROR(INDEX('[21]CN BC'!$J$10:$J$275,MATCH(B252,'[21]CN BC'!$H$10:$H$275,0)),"")</f>
        <v>23</v>
      </c>
      <c r="Y252" s="1138">
        <f>IFERROR(INDEX('[22]CN BC'!$J$10:$J$274,MATCH(B252,'[22]CN BC'!$H$10:$H$274,0)),"")</f>
        <v>22</v>
      </c>
      <c r="Z252" s="1138">
        <f>VLOOKUP(B252,'[23]CN BC'!$H$10:$J$275,3,FALSE)</f>
        <v>19</v>
      </c>
      <c r="AA252" s="1139">
        <f t="shared" si="51"/>
        <v>23</v>
      </c>
      <c r="AB252" s="1139">
        <f t="shared" si="44"/>
        <v>22</v>
      </c>
      <c r="AC252" s="1139">
        <f t="shared" si="52"/>
        <v>19</v>
      </c>
      <c r="AD252" s="1140"/>
      <c r="AE252" s="1141">
        <f t="shared" si="45"/>
        <v>22449960</v>
      </c>
      <c r="AF252" s="1519">
        <f t="shared" si="41"/>
        <v>9.5939999999999994</v>
      </c>
      <c r="AG252" s="1224">
        <v>2340000</v>
      </c>
      <c r="AH252" s="1521">
        <f t="shared" si="42"/>
        <v>22449960</v>
      </c>
      <c r="AI252" s="1142">
        <f t="shared" si="53"/>
        <v>235</v>
      </c>
      <c r="AJ252" s="1143">
        <f>IFERROR(INDEX('[17]CN BC'!$M$10:$M$276,MATCH(B252,'[17]CN BC'!$H$10:$H$276,0)),"")</f>
        <v>0</v>
      </c>
      <c r="AK252" s="1144" t="str">
        <f>VLOOKUP(B252,TH.T4!B254:AC584,28,FALSE)</f>
        <v>ĐL</v>
      </c>
      <c r="AL252" s="1130"/>
      <c r="AM252" s="1146"/>
      <c r="AN252" s="1147"/>
      <c r="AO252" s="1146"/>
      <c r="AP252" s="1146"/>
      <c r="AQ252" s="1146"/>
      <c r="AR252" s="1146"/>
      <c r="AS252" s="1146"/>
      <c r="AT252" s="1146"/>
    </row>
    <row r="253" spans="1:46" s="1148" customFormat="1" ht="29.25" customHeight="1">
      <c r="A253" s="1132">
        <f>_xlfn.AGGREGATE(4,7,A$17:A252)+1</f>
        <v>236</v>
      </c>
      <c r="B253" s="1133" t="s">
        <v>1916</v>
      </c>
      <c r="C253" s="1153" t="s">
        <v>1805</v>
      </c>
      <c r="D253" s="1154" t="s">
        <v>1</v>
      </c>
      <c r="E253" s="1058" t="str">
        <f>VLOOKUP(B253,TH.T6!B165:J495,9,FALSE)</f>
        <v>Giảng viên khoa Động lực</v>
      </c>
      <c r="F253" s="1136">
        <v>4.32</v>
      </c>
      <c r="G253" s="1137"/>
      <c r="H253" s="1392">
        <f t="shared" si="46"/>
        <v>0</v>
      </c>
      <c r="I253" s="1138">
        <v>0.25</v>
      </c>
      <c r="J253" s="1136">
        <v>4.32</v>
      </c>
      <c r="K253" s="1137"/>
      <c r="L253" s="1392">
        <f t="shared" si="47"/>
        <v>0</v>
      </c>
      <c r="M253" s="1138">
        <v>0.25</v>
      </c>
      <c r="N253" s="1136">
        <v>4.32</v>
      </c>
      <c r="O253" s="1137"/>
      <c r="P253" s="1393">
        <f t="shared" si="48"/>
        <v>0</v>
      </c>
      <c r="Q253" s="1138">
        <v>0.25</v>
      </c>
      <c r="R253" s="1138" t="str">
        <f>IFERROR(INDEX('[18]Gui chi Quynh'!$E$11:$E$397,MATCH(B253,'[18]Gui chi Quynh'!$B$11:$B$397,0)),"")</f>
        <v>A4</v>
      </c>
      <c r="S253" s="1138">
        <f t="shared" si="49"/>
        <v>0.5</v>
      </c>
      <c r="T253" s="1138" t="str">
        <f>VLOOKUP(B253,'[19]Gui chi Quynh'!$B$11:$E$397,4,FALSE)</f>
        <v>A DN</v>
      </c>
      <c r="U253" s="1138">
        <f t="shared" si="43"/>
        <v>0</v>
      </c>
      <c r="V253" s="1138" t="str">
        <f>VLOOKUP(B253,'[20]Gui chi Quynh'!$B$11:$E$396,4,FALSE)</f>
        <v>A4</v>
      </c>
      <c r="W253" s="1138">
        <f t="shared" si="50"/>
        <v>0.5</v>
      </c>
      <c r="X253" s="1138">
        <f>IFERROR(INDEX('[21]CN BC'!$J$10:$J$275,MATCH(B253,'[21]CN BC'!$H$10:$H$275,0)),"")</f>
        <v>23</v>
      </c>
      <c r="Y253" s="1138">
        <f>IFERROR(INDEX('[22]CN BC'!$J$10:$J$274,MATCH(B253,'[22]CN BC'!$H$10:$H$274,0)),"")</f>
        <v>0</v>
      </c>
      <c r="Z253" s="1138">
        <f>VLOOKUP(B253,'[23]CN BC'!$H$10:$J$275,3,FALSE)</f>
        <v>19</v>
      </c>
      <c r="AA253" s="1139">
        <f t="shared" si="51"/>
        <v>23</v>
      </c>
      <c r="AB253" s="1139">
        <f t="shared" si="44"/>
        <v>0</v>
      </c>
      <c r="AC253" s="1139">
        <f t="shared" si="52"/>
        <v>19</v>
      </c>
      <c r="AD253" s="1140"/>
      <c r="AE253" s="1141">
        <f t="shared" si="45"/>
        <v>10693800</v>
      </c>
      <c r="AF253" s="1519">
        <f t="shared" si="41"/>
        <v>4.57</v>
      </c>
      <c r="AG253" s="1224">
        <v>2340000</v>
      </c>
      <c r="AH253" s="1521">
        <f t="shared" si="42"/>
        <v>10693800</v>
      </c>
      <c r="AI253" s="1142">
        <f t="shared" si="53"/>
        <v>236</v>
      </c>
      <c r="AJ253" s="1143">
        <f>IFERROR(INDEX('[17]CN BC'!$M$10:$M$276,MATCH(B253,'[17]CN BC'!$H$10:$H$276,0)),"")</f>
        <v>0</v>
      </c>
      <c r="AK253" s="1144" t="str">
        <f>VLOOKUP(B253,TH.T4!B255:AC585,28,FALSE)</f>
        <v>ĐL</v>
      </c>
      <c r="AL253" s="1130"/>
      <c r="AM253" s="1146"/>
      <c r="AN253" s="1147"/>
      <c r="AO253" s="1146"/>
      <c r="AP253" s="1146"/>
      <c r="AQ253" s="1146"/>
      <c r="AR253" s="1146"/>
      <c r="AS253" s="1146"/>
      <c r="AT253" s="1146"/>
    </row>
    <row r="254" spans="1:46" s="1148" customFormat="1" ht="29.25" customHeight="1">
      <c r="A254" s="1132">
        <f>_xlfn.AGGREGATE(4,7,A$17:A253)+1</f>
        <v>237</v>
      </c>
      <c r="B254" s="1215" t="s">
        <v>1542</v>
      </c>
      <c r="C254" s="1216" t="s">
        <v>1806</v>
      </c>
      <c r="D254" s="1347" t="s">
        <v>3</v>
      </c>
      <c r="E254" s="579" t="str">
        <f>VLOOKUP(B254,TH.T6!B166:J496,9,FALSE)</f>
        <v>Giảng viên - Trưởng BM khoa Động lực</v>
      </c>
      <c r="F254" s="1358">
        <v>3.99</v>
      </c>
      <c r="G254" s="1218"/>
      <c r="H254" s="1394">
        <f t="shared" si="46"/>
        <v>0</v>
      </c>
      <c r="I254" s="1219"/>
      <c r="J254" s="1358">
        <v>3.99</v>
      </c>
      <c r="K254" s="1218"/>
      <c r="L254" s="1394">
        <f t="shared" si="47"/>
        <v>0</v>
      </c>
      <c r="M254" s="1219"/>
      <c r="N254" s="1358">
        <v>4.32</v>
      </c>
      <c r="O254" s="1218"/>
      <c r="P254" s="1395">
        <f t="shared" si="48"/>
        <v>0</v>
      </c>
      <c r="Q254" s="1219"/>
      <c r="R254" s="1219" t="str">
        <f>IFERROR(INDEX('[18]Gui chi Quynh'!$E$11:$E$397,MATCH(B254,'[18]Gui chi Quynh'!$B$11:$B$397,0)),"")</f>
        <v>A4</v>
      </c>
      <c r="S254" s="1219">
        <f t="shared" si="49"/>
        <v>0.5</v>
      </c>
      <c r="T254" s="1219" t="str">
        <f>VLOOKUP(B254,'[19]Gui chi Quynh'!$B$11:$E$397,4,FALSE)</f>
        <v>A DN</v>
      </c>
      <c r="U254" s="1219">
        <f t="shared" si="43"/>
        <v>0</v>
      </c>
      <c r="V254" s="1219" t="str">
        <f>VLOOKUP(B254,'[20]Gui chi Quynh'!$B$11:$E$396,4,FALSE)</f>
        <v>A4</v>
      </c>
      <c r="W254" s="1219">
        <f t="shared" si="50"/>
        <v>0.5</v>
      </c>
      <c r="X254" s="1219">
        <f>IFERROR(INDEX('[21]CN BC'!$J$10:$J$275,MATCH(B254,'[21]CN BC'!$H$10:$H$275,0)),"")</f>
        <v>23</v>
      </c>
      <c r="Y254" s="1219">
        <f>IFERROR(INDEX('[22]CN BC'!$J$10:$J$274,MATCH(B254,'[22]CN BC'!$H$10:$H$274,0)),"")</f>
        <v>0</v>
      </c>
      <c r="Z254" s="1219">
        <f>VLOOKUP(B254,'[23]CN BC'!$H$10:$J$275,3,FALSE)</f>
        <v>19</v>
      </c>
      <c r="AA254" s="1348">
        <f t="shared" si="51"/>
        <v>23</v>
      </c>
      <c r="AB254" s="1348">
        <f t="shared" si="44"/>
        <v>0</v>
      </c>
      <c r="AC254" s="1348">
        <f t="shared" si="52"/>
        <v>19</v>
      </c>
      <c r="AD254" s="1220"/>
      <c r="AE254" s="1349">
        <f t="shared" si="45"/>
        <v>9722700</v>
      </c>
      <c r="AF254" s="1548">
        <f t="shared" si="41"/>
        <v>4.1550000000000002</v>
      </c>
      <c r="AG254" s="1359">
        <v>2340000</v>
      </c>
      <c r="AH254" s="1549">
        <f t="shared" si="42"/>
        <v>9722700</v>
      </c>
      <c r="AI254" s="1221">
        <f t="shared" si="53"/>
        <v>237</v>
      </c>
      <c r="AJ254" s="1350" t="s">
        <v>2363</v>
      </c>
      <c r="AK254" s="1144" t="str">
        <f>VLOOKUP(B254,TH.T4!B256:AC586,28,FALSE)</f>
        <v>ĐL</v>
      </c>
      <c r="AL254" s="1130"/>
      <c r="AM254" s="1146"/>
      <c r="AN254" s="1147"/>
      <c r="AO254" s="1146"/>
      <c r="AP254" s="1146"/>
      <c r="AQ254" s="1146"/>
      <c r="AR254" s="1146"/>
      <c r="AS254" s="1146"/>
      <c r="AT254" s="1146"/>
    </row>
    <row r="255" spans="1:46" s="1148" customFormat="1" ht="29.25" customHeight="1">
      <c r="A255" s="1132">
        <f>_xlfn.AGGREGATE(4,7,A$17:A254)+1</f>
        <v>238</v>
      </c>
      <c r="B255" s="1133" t="s">
        <v>1543</v>
      </c>
      <c r="C255" s="1153" t="s">
        <v>1807</v>
      </c>
      <c r="D255" s="1154" t="s">
        <v>4</v>
      </c>
      <c r="E255" s="1058" t="str">
        <f>VLOOKUP(B255,TH.T6!B167:J497,9,FALSE)</f>
        <v>Giảng viên - Trưởng BM khoa Động lực</v>
      </c>
      <c r="F255" s="1160">
        <v>3.99</v>
      </c>
      <c r="G255" s="1137"/>
      <c r="H255" s="1392">
        <f t="shared" si="46"/>
        <v>0</v>
      </c>
      <c r="I255" s="1138">
        <v>0.25</v>
      </c>
      <c r="J255" s="1160">
        <v>3.99</v>
      </c>
      <c r="K255" s="1137"/>
      <c r="L255" s="1392">
        <f t="shared" si="47"/>
        <v>0</v>
      </c>
      <c r="M255" s="1138">
        <v>0.25</v>
      </c>
      <c r="N255" s="1160">
        <v>3.99</v>
      </c>
      <c r="O255" s="1137"/>
      <c r="P255" s="1393">
        <f t="shared" si="48"/>
        <v>0</v>
      </c>
      <c r="Q255" s="1138">
        <v>0.25</v>
      </c>
      <c r="R255" s="1138" t="str">
        <f>IFERROR(INDEX('[18]Gui chi Quynh'!$E$11:$E$397,MATCH(B255,'[18]Gui chi Quynh'!$B$11:$B$397,0)),"")</f>
        <v>A3</v>
      </c>
      <c r="S255" s="1138">
        <f t="shared" si="49"/>
        <v>0.6</v>
      </c>
      <c r="T255" s="1138" t="str">
        <f>VLOOKUP(B255,'[19]Gui chi Quynh'!$B$11:$E$397,4,FALSE)</f>
        <v>A DN</v>
      </c>
      <c r="U255" s="1138">
        <f t="shared" si="43"/>
        <v>0</v>
      </c>
      <c r="V255" s="1138" t="str">
        <f>VLOOKUP(B255,'[20]Gui chi Quynh'!$B$11:$E$396,4,FALSE)</f>
        <v>A1</v>
      </c>
      <c r="W255" s="1138">
        <f t="shared" si="50"/>
        <v>0.8</v>
      </c>
      <c r="X255" s="1138">
        <f>IFERROR(INDEX('[21]CN BC'!$J$10:$J$275,MATCH(B255,'[21]CN BC'!$H$10:$H$275,0)),"")</f>
        <v>23</v>
      </c>
      <c r="Y255" s="1138">
        <f>IFERROR(INDEX('[22]CN BC'!$J$10:$J$274,MATCH(B255,'[22]CN BC'!$H$10:$H$274,0)),"")</f>
        <v>0</v>
      </c>
      <c r="Z255" s="1138">
        <f>VLOOKUP(B255,'[23]CN BC'!$H$10:$J$275,3,FALSE)</f>
        <v>19</v>
      </c>
      <c r="AA255" s="1139">
        <f t="shared" si="51"/>
        <v>23</v>
      </c>
      <c r="AB255" s="1139">
        <f t="shared" si="44"/>
        <v>0</v>
      </c>
      <c r="AC255" s="1139">
        <f t="shared" si="52"/>
        <v>19</v>
      </c>
      <c r="AD255" s="1140"/>
      <c r="AE255" s="1141">
        <f t="shared" si="45"/>
        <v>13890240</v>
      </c>
      <c r="AF255" s="1519">
        <f t="shared" si="41"/>
        <v>5.9359999999999999</v>
      </c>
      <c r="AG255" s="1224">
        <v>2340000</v>
      </c>
      <c r="AH255" s="1521">
        <f t="shared" si="42"/>
        <v>13890240</v>
      </c>
      <c r="AI255" s="1142">
        <f t="shared" si="53"/>
        <v>238</v>
      </c>
      <c r="AJ255" s="1143">
        <f>IFERROR(INDEX('[17]CN BC'!$M$10:$M$276,MATCH(B255,'[17]CN BC'!$H$10:$H$276,0)),"")</f>
        <v>0</v>
      </c>
      <c r="AK255" s="1144" t="str">
        <f>VLOOKUP(B255,TH.T4!B257:AC587,28,FALSE)</f>
        <v>ĐL</v>
      </c>
      <c r="AL255" s="1130"/>
      <c r="AM255" s="1146"/>
      <c r="AN255" s="1147"/>
      <c r="AO255" s="1146"/>
      <c r="AP255" s="1146"/>
      <c r="AQ255" s="1146"/>
      <c r="AR255" s="1146"/>
      <c r="AS255" s="1146"/>
      <c r="AT255" s="1146"/>
    </row>
    <row r="256" spans="1:46" s="1148" customFormat="1" ht="29.25" customHeight="1">
      <c r="A256" s="1132">
        <f>_xlfn.AGGREGATE(4,7,A$17:A255)+1</f>
        <v>239</v>
      </c>
      <c r="B256" s="1215" t="s">
        <v>1544</v>
      </c>
      <c r="C256" s="1216" t="s">
        <v>1808</v>
      </c>
      <c r="D256" s="1347" t="s">
        <v>5</v>
      </c>
      <c r="E256" s="579" t="str">
        <f>VLOOKUP(B256,TH.T6!B168:J498,9,FALSE)</f>
        <v>Giảng viên khoa Động lực</v>
      </c>
      <c r="F256" s="1358">
        <v>3.66</v>
      </c>
      <c r="G256" s="1218"/>
      <c r="H256" s="1394">
        <f t="shared" si="46"/>
        <v>0</v>
      </c>
      <c r="I256" s="1219"/>
      <c r="J256" s="1358">
        <v>3.66</v>
      </c>
      <c r="K256" s="1218"/>
      <c r="L256" s="1394">
        <f t="shared" si="47"/>
        <v>0</v>
      </c>
      <c r="M256" s="1219"/>
      <c r="N256" s="1358">
        <v>3.99</v>
      </c>
      <c r="O256" s="1218"/>
      <c r="P256" s="1395">
        <f t="shared" si="48"/>
        <v>0</v>
      </c>
      <c r="Q256" s="1219"/>
      <c r="R256" s="1219" t="str">
        <f>IFERROR(INDEX('[18]Gui chi Quynh'!$E$11:$E$397,MATCH(B256,'[18]Gui chi Quynh'!$B$11:$B$397,0)),"")</f>
        <v>A4</v>
      </c>
      <c r="S256" s="1219">
        <f t="shared" si="49"/>
        <v>0.5</v>
      </c>
      <c r="T256" s="1219" t="str">
        <f>VLOOKUP(B256,'[19]Gui chi Quynh'!$B$11:$E$397,4,FALSE)</f>
        <v>A DN</v>
      </c>
      <c r="U256" s="1219">
        <f t="shared" si="43"/>
        <v>0</v>
      </c>
      <c r="V256" s="1219" t="str">
        <f>VLOOKUP(B256,'[20]Gui chi Quynh'!$B$11:$E$396,4,FALSE)</f>
        <v>A4</v>
      </c>
      <c r="W256" s="1219">
        <f t="shared" si="50"/>
        <v>0.5</v>
      </c>
      <c r="X256" s="1219">
        <f>IFERROR(INDEX('[21]CN BC'!$J$10:$J$275,MATCH(B256,'[21]CN BC'!$H$10:$H$275,0)),"")</f>
        <v>21</v>
      </c>
      <c r="Y256" s="1219">
        <f>IFERROR(INDEX('[22]CN BC'!$J$10:$J$274,MATCH(B256,'[22]CN BC'!$H$10:$H$274,0)),"")</f>
        <v>0</v>
      </c>
      <c r="Z256" s="1219">
        <f>VLOOKUP(B256,'[23]CN BC'!$H$10:$J$275,3,FALSE)</f>
        <v>19</v>
      </c>
      <c r="AA256" s="1348">
        <f t="shared" si="51"/>
        <v>21</v>
      </c>
      <c r="AB256" s="1348">
        <f t="shared" si="44"/>
        <v>0</v>
      </c>
      <c r="AC256" s="1348">
        <f t="shared" si="52"/>
        <v>19</v>
      </c>
      <c r="AD256" s="1220"/>
      <c r="AE256" s="1349">
        <f t="shared" si="45"/>
        <v>8578135</v>
      </c>
      <c r="AF256" s="1548">
        <f t="shared" si="41"/>
        <v>3.6658696581196581</v>
      </c>
      <c r="AG256" s="1359">
        <v>2340000</v>
      </c>
      <c r="AH256" s="1549">
        <f t="shared" si="42"/>
        <v>8578135</v>
      </c>
      <c r="AI256" s="1221">
        <f t="shared" si="53"/>
        <v>239</v>
      </c>
      <c r="AJ256" s="1350" t="s">
        <v>2363</v>
      </c>
      <c r="AK256" s="1144" t="str">
        <f>VLOOKUP(B256,TH.T4!B258:AC588,28,FALSE)</f>
        <v>ĐL</v>
      </c>
      <c r="AL256" s="1171"/>
      <c r="AN256" s="1158"/>
    </row>
    <row r="257" spans="1:46" s="1148" customFormat="1" ht="29.25" customHeight="1">
      <c r="A257" s="1132">
        <f>_xlfn.AGGREGATE(4,7,A$17:A256)+1</f>
        <v>240</v>
      </c>
      <c r="B257" s="1215" t="s">
        <v>1917</v>
      </c>
      <c r="C257" s="1216" t="s">
        <v>1809</v>
      </c>
      <c r="D257" s="1347" t="s">
        <v>394</v>
      </c>
      <c r="E257" s="579" t="str">
        <f>VLOOKUP(B257,TH.T6!B169:J499,9,FALSE)</f>
        <v>Giảng viên khoa Động lực</v>
      </c>
      <c r="F257" s="1358">
        <v>3.66</v>
      </c>
      <c r="G257" s="1218"/>
      <c r="H257" s="1394">
        <f t="shared" si="46"/>
        <v>0</v>
      </c>
      <c r="I257" s="1219"/>
      <c r="J257" s="1358">
        <v>3.66</v>
      </c>
      <c r="K257" s="1218"/>
      <c r="L257" s="1394">
        <f t="shared" si="47"/>
        <v>0</v>
      </c>
      <c r="M257" s="1219"/>
      <c r="N257" s="1358">
        <v>3.99</v>
      </c>
      <c r="O257" s="1218"/>
      <c r="P257" s="1395">
        <f t="shared" si="48"/>
        <v>0</v>
      </c>
      <c r="Q257" s="1219"/>
      <c r="R257" s="1219" t="str">
        <f>IFERROR(INDEX('[18]Gui chi Quynh'!$E$11:$E$397,MATCH(B257,'[18]Gui chi Quynh'!$B$11:$B$397,0)),"")</f>
        <v>A4</v>
      </c>
      <c r="S257" s="1219">
        <f t="shared" si="49"/>
        <v>0.5</v>
      </c>
      <c r="T257" s="1219" t="str">
        <f>VLOOKUP(B257,'[19]Gui chi Quynh'!$B$11:$E$397,4,FALSE)</f>
        <v>A DN</v>
      </c>
      <c r="U257" s="1219">
        <f t="shared" si="43"/>
        <v>0</v>
      </c>
      <c r="V257" s="1219" t="str">
        <f>VLOOKUP(B257,'[20]Gui chi Quynh'!$B$11:$E$396,4,FALSE)</f>
        <v>A4</v>
      </c>
      <c r="W257" s="1219">
        <f t="shared" si="50"/>
        <v>0.5</v>
      </c>
      <c r="X257" s="1219">
        <f>IFERROR(INDEX('[21]CN BC'!$J$10:$J$275,MATCH(B257,'[21]CN BC'!$H$10:$H$275,0)),"")</f>
        <v>23</v>
      </c>
      <c r="Y257" s="1219">
        <f>IFERROR(INDEX('[22]CN BC'!$J$10:$J$274,MATCH(B257,'[22]CN BC'!$H$10:$H$274,0)),"")</f>
        <v>0</v>
      </c>
      <c r="Z257" s="1219">
        <f>VLOOKUP(B257,'[23]CN BC'!$H$10:$J$275,3,FALSE)</f>
        <v>19</v>
      </c>
      <c r="AA257" s="1348">
        <f t="shared" si="51"/>
        <v>23</v>
      </c>
      <c r="AB257" s="1348">
        <f t="shared" si="44"/>
        <v>0</v>
      </c>
      <c r="AC257" s="1348">
        <f t="shared" si="52"/>
        <v>19</v>
      </c>
      <c r="AD257" s="1220"/>
      <c r="AE257" s="1349">
        <f t="shared" si="45"/>
        <v>8950500</v>
      </c>
      <c r="AF257" s="1548">
        <f t="shared" si="41"/>
        <v>3.8250000000000002</v>
      </c>
      <c r="AG257" s="1359">
        <v>2340000</v>
      </c>
      <c r="AH257" s="1549">
        <f t="shared" si="42"/>
        <v>8950500</v>
      </c>
      <c r="AI257" s="1221">
        <f t="shared" si="53"/>
        <v>240</v>
      </c>
      <c r="AJ257" s="1350" t="s">
        <v>2363</v>
      </c>
      <c r="AK257" s="1144" t="str">
        <f>VLOOKUP(B257,TH.T4!B259:AC589,28,FALSE)</f>
        <v>ĐL</v>
      </c>
      <c r="AL257" s="1130"/>
      <c r="AM257" s="1146"/>
      <c r="AN257" s="1147"/>
      <c r="AO257" s="1146"/>
      <c r="AP257" s="1146"/>
      <c r="AQ257" s="1146"/>
      <c r="AR257" s="1146"/>
      <c r="AS257" s="1146"/>
      <c r="AT257" s="1146"/>
    </row>
    <row r="258" spans="1:46" s="1148" customFormat="1" ht="29.25" customHeight="1">
      <c r="A258" s="1132">
        <f>_xlfn.AGGREGATE(4,7,A$17:A257)+1</f>
        <v>241</v>
      </c>
      <c r="B258" s="1223" t="s">
        <v>1918</v>
      </c>
      <c r="C258" s="1153" t="s">
        <v>1810</v>
      </c>
      <c r="D258" s="1154" t="s">
        <v>393</v>
      </c>
      <c r="E258" s="1058" t="str">
        <f>VLOOKUP(B258,TH.T6!B170:J500,9,FALSE)</f>
        <v>Giảng viên khoa Động lực</v>
      </c>
      <c r="F258" s="1160">
        <v>3.99</v>
      </c>
      <c r="G258" s="1137"/>
      <c r="H258" s="1392">
        <f t="shared" si="46"/>
        <v>0</v>
      </c>
      <c r="I258" s="1138"/>
      <c r="J258" s="1160">
        <v>3.99</v>
      </c>
      <c r="K258" s="1137"/>
      <c r="L258" s="1392">
        <f t="shared" si="47"/>
        <v>0</v>
      </c>
      <c r="M258" s="1138"/>
      <c r="N258" s="1160">
        <v>3.99</v>
      </c>
      <c r="O258" s="1137"/>
      <c r="P258" s="1393">
        <f t="shared" si="48"/>
        <v>0</v>
      </c>
      <c r="Q258" s="1138"/>
      <c r="R258" s="1138" t="str">
        <f>IFERROR(INDEX('[18]Gui chi Quynh'!$E$11:$E$397,MATCH(B258,'[18]Gui chi Quynh'!$B$11:$B$397,0)),"")</f>
        <v>A4</v>
      </c>
      <c r="S258" s="1138">
        <f t="shared" si="49"/>
        <v>0.5</v>
      </c>
      <c r="T258" s="1138" t="str">
        <f>VLOOKUP(B258,'[19]Gui chi Quynh'!$B$11:$E$397,4,FALSE)</f>
        <v>A DN</v>
      </c>
      <c r="U258" s="1138">
        <f t="shared" si="43"/>
        <v>0</v>
      </c>
      <c r="V258" s="1138" t="str">
        <f>VLOOKUP(B258,'[20]Gui chi Quynh'!$B$11:$E$396,4,FALSE)</f>
        <v>A4</v>
      </c>
      <c r="W258" s="1138">
        <f t="shared" si="50"/>
        <v>0.5</v>
      </c>
      <c r="X258" s="1138">
        <f>IFERROR(INDEX('[21]CN BC'!$J$10:$J$275,MATCH(B258,'[21]CN BC'!$H$10:$H$275,0)),"")</f>
        <v>23</v>
      </c>
      <c r="Y258" s="1138">
        <f>IFERROR(INDEX('[22]CN BC'!$J$10:$J$274,MATCH(B258,'[22]CN BC'!$H$10:$H$274,0)),"")</f>
        <v>0</v>
      </c>
      <c r="Z258" s="1138">
        <f>VLOOKUP(B258,'[23]CN BC'!$H$10:$J$275,3,FALSE)</f>
        <v>19</v>
      </c>
      <c r="AA258" s="1139">
        <f t="shared" si="51"/>
        <v>23</v>
      </c>
      <c r="AB258" s="1139">
        <f t="shared" si="44"/>
        <v>0</v>
      </c>
      <c r="AC258" s="1139">
        <f t="shared" si="52"/>
        <v>19</v>
      </c>
      <c r="AD258" s="1140"/>
      <c r="AE258" s="1141">
        <f t="shared" si="45"/>
        <v>9336600</v>
      </c>
      <c r="AF258" s="1519">
        <f t="shared" si="41"/>
        <v>3.99</v>
      </c>
      <c r="AG258" s="1224">
        <v>2340000</v>
      </c>
      <c r="AH258" s="1521">
        <f t="shared" si="42"/>
        <v>9336600</v>
      </c>
      <c r="AI258" s="1142">
        <f t="shared" si="53"/>
        <v>241</v>
      </c>
      <c r="AJ258" s="1143">
        <f>IFERROR(INDEX('[17]CN BC'!$M$10:$M$276,MATCH(B258,'[17]CN BC'!$H$10:$H$276,0)),"")</f>
        <v>0</v>
      </c>
      <c r="AK258" s="1144" t="str">
        <f>VLOOKUP(B258,TH.T4!B260:AC590,28,FALSE)</f>
        <v>ĐL</v>
      </c>
      <c r="AL258" s="1171"/>
      <c r="AN258" s="1158"/>
    </row>
    <row r="259" spans="1:46" s="1148" customFormat="1" ht="29.25" customHeight="1">
      <c r="A259" s="1132">
        <f>_xlfn.AGGREGATE(4,7,A$17:A258)+1</f>
        <v>242</v>
      </c>
      <c r="B259" s="1215" t="s">
        <v>1545</v>
      </c>
      <c r="C259" s="1216" t="s">
        <v>1811</v>
      </c>
      <c r="D259" s="1347" t="s">
        <v>395</v>
      </c>
      <c r="E259" s="579" t="str">
        <f>VLOOKUP(B259,TH.T6!B171:J501,9,FALSE)</f>
        <v>Giảng viên khoa Động lực</v>
      </c>
      <c r="F259" s="1358">
        <v>3.66</v>
      </c>
      <c r="G259" s="1218"/>
      <c r="H259" s="1394">
        <f t="shared" si="46"/>
        <v>0</v>
      </c>
      <c r="I259" s="1219"/>
      <c r="J259" s="1358">
        <v>3.66</v>
      </c>
      <c r="K259" s="1218"/>
      <c r="L259" s="1394">
        <f t="shared" si="47"/>
        <v>0</v>
      </c>
      <c r="M259" s="1219"/>
      <c r="N259" s="1358">
        <v>3.99</v>
      </c>
      <c r="O259" s="1218"/>
      <c r="P259" s="1395">
        <f t="shared" si="48"/>
        <v>0</v>
      </c>
      <c r="Q259" s="1219"/>
      <c r="R259" s="1219" t="str">
        <f>IFERROR(INDEX('[18]Gui chi Quynh'!$E$11:$E$397,MATCH(B259,'[18]Gui chi Quynh'!$B$11:$B$397,0)),"")</f>
        <v>A4</v>
      </c>
      <c r="S259" s="1219">
        <f t="shared" si="49"/>
        <v>0.5</v>
      </c>
      <c r="T259" s="1219" t="str">
        <f>VLOOKUP(B259,'[19]Gui chi Quynh'!$B$11:$E$397,4,FALSE)</f>
        <v>A DN</v>
      </c>
      <c r="U259" s="1219">
        <f t="shared" si="43"/>
        <v>0</v>
      </c>
      <c r="V259" s="1219" t="str">
        <f>VLOOKUP(B259,'[20]Gui chi Quynh'!$B$11:$E$396,4,FALSE)</f>
        <v>A4</v>
      </c>
      <c r="W259" s="1219">
        <f t="shared" si="50"/>
        <v>0.5</v>
      </c>
      <c r="X259" s="1219">
        <f>IFERROR(INDEX('[21]CN BC'!$J$10:$J$275,MATCH(B259,'[21]CN BC'!$H$10:$H$275,0)),"")</f>
        <v>21</v>
      </c>
      <c r="Y259" s="1219">
        <f>IFERROR(INDEX('[22]CN BC'!$J$10:$J$274,MATCH(B259,'[22]CN BC'!$H$10:$H$274,0)),"")</f>
        <v>0</v>
      </c>
      <c r="Z259" s="1219">
        <f>VLOOKUP(B259,'[23]CN BC'!$H$10:$J$275,3,FALSE)</f>
        <v>19</v>
      </c>
      <c r="AA259" s="1348">
        <f t="shared" si="51"/>
        <v>21</v>
      </c>
      <c r="AB259" s="1348">
        <f t="shared" si="44"/>
        <v>0</v>
      </c>
      <c r="AC259" s="1348">
        <f t="shared" si="52"/>
        <v>19</v>
      </c>
      <c r="AD259" s="1220"/>
      <c r="AE259" s="1349">
        <f t="shared" si="45"/>
        <v>8578135</v>
      </c>
      <c r="AF259" s="1548">
        <f t="shared" si="41"/>
        <v>3.6658696581196581</v>
      </c>
      <c r="AG259" s="1359">
        <v>2340000</v>
      </c>
      <c r="AH259" s="1549">
        <f t="shared" si="42"/>
        <v>8578135</v>
      </c>
      <c r="AI259" s="1221">
        <f t="shared" si="53"/>
        <v>242</v>
      </c>
      <c r="AJ259" s="1350" t="s">
        <v>2363</v>
      </c>
      <c r="AK259" s="1144" t="str">
        <f>VLOOKUP(B259,TH.T4!B261:AC591,28,FALSE)</f>
        <v>ĐL</v>
      </c>
      <c r="AL259" s="1171"/>
      <c r="AN259" s="1158"/>
    </row>
    <row r="260" spans="1:46" s="1148" customFormat="1" ht="29.25" customHeight="1">
      <c r="A260" s="1132">
        <f>_xlfn.AGGREGATE(4,7,A$17:A259)+1</f>
        <v>243</v>
      </c>
      <c r="B260" s="1133" t="s">
        <v>1546</v>
      </c>
      <c r="C260" s="1153" t="s">
        <v>1812</v>
      </c>
      <c r="D260" s="1154" t="s">
        <v>473</v>
      </c>
      <c r="E260" s="1058" t="str">
        <f>VLOOKUP(B260,TH.T6!B172:J502,9,FALSE)</f>
        <v>Giảng viên khoa Động lực</v>
      </c>
      <c r="F260" s="1160">
        <v>3.66</v>
      </c>
      <c r="G260" s="1137"/>
      <c r="H260" s="1392">
        <f t="shared" si="46"/>
        <v>0</v>
      </c>
      <c r="I260" s="1138"/>
      <c r="J260" s="1160">
        <v>3.66</v>
      </c>
      <c r="K260" s="1137"/>
      <c r="L260" s="1392">
        <f t="shared" si="47"/>
        <v>0</v>
      </c>
      <c r="M260" s="1138"/>
      <c r="N260" s="1160">
        <v>3.66</v>
      </c>
      <c r="O260" s="1137"/>
      <c r="P260" s="1393">
        <f t="shared" si="48"/>
        <v>0</v>
      </c>
      <c r="Q260" s="1138"/>
      <c r="R260" s="1138" t="str">
        <f>IFERROR(INDEX('[18]Gui chi Quynh'!$E$11:$E$397,MATCH(B260,'[18]Gui chi Quynh'!$B$11:$B$397,0)),"")</f>
        <v>A4</v>
      </c>
      <c r="S260" s="1138">
        <f t="shared" si="49"/>
        <v>0.5</v>
      </c>
      <c r="T260" s="1138" t="str">
        <f>VLOOKUP(B260,'[19]Gui chi Quynh'!$B$11:$E$397,4,FALSE)</f>
        <v>A DN</v>
      </c>
      <c r="U260" s="1138">
        <f t="shared" si="43"/>
        <v>0</v>
      </c>
      <c r="V260" s="1138" t="str">
        <f>VLOOKUP(B260,'[20]Gui chi Quynh'!$B$11:$E$396,4,FALSE)</f>
        <v>A4</v>
      </c>
      <c r="W260" s="1138">
        <f t="shared" si="50"/>
        <v>0.5</v>
      </c>
      <c r="X260" s="1138">
        <f>IFERROR(INDEX('[21]CN BC'!$J$10:$J$275,MATCH(B260,'[21]CN BC'!$H$10:$H$275,0)),"")</f>
        <v>21</v>
      </c>
      <c r="Y260" s="1138">
        <f>IFERROR(INDEX('[22]CN BC'!$J$10:$J$274,MATCH(B260,'[22]CN BC'!$H$10:$H$274,0)),"")</f>
        <v>0</v>
      </c>
      <c r="Z260" s="1138">
        <f>VLOOKUP(B260,'[23]CN BC'!$H$10:$J$275,3,FALSE)</f>
        <v>19</v>
      </c>
      <c r="AA260" s="1139">
        <f t="shared" si="51"/>
        <v>21</v>
      </c>
      <c r="AB260" s="1139">
        <f t="shared" si="44"/>
        <v>0</v>
      </c>
      <c r="AC260" s="1139">
        <f t="shared" si="52"/>
        <v>19</v>
      </c>
      <c r="AD260" s="1140"/>
      <c r="AE260" s="1141">
        <f t="shared" si="45"/>
        <v>8192035</v>
      </c>
      <c r="AF260" s="1519">
        <f t="shared" si="41"/>
        <v>3.5008696581196581</v>
      </c>
      <c r="AG260" s="1224">
        <v>2340000</v>
      </c>
      <c r="AH260" s="1521">
        <f t="shared" si="42"/>
        <v>8192035</v>
      </c>
      <c r="AI260" s="1142">
        <f t="shared" si="53"/>
        <v>243</v>
      </c>
      <c r="AJ260" s="1143">
        <f>IFERROR(INDEX('[17]CN BC'!$M$10:$M$276,MATCH(B260,'[17]CN BC'!$H$10:$H$276,0)),"")</f>
        <v>0</v>
      </c>
      <c r="AK260" s="1144" t="str">
        <f>VLOOKUP(B260,TH.T4!B262:AC592,28,FALSE)</f>
        <v>ĐL</v>
      </c>
      <c r="AL260" s="1167"/>
      <c r="AM260" s="1146"/>
      <c r="AN260" s="1147"/>
      <c r="AO260" s="1146"/>
      <c r="AP260" s="1146"/>
      <c r="AQ260" s="1146"/>
      <c r="AR260" s="1146"/>
      <c r="AS260" s="1146"/>
      <c r="AT260" s="1146"/>
    </row>
    <row r="261" spans="1:46" s="1148" customFormat="1" ht="29.25" customHeight="1">
      <c r="A261" s="1132">
        <f>_xlfn.AGGREGATE(4,7,A$17:A260)+1</f>
        <v>244</v>
      </c>
      <c r="B261" s="1133" t="s">
        <v>1547</v>
      </c>
      <c r="C261" s="1153" t="s">
        <v>1813</v>
      </c>
      <c r="D261" s="1226" t="s">
        <v>490</v>
      </c>
      <c r="E261" s="1058" t="str">
        <f>VLOOKUP(B261,TH.T6!B173:J503,9,FALSE)</f>
        <v>Giảng viên khoa Động lực</v>
      </c>
      <c r="F261" s="1160">
        <v>3.66</v>
      </c>
      <c r="G261" s="1137"/>
      <c r="H261" s="1392">
        <f t="shared" si="46"/>
        <v>0</v>
      </c>
      <c r="I261" s="1138"/>
      <c r="J261" s="1160">
        <v>3.66</v>
      </c>
      <c r="K261" s="1137"/>
      <c r="L261" s="1392">
        <f t="shared" si="47"/>
        <v>0</v>
      </c>
      <c r="M261" s="1138"/>
      <c r="N261" s="1160">
        <v>3.66</v>
      </c>
      <c r="O261" s="1137"/>
      <c r="P261" s="1393">
        <f t="shared" si="48"/>
        <v>0</v>
      </c>
      <c r="Q261" s="1138"/>
      <c r="R261" s="1138" t="str">
        <f>IFERROR(INDEX('[18]Gui chi Quynh'!$E$11:$E$397,MATCH(B261,'[18]Gui chi Quynh'!$B$11:$B$397,0)),"")</f>
        <v>A3</v>
      </c>
      <c r="S261" s="1138">
        <f t="shared" si="49"/>
        <v>0.6</v>
      </c>
      <c r="T261" s="1138" t="str">
        <f>VLOOKUP(B261,'[19]Gui chi Quynh'!$B$11:$E$397,4,FALSE)</f>
        <v>A DN</v>
      </c>
      <c r="U261" s="1138">
        <f t="shared" si="43"/>
        <v>0</v>
      </c>
      <c r="V261" s="1138" t="str">
        <f>VLOOKUP(B261,'[20]Gui chi Quynh'!$B$11:$E$396,4,FALSE)</f>
        <v>A4</v>
      </c>
      <c r="W261" s="1138">
        <f t="shared" si="50"/>
        <v>0.5</v>
      </c>
      <c r="X261" s="1138">
        <f>IFERROR(INDEX('[21]CN BC'!$J$10:$J$275,MATCH(B261,'[21]CN BC'!$H$10:$H$275,0)),"")</f>
        <v>23</v>
      </c>
      <c r="Y261" s="1138">
        <f>IFERROR(INDEX('[22]CN BC'!$J$10:$J$274,MATCH(B261,'[22]CN BC'!$H$10:$H$274,0)),"")</f>
        <v>0</v>
      </c>
      <c r="Z261" s="1138">
        <f>VLOOKUP(B261,'[23]CN BC'!$H$10:$J$275,3,FALSE)</f>
        <v>19</v>
      </c>
      <c r="AA261" s="1139">
        <f t="shared" si="51"/>
        <v>23</v>
      </c>
      <c r="AB261" s="1139">
        <f t="shared" si="44"/>
        <v>0</v>
      </c>
      <c r="AC261" s="1139">
        <f t="shared" si="52"/>
        <v>19</v>
      </c>
      <c r="AD261" s="1140"/>
      <c r="AE261" s="1141">
        <f t="shared" si="45"/>
        <v>9420840</v>
      </c>
      <c r="AF261" s="1519">
        <f t="shared" si="41"/>
        <v>4.0259999999999998</v>
      </c>
      <c r="AG261" s="1224">
        <v>2340000</v>
      </c>
      <c r="AH261" s="1521">
        <f t="shared" si="42"/>
        <v>9420840</v>
      </c>
      <c r="AI261" s="1142">
        <f t="shared" si="53"/>
        <v>244</v>
      </c>
      <c r="AJ261" s="1143">
        <f>IFERROR(INDEX('[17]CN BC'!$M$10:$M$276,MATCH(B261,'[17]CN BC'!$H$10:$H$276,0)),"")</f>
        <v>0</v>
      </c>
      <c r="AK261" s="1144" t="str">
        <f>VLOOKUP(B261,TH.T4!B263:AC593,28,FALSE)</f>
        <v>ĐL</v>
      </c>
      <c r="AL261" s="1130"/>
      <c r="AM261" s="1146"/>
      <c r="AN261" s="1147"/>
      <c r="AO261" s="1146"/>
      <c r="AP261" s="1146"/>
      <c r="AQ261" s="1146"/>
      <c r="AR261" s="1146"/>
      <c r="AS261" s="1146"/>
      <c r="AT261" s="1146"/>
    </row>
    <row r="262" spans="1:46" s="1148" customFormat="1" ht="29.25" customHeight="1">
      <c r="A262" s="1132">
        <f>_xlfn.AGGREGATE(4,7,A$17:A261)+1</f>
        <v>245</v>
      </c>
      <c r="B262" s="1133" t="s">
        <v>1919</v>
      </c>
      <c r="C262" s="1153" t="s">
        <v>1814</v>
      </c>
      <c r="D262" s="1154" t="s">
        <v>750</v>
      </c>
      <c r="E262" s="1058" t="str">
        <f>VLOOKUP(B262,TH.T6!B174:J504,9,FALSE)</f>
        <v>Giảng viên khoa Động lực</v>
      </c>
      <c r="F262" s="1160">
        <v>3.66</v>
      </c>
      <c r="G262" s="1137"/>
      <c r="H262" s="1392">
        <f t="shared" si="46"/>
        <v>0</v>
      </c>
      <c r="I262" s="1138"/>
      <c r="J262" s="1160">
        <v>3.66</v>
      </c>
      <c r="K262" s="1137"/>
      <c r="L262" s="1392">
        <f t="shared" si="47"/>
        <v>0</v>
      </c>
      <c r="M262" s="1138"/>
      <c r="N262" s="1160">
        <v>3.66</v>
      </c>
      <c r="O262" s="1137"/>
      <c r="P262" s="1393">
        <f t="shared" si="48"/>
        <v>0</v>
      </c>
      <c r="Q262" s="1138"/>
      <c r="R262" s="1138" t="str">
        <f>IFERROR(INDEX('[18]Gui chi Quynh'!$E$11:$E$397,MATCH(B262,'[18]Gui chi Quynh'!$B$11:$B$397,0)),"")</f>
        <v>A3</v>
      </c>
      <c r="S262" s="1138">
        <f t="shared" si="49"/>
        <v>0.6</v>
      </c>
      <c r="T262" s="1138" t="str">
        <f>VLOOKUP(B262,'[19]Gui chi Quynh'!$B$11:$E$397,4,FALSE)</f>
        <v>A DN</v>
      </c>
      <c r="U262" s="1138">
        <f t="shared" si="43"/>
        <v>0</v>
      </c>
      <c r="V262" s="1138" t="str">
        <f>VLOOKUP(B262,'[20]Gui chi Quynh'!$B$11:$E$396,4,FALSE)</f>
        <v>A4</v>
      </c>
      <c r="W262" s="1138">
        <f t="shared" si="50"/>
        <v>0.5</v>
      </c>
      <c r="X262" s="1138">
        <f>IFERROR(INDEX('[21]CN BC'!$J$10:$J$275,MATCH(B262,'[21]CN BC'!$H$10:$H$275,0)),"")</f>
        <v>23</v>
      </c>
      <c r="Y262" s="1138">
        <f>IFERROR(INDEX('[22]CN BC'!$J$10:$J$274,MATCH(B262,'[22]CN BC'!$H$10:$H$274,0)),"")</f>
        <v>0</v>
      </c>
      <c r="Z262" s="1138">
        <f>VLOOKUP(B262,'[23]CN BC'!$H$10:$J$275,3,FALSE)</f>
        <v>19</v>
      </c>
      <c r="AA262" s="1139">
        <f t="shared" si="51"/>
        <v>23</v>
      </c>
      <c r="AB262" s="1139">
        <f t="shared" si="44"/>
        <v>0</v>
      </c>
      <c r="AC262" s="1139">
        <f t="shared" si="52"/>
        <v>19</v>
      </c>
      <c r="AD262" s="1140"/>
      <c r="AE262" s="1141">
        <f t="shared" si="45"/>
        <v>9420840</v>
      </c>
      <c r="AF262" s="1519">
        <f t="shared" si="41"/>
        <v>4.0259999999999998</v>
      </c>
      <c r="AG262" s="1224">
        <v>2340000</v>
      </c>
      <c r="AH262" s="1521">
        <f t="shared" si="42"/>
        <v>9420840</v>
      </c>
      <c r="AI262" s="1142">
        <f t="shared" si="53"/>
        <v>245</v>
      </c>
      <c r="AJ262" s="1143">
        <f>IFERROR(INDEX('[17]CN BC'!$M$10:$M$276,MATCH(B262,'[17]CN BC'!$H$10:$H$276,0)),"")</f>
        <v>0</v>
      </c>
      <c r="AK262" s="1144" t="str">
        <f>VLOOKUP(B262,TH.T4!B264:AC594,28,FALSE)</f>
        <v>ĐL</v>
      </c>
      <c r="AL262" s="1130"/>
      <c r="AM262" s="1146"/>
      <c r="AN262" s="1147"/>
      <c r="AO262" s="1146"/>
      <c r="AP262" s="1146"/>
      <c r="AQ262" s="1146"/>
      <c r="AR262" s="1146"/>
      <c r="AS262" s="1146"/>
      <c r="AT262" s="1146"/>
    </row>
    <row r="263" spans="1:46" s="1148" customFormat="1" ht="29.25" customHeight="1">
      <c r="A263" s="1132">
        <f>_xlfn.AGGREGATE(4,7,A$17:A262)+1</f>
        <v>246</v>
      </c>
      <c r="B263" s="1133" t="s">
        <v>1548</v>
      </c>
      <c r="C263" s="1153" t="s">
        <v>1815</v>
      </c>
      <c r="D263" s="1154" t="s">
        <v>752</v>
      </c>
      <c r="E263" s="1058" t="str">
        <f>VLOOKUP(B263,TH.T6!B175:J505,9,FALSE)</f>
        <v>Giảng viên khoa Động lực</v>
      </c>
      <c r="F263" s="1160">
        <v>3.66</v>
      </c>
      <c r="G263" s="1137"/>
      <c r="H263" s="1392">
        <f t="shared" si="46"/>
        <v>0</v>
      </c>
      <c r="I263" s="1138"/>
      <c r="J263" s="1160">
        <v>3.66</v>
      </c>
      <c r="K263" s="1137"/>
      <c r="L263" s="1392">
        <f t="shared" si="47"/>
        <v>0</v>
      </c>
      <c r="M263" s="1138"/>
      <c r="N263" s="1160">
        <v>3.66</v>
      </c>
      <c r="O263" s="1137"/>
      <c r="P263" s="1393">
        <f t="shared" si="48"/>
        <v>0</v>
      </c>
      <c r="Q263" s="1138"/>
      <c r="R263" s="1138" t="str">
        <f>IFERROR(INDEX('[18]Gui chi Quynh'!$E$11:$E$397,MATCH(B263,'[18]Gui chi Quynh'!$B$11:$B$397,0)),"")</f>
        <v>A4</v>
      </c>
      <c r="S263" s="1138">
        <f t="shared" si="49"/>
        <v>0.5</v>
      </c>
      <c r="T263" s="1138" t="str">
        <f>VLOOKUP(B263,'[19]Gui chi Quynh'!$B$11:$E$397,4,FALSE)</f>
        <v>A DN</v>
      </c>
      <c r="U263" s="1138">
        <f t="shared" si="43"/>
        <v>0</v>
      </c>
      <c r="V263" s="1138" t="str">
        <f>VLOOKUP(B263,'[20]Gui chi Quynh'!$B$11:$E$396,4,FALSE)</f>
        <v>A4</v>
      </c>
      <c r="W263" s="1138">
        <f t="shared" si="50"/>
        <v>0.5</v>
      </c>
      <c r="X263" s="1138">
        <f>IFERROR(INDEX('[21]CN BC'!$J$10:$J$275,MATCH(B263,'[21]CN BC'!$H$10:$H$275,0)),"")</f>
        <v>23</v>
      </c>
      <c r="Y263" s="1138">
        <f>IFERROR(INDEX('[22]CN BC'!$J$10:$J$274,MATCH(B263,'[22]CN BC'!$H$10:$H$274,0)),"")</f>
        <v>0</v>
      </c>
      <c r="Z263" s="1138">
        <f>VLOOKUP(B263,'[23]CN BC'!$H$10:$J$275,3,FALSE)</f>
        <v>19</v>
      </c>
      <c r="AA263" s="1139">
        <f t="shared" si="51"/>
        <v>23</v>
      </c>
      <c r="AB263" s="1139">
        <f t="shared" si="44"/>
        <v>0</v>
      </c>
      <c r="AC263" s="1139">
        <f t="shared" si="52"/>
        <v>19</v>
      </c>
      <c r="AD263" s="1140"/>
      <c r="AE263" s="1141">
        <f t="shared" si="45"/>
        <v>8564400</v>
      </c>
      <c r="AF263" s="1519">
        <f t="shared" si="41"/>
        <v>3.66</v>
      </c>
      <c r="AG263" s="1224">
        <v>2340000</v>
      </c>
      <c r="AH263" s="1521">
        <f t="shared" si="42"/>
        <v>8564400</v>
      </c>
      <c r="AI263" s="1142">
        <f t="shared" si="53"/>
        <v>246</v>
      </c>
      <c r="AJ263" s="1143">
        <f>IFERROR(INDEX('[17]CN BC'!$M$10:$M$276,MATCH(B263,'[17]CN BC'!$H$10:$H$276,0)),"")</f>
        <v>0</v>
      </c>
      <c r="AK263" s="1144" t="str">
        <f>VLOOKUP(B263,TH.T4!B265:AC595,28,FALSE)</f>
        <v>ĐL</v>
      </c>
      <c r="AL263" s="1171"/>
      <c r="AN263" s="1158"/>
    </row>
    <row r="264" spans="1:46" s="1148" customFormat="1" ht="29.25" customHeight="1">
      <c r="A264" s="1132">
        <f>_xlfn.AGGREGATE(4,7,A$17:A263)+1</f>
        <v>247</v>
      </c>
      <c r="B264" s="1215" t="s">
        <v>1549</v>
      </c>
      <c r="C264" s="1216" t="s">
        <v>1816</v>
      </c>
      <c r="D264" s="1355" t="s">
        <v>1429</v>
      </c>
      <c r="E264" s="579" t="str">
        <f>VLOOKUP(B264,TH.T6!B176:J506,9,FALSE)</f>
        <v>Giảng viên khoa Động lực</v>
      </c>
      <c r="F264" s="1371">
        <v>3.33</v>
      </c>
      <c r="G264" s="1218"/>
      <c r="H264" s="1394">
        <f t="shared" si="46"/>
        <v>0</v>
      </c>
      <c r="I264" s="1219">
        <v>0.25</v>
      </c>
      <c r="J264" s="1371">
        <v>3.33</v>
      </c>
      <c r="K264" s="1218"/>
      <c r="L264" s="1394">
        <f t="shared" si="47"/>
        <v>0</v>
      </c>
      <c r="M264" s="1219">
        <v>0.25</v>
      </c>
      <c r="N264" s="1371">
        <v>3.66</v>
      </c>
      <c r="O264" s="1218"/>
      <c r="P264" s="1395">
        <f t="shared" si="48"/>
        <v>0</v>
      </c>
      <c r="Q264" s="1219">
        <v>0.25</v>
      </c>
      <c r="R264" s="1219" t="str">
        <f>IFERROR(INDEX('[18]Gui chi Quynh'!$E$11:$E$397,MATCH(B264,'[18]Gui chi Quynh'!$B$11:$B$397,0)),"")</f>
        <v>A4</v>
      </c>
      <c r="S264" s="1219">
        <f t="shared" si="49"/>
        <v>0.5</v>
      </c>
      <c r="T264" s="1219" t="str">
        <f>VLOOKUP(B264,'[19]Gui chi Quynh'!$B$11:$E$397,4,FALSE)</f>
        <v>A DN</v>
      </c>
      <c r="U264" s="1219">
        <f t="shared" si="43"/>
        <v>0</v>
      </c>
      <c r="V264" s="1219" t="str">
        <f>VLOOKUP(B264,'[20]Gui chi Quynh'!$B$11:$E$396,4,FALSE)</f>
        <v>A4</v>
      </c>
      <c r="W264" s="1219">
        <f t="shared" si="50"/>
        <v>0.5</v>
      </c>
      <c r="X264" s="1219">
        <f>IFERROR(INDEX('[21]CN BC'!$J$10:$J$275,MATCH(B264,'[21]CN BC'!$H$10:$H$275,0)),"")</f>
        <v>23</v>
      </c>
      <c r="Y264" s="1219">
        <f>IFERROR(INDEX('[22]CN BC'!$J$10:$J$274,MATCH(B264,'[22]CN BC'!$H$10:$H$274,0)),"")</f>
        <v>0</v>
      </c>
      <c r="Z264" s="1219">
        <f>VLOOKUP(B264,'[23]CN BC'!$H$10:$J$275,3,FALSE)</f>
        <v>19</v>
      </c>
      <c r="AA264" s="1348">
        <f t="shared" si="51"/>
        <v>23</v>
      </c>
      <c r="AB264" s="1348">
        <f t="shared" si="44"/>
        <v>0</v>
      </c>
      <c r="AC264" s="1348">
        <f t="shared" si="52"/>
        <v>19</v>
      </c>
      <c r="AD264" s="1220"/>
      <c r="AE264" s="1349">
        <f t="shared" si="45"/>
        <v>8763300</v>
      </c>
      <c r="AF264" s="1548">
        <f t="shared" si="41"/>
        <v>3.7450000000000001</v>
      </c>
      <c r="AG264" s="1359">
        <v>2340000</v>
      </c>
      <c r="AH264" s="1549">
        <f t="shared" si="42"/>
        <v>8763300</v>
      </c>
      <c r="AI264" s="1221">
        <f t="shared" si="53"/>
        <v>247</v>
      </c>
      <c r="AJ264" s="1350" t="s">
        <v>2363</v>
      </c>
      <c r="AK264" s="1144" t="str">
        <f>VLOOKUP(B264,TH.T4!B266:AC596,28,FALSE)</f>
        <v>ĐL</v>
      </c>
      <c r="AL264" s="1130"/>
      <c r="AM264" s="1146"/>
      <c r="AN264" s="1147"/>
      <c r="AO264" s="1146"/>
      <c r="AP264" s="1146"/>
      <c r="AQ264" s="1146"/>
      <c r="AR264" s="1146"/>
      <c r="AS264" s="1146"/>
      <c r="AT264" s="1146"/>
    </row>
    <row r="265" spans="1:46" s="1148" customFormat="1" ht="29.25" customHeight="1">
      <c r="A265" s="1132">
        <f>_xlfn.AGGREGATE(4,7,A$17:A264)+1</f>
        <v>248</v>
      </c>
      <c r="B265" s="1215" t="s">
        <v>1550</v>
      </c>
      <c r="C265" s="1216" t="s">
        <v>1817</v>
      </c>
      <c r="D265" s="1355" t="s">
        <v>1430</v>
      </c>
      <c r="E265" s="579" t="str">
        <f>VLOOKUP(B265,TH.T6!B177:J507,9,FALSE)</f>
        <v>Giảng viên khoa Động lực</v>
      </c>
      <c r="F265" s="1371">
        <v>3.33</v>
      </c>
      <c r="G265" s="1218"/>
      <c r="H265" s="1394">
        <f t="shared" si="46"/>
        <v>0</v>
      </c>
      <c r="I265" s="1219"/>
      <c r="J265" s="1371">
        <v>3.33</v>
      </c>
      <c r="K265" s="1218"/>
      <c r="L265" s="1394">
        <f t="shared" si="47"/>
        <v>0</v>
      </c>
      <c r="M265" s="1219"/>
      <c r="N265" s="1371">
        <v>3.66</v>
      </c>
      <c r="O265" s="1218"/>
      <c r="P265" s="1395">
        <f t="shared" si="48"/>
        <v>0</v>
      </c>
      <c r="Q265" s="1219"/>
      <c r="R265" s="1219" t="str">
        <f>IFERROR(INDEX('[18]Gui chi Quynh'!$E$11:$E$397,MATCH(B265,'[18]Gui chi Quynh'!$B$11:$B$397,0)),"")</f>
        <v>A4</v>
      </c>
      <c r="S265" s="1219">
        <f t="shared" si="49"/>
        <v>0.5</v>
      </c>
      <c r="T265" s="1219" t="str">
        <f>VLOOKUP(B265,'[19]Gui chi Quynh'!$B$11:$E$397,4,FALSE)</f>
        <v>A DN</v>
      </c>
      <c r="U265" s="1219">
        <f t="shared" si="43"/>
        <v>0</v>
      </c>
      <c r="V265" s="1219" t="str">
        <f>VLOOKUP(B265,'[20]Gui chi Quynh'!$B$11:$E$396,4,FALSE)</f>
        <v>A2</v>
      </c>
      <c r="W265" s="1219">
        <f t="shared" si="50"/>
        <v>0.7</v>
      </c>
      <c r="X265" s="1219">
        <f>IFERROR(INDEX('[21]CN BC'!$J$10:$J$275,MATCH(B265,'[21]CN BC'!$H$10:$H$275,0)),"")</f>
        <v>23</v>
      </c>
      <c r="Y265" s="1219">
        <f>IFERROR(INDEX('[22]CN BC'!$J$10:$J$274,MATCH(B265,'[22]CN BC'!$H$10:$H$274,0)),"")</f>
        <v>0</v>
      </c>
      <c r="Z265" s="1219">
        <f>VLOOKUP(B265,'[23]CN BC'!$H$10:$J$275,3,FALSE)</f>
        <v>19</v>
      </c>
      <c r="AA265" s="1348">
        <f t="shared" si="51"/>
        <v>23</v>
      </c>
      <c r="AB265" s="1348">
        <f t="shared" si="44"/>
        <v>0</v>
      </c>
      <c r="AC265" s="1348">
        <f t="shared" si="52"/>
        <v>19</v>
      </c>
      <c r="AD265" s="1220"/>
      <c r="AE265" s="1349">
        <f t="shared" si="45"/>
        <v>9891180</v>
      </c>
      <c r="AF265" s="1548">
        <f t="shared" si="41"/>
        <v>4.2270000000000003</v>
      </c>
      <c r="AG265" s="1359">
        <v>2340000</v>
      </c>
      <c r="AH265" s="1549">
        <f t="shared" si="42"/>
        <v>9891180</v>
      </c>
      <c r="AI265" s="1221">
        <f t="shared" si="53"/>
        <v>248</v>
      </c>
      <c r="AJ265" s="1350" t="s">
        <v>2363</v>
      </c>
      <c r="AK265" s="1144" t="str">
        <f>VLOOKUP(B265,TH.T4!B267:AC597,28,FALSE)</f>
        <v>ĐL</v>
      </c>
      <c r="AL265" s="1167"/>
      <c r="AM265" s="1146"/>
      <c r="AN265" s="1147"/>
      <c r="AO265" s="1146"/>
      <c r="AP265" s="1146"/>
      <c r="AQ265" s="1146"/>
      <c r="AR265" s="1146"/>
      <c r="AS265" s="1146"/>
      <c r="AT265" s="1146"/>
    </row>
    <row r="266" spans="1:46" s="1148" customFormat="1" ht="29.25" customHeight="1">
      <c r="A266" s="1132">
        <f>_xlfn.AGGREGATE(4,7,A$17:A265)+1</f>
        <v>249</v>
      </c>
      <c r="B266" s="1133" t="s">
        <v>1836</v>
      </c>
      <c r="C266" s="1153" t="s">
        <v>1976</v>
      </c>
      <c r="D266" s="1198" t="s">
        <v>1977</v>
      </c>
      <c r="E266" s="1058" t="str">
        <f>VLOOKUP(B266,TH.T6!B178:J508,9,FALSE)</f>
        <v>Giảng viên khoa Động lực</v>
      </c>
      <c r="F266" s="1226">
        <v>2.67</v>
      </c>
      <c r="G266" s="1137"/>
      <c r="H266" s="1392">
        <f t="shared" si="46"/>
        <v>0</v>
      </c>
      <c r="I266" s="1138"/>
      <c r="J266" s="1226">
        <v>2.67</v>
      </c>
      <c r="K266" s="1137"/>
      <c r="L266" s="1392">
        <f t="shared" si="47"/>
        <v>0</v>
      </c>
      <c r="M266" s="1138"/>
      <c r="N266" s="1226">
        <v>2.67</v>
      </c>
      <c r="O266" s="1137"/>
      <c r="P266" s="1393">
        <f t="shared" si="48"/>
        <v>0</v>
      </c>
      <c r="Q266" s="1138"/>
      <c r="R266" s="1138" t="str">
        <f>IFERROR(INDEX('[18]Gui chi Quynh'!$E$11:$E$397,MATCH(B266,'[18]Gui chi Quynh'!$B$11:$B$397,0)),"")</f>
        <v>A4</v>
      </c>
      <c r="S266" s="1138">
        <f t="shared" si="49"/>
        <v>0.5</v>
      </c>
      <c r="T266" s="1138" t="str">
        <f>VLOOKUP(B266,'[19]Gui chi Quynh'!$B$11:$E$397,4,FALSE)</f>
        <v>A DN</v>
      </c>
      <c r="U266" s="1138">
        <f t="shared" si="43"/>
        <v>0</v>
      </c>
      <c r="V266" s="1138" t="str">
        <f>VLOOKUP(B266,'[20]Gui chi Quynh'!$B$11:$E$396,4,FALSE)</f>
        <v>A4</v>
      </c>
      <c r="W266" s="1138">
        <f t="shared" si="50"/>
        <v>0.5</v>
      </c>
      <c r="X266" s="1138">
        <f>IFERROR(INDEX('[21]CN BC'!$J$10:$J$275,MATCH(B266,'[21]CN BC'!$H$10:$H$275,0)),"")</f>
        <v>23</v>
      </c>
      <c r="Y266" s="1138">
        <f>IFERROR(INDEX('[22]CN BC'!$J$10:$J$274,MATCH(B266,'[22]CN BC'!$H$10:$H$274,0)),"")</f>
        <v>0</v>
      </c>
      <c r="Z266" s="1138">
        <f>VLOOKUP(B266,'[23]CN BC'!$H$10:$J$275,3,FALSE)</f>
        <v>19</v>
      </c>
      <c r="AA266" s="1139">
        <f t="shared" si="51"/>
        <v>23</v>
      </c>
      <c r="AB266" s="1139">
        <f t="shared" si="44"/>
        <v>0</v>
      </c>
      <c r="AC266" s="1139">
        <f t="shared" si="52"/>
        <v>19</v>
      </c>
      <c r="AD266" s="1140"/>
      <c r="AE266" s="1141">
        <f t="shared" si="45"/>
        <v>6247800</v>
      </c>
      <c r="AF266" s="1519">
        <f t="shared" si="41"/>
        <v>2.67</v>
      </c>
      <c r="AG266" s="1224">
        <v>2340000</v>
      </c>
      <c r="AH266" s="1521">
        <f t="shared" si="42"/>
        <v>6247800</v>
      </c>
      <c r="AI266" s="1142">
        <f t="shared" si="53"/>
        <v>249</v>
      </c>
      <c r="AJ266" s="1143">
        <f>IFERROR(INDEX('[17]CN BC'!$M$10:$M$276,MATCH(B266,'[17]CN BC'!$H$10:$H$276,0)),"")</f>
        <v>0</v>
      </c>
      <c r="AK266" s="1144" t="str">
        <f>VLOOKUP(B266,TH.T4!B268:AC598,28,FALSE)</f>
        <v>ĐL</v>
      </c>
      <c r="AL266" s="1167"/>
      <c r="AM266" s="1146"/>
      <c r="AN266" s="1147"/>
      <c r="AO266" s="1146"/>
      <c r="AP266" s="1146"/>
      <c r="AQ266" s="1146"/>
      <c r="AR266" s="1146"/>
      <c r="AS266" s="1146"/>
      <c r="AT266" s="1146"/>
    </row>
    <row r="267" spans="1:46" s="1148" customFormat="1" ht="29.25" customHeight="1">
      <c r="A267" s="1132">
        <f>_xlfn.AGGREGATE(4,7,A$17:A266)+1</f>
        <v>250</v>
      </c>
      <c r="B267" s="1133" t="s">
        <v>1837</v>
      </c>
      <c r="C267" s="1153" t="s">
        <v>1978</v>
      </c>
      <c r="D267" s="1198" t="s">
        <v>1979</v>
      </c>
      <c r="E267" s="1058" t="str">
        <f>VLOOKUP(B267,TH.T6!B179:J509,9,FALSE)</f>
        <v>Giảng viên khoa Động lực</v>
      </c>
      <c r="F267" s="1226">
        <v>2.67</v>
      </c>
      <c r="G267" s="1137"/>
      <c r="H267" s="1392">
        <f t="shared" si="46"/>
        <v>0</v>
      </c>
      <c r="I267" s="1138"/>
      <c r="J267" s="1226">
        <v>2.67</v>
      </c>
      <c r="K267" s="1137"/>
      <c r="L267" s="1392">
        <f t="shared" si="47"/>
        <v>0</v>
      </c>
      <c r="M267" s="1138"/>
      <c r="N267" s="1226">
        <v>2.67</v>
      </c>
      <c r="O267" s="1137"/>
      <c r="P267" s="1393">
        <f t="shared" si="48"/>
        <v>0</v>
      </c>
      <c r="Q267" s="1138"/>
      <c r="R267" s="1138" t="str">
        <f>IFERROR(INDEX('[18]Gui chi Quynh'!$E$11:$E$397,MATCH(B267,'[18]Gui chi Quynh'!$B$11:$B$397,0)),"")</f>
        <v>A4</v>
      </c>
      <c r="S267" s="1138">
        <f t="shared" si="49"/>
        <v>0.5</v>
      </c>
      <c r="T267" s="1138" t="str">
        <f>VLOOKUP(B267,'[19]Gui chi Quynh'!$B$11:$E$397,4,FALSE)</f>
        <v>A DN</v>
      </c>
      <c r="U267" s="1138">
        <f t="shared" si="43"/>
        <v>0</v>
      </c>
      <c r="V267" s="1138" t="str">
        <f>VLOOKUP(B267,'[20]Gui chi Quynh'!$B$11:$E$396,4,FALSE)</f>
        <v>A3</v>
      </c>
      <c r="W267" s="1138">
        <f t="shared" si="50"/>
        <v>0.6</v>
      </c>
      <c r="X267" s="1138">
        <f>IFERROR(INDEX('[21]CN BC'!$J$10:$J$275,MATCH(B267,'[21]CN BC'!$H$10:$H$275,0)),"")</f>
        <v>21</v>
      </c>
      <c r="Y267" s="1138">
        <f>IFERROR(INDEX('[22]CN BC'!$J$10:$J$274,MATCH(B267,'[22]CN BC'!$H$10:$H$274,0)),"")</f>
        <v>0</v>
      </c>
      <c r="Z267" s="1138">
        <f>VLOOKUP(B267,'[23]CN BC'!$H$10:$J$275,3,FALSE)</f>
        <v>19</v>
      </c>
      <c r="AA267" s="1139">
        <f t="shared" si="51"/>
        <v>21</v>
      </c>
      <c r="AB267" s="1139">
        <f t="shared" si="44"/>
        <v>0</v>
      </c>
      <c r="AC267" s="1139">
        <f t="shared" si="52"/>
        <v>19</v>
      </c>
      <c r="AD267" s="1140"/>
      <c r="AE267" s="1141">
        <f t="shared" si="45"/>
        <v>6600937</v>
      </c>
      <c r="AF267" s="1519">
        <f t="shared" si="41"/>
        <v>2.8209132478632477</v>
      </c>
      <c r="AG267" s="1224">
        <v>2340000</v>
      </c>
      <c r="AH267" s="1521">
        <f t="shared" si="42"/>
        <v>6600937</v>
      </c>
      <c r="AI267" s="1142">
        <f t="shared" si="53"/>
        <v>250</v>
      </c>
      <c r="AJ267" s="1143">
        <f>IFERROR(INDEX('[17]CN BC'!$M$10:$M$276,MATCH(B267,'[17]CN BC'!$H$10:$H$276,0)),"")</f>
        <v>0</v>
      </c>
      <c r="AK267" s="1144" t="str">
        <f>VLOOKUP(B267,TH.T4!B269:AC599,28,FALSE)</f>
        <v>ĐL</v>
      </c>
      <c r="AL267" s="1167"/>
      <c r="AM267" s="1146"/>
      <c r="AN267" s="1147"/>
      <c r="AO267" s="1146"/>
      <c r="AP267" s="1146"/>
      <c r="AQ267" s="1146"/>
      <c r="AR267" s="1146"/>
      <c r="AS267" s="1146"/>
      <c r="AT267" s="1146"/>
    </row>
    <row r="268" spans="1:46" s="1148" customFormat="1" ht="29.25" customHeight="1">
      <c r="A268" s="1132">
        <f>_xlfn.AGGREGATE(4,7,A$17:A267)+1</f>
        <v>251</v>
      </c>
      <c r="B268" s="1223" t="s">
        <v>1839</v>
      </c>
      <c r="C268" s="1153" t="s">
        <v>1980</v>
      </c>
      <c r="D268" s="1198" t="s">
        <v>1981</v>
      </c>
      <c r="E268" s="1058" t="str">
        <f>VLOOKUP(B268,TH.T6!B180:J510,9,FALSE)</f>
        <v>Giảng viên khoa Động lực</v>
      </c>
      <c r="F268" s="1231">
        <v>3</v>
      </c>
      <c r="G268" s="1137"/>
      <c r="H268" s="1392">
        <f t="shared" si="46"/>
        <v>0</v>
      </c>
      <c r="I268" s="1138"/>
      <c r="J268" s="1231">
        <v>3</v>
      </c>
      <c r="K268" s="1137"/>
      <c r="L268" s="1392">
        <f t="shared" si="47"/>
        <v>0</v>
      </c>
      <c r="M268" s="1138"/>
      <c r="N268" s="1231">
        <v>3</v>
      </c>
      <c r="O268" s="1137"/>
      <c r="P268" s="1393">
        <f t="shared" si="48"/>
        <v>0</v>
      </c>
      <c r="Q268" s="1138"/>
      <c r="R268" s="1138" t="str">
        <f>IFERROR(INDEX('[18]Gui chi Quynh'!$E$11:$E$397,MATCH(B268,'[18]Gui chi Quynh'!$B$11:$B$397,0)),"")</f>
        <v>A4</v>
      </c>
      <c r="S268" s="1138">
        <f t="shared" si="49"/>
        <v>0.5</v>
      </c>
      <c r="T268" s="1138" t="str">
        <f>VLOOKUP(B268,'[19]Gui chi Quynh'!$B$11:$E$397,4,FALSE)</f>
        <v>A DN</v>
      </c>
      <c r="U268" s="1138">
        <f t="shared" si="43"/>
        <v>0</v>
      </c>
      <c r="V268" s="1138" t="str">
        <f>VLOOKUP(B268,'[20]Gui chi Quynh'!$B$11:$E$396,4,FALSE)</f>
        <v>A4</v>
      </c>
      <c r="W268" s="1138">
        <f t="shared" si="50"/>
        <v>0.5</v>
      </c>
      <c r="X268" s="1138">
        <f>IFERROR(INDEX('[21]CN BC'!$J$10:$J$275,MATCH(B268,'[21]CN BC'!$H$10:$H$275,0)),"")</f>
        <v>23</v>
      </c>
      <c r="Y268" s="1138">
        <f>IFERROR(INDEX('[22]CN BC'!$J$10:$J$274,MATCH(B268,'[22]CN BC'!$H$10:$H$274,0)),"")</f>
        <v>0</v>
      </c>
      <c r="Z268" s="1138">
        <f>VLOOKUP(B268,'[23]CN BC'!$H$10:$J$275,3,FALSE)</f>
        <v>19</v>
      </c>
      <c r="AA268" s="1139">
        <f t="shared" si="51"/>
        <v>23</v>
      </c>
      <c r="AB268" s="1139">
        <f t="shared" si="44"/>
        <v>0</v>
      </c>
      <c r="AC268" s="1139">
        <f t="shared" si="52"/>
        <v>19</v>
      </c>
      <c r="AD268" s="1140"/>
      <c r="AE268" s="1141">
        <f t="shared" si="45"/>
        <v>7020000</v>
      </c>
      <c r="AF268" s="1519">
        <f t="shared" si="41"/>
        <v>3</v>
      </c>
      <c r="AG268" s="1224">
        <v>2340000</v>
      </c>
      <c r="AH268" s="1521">
        <f t="shared" si="42"/>
        <v>7020000</v>
      </c>
      <c r="AI268" s="1142">
        <f t="shared" si="53"/>
        <v>251</v>
      </c>
      <c r="AJ268" s="1143">
        <f>IFERROR(INDEX('[17]CN BC'!$M$10:$M$276,MATCH(B268,'[17]CN BC'!$H$10:$H$276,0)),"")</f>
        <v>0</v>
      </c>
      <c r="AK268" s="1144" t="str">
        <f>VLOOKUP(B268,TH.T4!B270:AC600,28,FALSE)</f>
        <v>ĐL</v>
      </c>
      <c r="AL268" s="1167"/>
      <c r="AM268" s="1146"/>
      <c r="AN268" s="1147"/>
      <c r="AO268" s="1146"/>
      <c r="AP268" s="1146"/>
      <c r="AQ268" s="1146"/>
      <c r="AR268" s="1146"/>
      <c r="AS268" s="1146"/>
      <c r="AT268" s="1146"/>
    </row>
    <row r="269" spans="1:46" s="1148" customFormat="1" ht="29.25" customHeight="1">
      <c r="A269" s="1132">
        <f>_xlfn.AGGREGATE(4,7,A$17:A268)+1</f>
        <v>252</v>
      </c>
      <c r="B269" s="1223" t="s">
        <v>1844</v>
      </c>
      <c r="C269" s="1153" t="s">
        <v>1982</v>
      </c>
      <c r="D269" s="1198" t="s">
        <v>1983</v>
      </c>
      <c r="E269" s="1058" t="str">
        <f>VLOOKUP(B269,TH.T6!B181:J511,9,FALSE)</f>
        <v>Giảng viên khoa Động lực</v>
      </c>
      <c r="F269" s="1231">
        <v>3.66</v>
      </c>
      <c r="G269" s="1137"/>
      <c r="H269" s="1392">
        <f t="shared" si="46"/>
        <v>0</v>
      </c>
      <c r="I269" s="1138"/>
      <c r="J269" s="1231">
        <v>3.66</v>
      </c>
      <c r="K269" s="1137"/>
      <c r="L269" s="1392">
        <f t="shared" si="47"/>
        <v>0</v>
      </c>
      <c r="M269" s="1138"/>
      <c r="N269" s="1231">
        <v>3.66</v>
      </c>
      <c r="O269" s="1137"/>
      <c r="P269" s="1393">
        <f t="shared" si="48"/>
        <v>0</v>
      </c>
      <c r="Q269" s="1138"/>
      <c r="R269" s="1138" t="str">
        <f>IFERROR(INDEX('[18]Gui chi Quynh'!$E$11:$E$397,MATCH(B269,'[18]Gui chi Quynh'!$B$11:$B$397,0)),"")</f>
        <v>A3</v>
      </c>
      <c r="S269" s="1138">
        <f t="shared" si="49"/>
        <v>0.6</v>
      </c>
      <c r="T269" s="1138" t="str">
        <f>VLOOKUP(B269,'[19]Gui chi Quynh'!$B$11:$E$397,4,FALSE)</f>
        <v>A DN</v>
      </c>
      <c r="U269" s="1138">
        <f t="shared" si="43"/>
        <v>0</v>
      </c>
      <c r="V269" s="1138" t="str">
        <f>VLOOKUP(B269,'[20]Gui chi Quynh'!$B$11:$E$396,4,FALSE)</f>
        <v>A3</v>
      </c>
      <c r="W269" s="1138">
        <f t="shared" si="50"/>
        <v>0.6</v>
      </c>
      <c r="X269" s="1138">
        <f>IFERROR(INDEX('[21]CN BC'!$J$10:$J$275,MATCH(B269,'[21]CN BC'!$H$10:$H$275,0)),"")</f>
        <v>21</v>
      </c>
      <c r="Y269" s="1138">
        <f>IFERROR(INDEX('[22]CN BC'!$J$10:$J$274,MATCH(B269,'[22]CN BC'!$H$10:$H$274,0)),"")</f>
        <v>0</v>
      </c>
      <c r="Z269" s="1138">
        <f>VLOOKUP(B269,'[23]CN BC'!$H$10:$J$275,3,FALSE)</f>
        <v>19</v>
      </c>
      <c r="AA269" s="1139">
        <f t="shared" si="51"/>
        <v>21</v>
      </c>
      <c r="AB269" s="1139">
        <f t="shared" si="44"/>
        <v>0</v>
      </c>
      <c r="AC269" s="1139">
        <f t="shared" si="52"/>
        <v>19</v>
      </c>
      <c r="AD269" s="1140"/>
      <c r="AE269" s="1141">
        <f t="shared" si="45"/>
        <v>9830442</v>
      </c>
      <c r="AF269" s="1519">
        <f t="shared" si="41"/>
        <v>4.2010435897435894</v>
      </c>
      <c r="AG269" s="1224">
        <v>2340000</v>
      </c>
      <c r="AH269" s="1521">
        <f t="shared" si="42"/>
        <v>9830442</v>
      </c>
      <c r="AI269" s="1142">
        <f t="shared" si="53"/>
        <v>252</v>
      </c>
      <c r="AJ269" s="1143">
        <f>IFERROR(INDEX('[17]CN BC'!$M$10:$M$276,MATCH(B269,'[17]CN BC'!$H$10:$H$276,0)),"")</f>
        <v>0</v>
      </c>
      <c r="AK269" s="1144" t="str">
        <f>VLOOKUP(B269,TH.T4!B271:AC601,28,FALSE)</f>
        <v>ĐL</v>
      </c>
      <c r="AL269" s="1167"/>
      <c r="AM269" s="1146"/>
      <c r="AN269" s="1147"/>
      <c r="AO269" s="1146"/>
      <c r="AP269" s="1146"/>
      <c r="AQ269" s="1146"/>
      <c r="AR269" s="1146"/>
      <c r="AS269" s="1146"/>
      <c r="AT269" s="1146"/>
    </row>
    <row r="270" spans="1:46" s="1148" customFormat="1" ht="29.25" customHeight="1">
      <c r="A270" s="1132">
        <f>_xlfn.AGGREGATE(4,7,A$17:A269)+1</f>
        <v>253</v>
      </c>
      <c r="B270" s="1223" t="s">
        <v>1926</v>
      </c>
      <c r="C270" s="1153" t="s">
        <v>1984</v>
      </c>
      <c r="D270" s="1230" t="s">
        <v>1985</v>
      </c>
      <c r="E270" s="1058" t="str">
        <f>VLOOKUP(B270,TH.T6!B182:J512,9,FALSE)</f>
        <v>Giảng viên khoa Động lực</v>
      </c>
      <c r="F270" s="1232">
        <v>2.67</v>
      </c>
      <c r="G270" s="1137"/>
      <c r="H270" s="1392">
        <f t="shared" si="46"/>
        <v>0</v>
      </c>
      <c r="I270" s="1138"/>
      <c r="J270" s="1232">
        <v>2.67</v>
      </c>
      <c r="K270" s="1137"/>
      <c r="L270" s="1392">
        <f t="shared" si="47"/>
        <v>0</v>
      </c>
      <c r="M270" s="1138"/>
      <c r="N270" s="1232">
        <v>2.67</v>
      </c>
      <c r="O270" s="1137"/>
      <c r="P270" s="1393">
        <f t="shared" si="48"/>
        <v>0</v>
      </c>
      <c r="Q270" s="1138"/>
      <c r="R270" s="1138" t="str">
        <f>IFERROR(INDEX('[18]Gui chi Quynh'!$E$11:$E$397,MATCH(B270,'[18]Gui chi Quynh'!$B$11:$B$397,0)),"")</f>
        <v>A3</v>
      </c>
      <c r="S270" s="1138">
        <f t="shared" si="49"/>
        <v>0.6</v>
      </c>
      <c r="T270" s="1138" t="str">
        <f>VLOOKUP(B270,'[19]Gui chi Quynh'!$B$11:$E$397,4,FALSE)</f>
        <v>A DN</v>
      </c>
      <c r="U270" s="1138">
        <f t="shared" si="43"/>
        <v>0</v>
      </c>
      <c r="V270" s="1138" t="str">
        <f>VLOOKUP(B270,'[20]Gui chi Quynh'!$B$11:$E$396,4,FALSE)</f>
        <v>A3</v>
      </c>
      <c r="W270" s="1138">
        <f t="shared" si="50"/>
        <v>0.6</v>
      </c>
      <c r="X270" s="1138">
        <f>IFERROR(INDEX('[21]CN BC'!$J$10:$J$275,MATCH(B270,'[21]CN BC'!$H$10:$H$275,0)),"")</f>
        <v>23</v>
      </c>
      <c r="Y270" s="1138">
        <f>IFERROR(INDEX('[22]CN BC'!$J$10:$J$274,MATCH(B270,'[22]CN BC'!$H$10:$H$274,0)),"")</f>
        <v>0</v>
      </c>
      <c r="Z270" s="1138">
        <f>VLOOKUP(B270,'[23]CN BC'!$H$10:$J$275,3,FALSE)</f>
        <v>19</v>
      </c>
      <c r="AA270" s="1139">
        <f t="shared" si="51"/>
        <v>23</v>
      </c>
      <c r="AB270" s="1139">
        <f t="shared" si="44"/>
        <v>0</v>
      </c>
      <c r="AC270" s="1139">
        <f t="shared" si="52"/>
        <v>19</v>
      </c>
      <c r="AD270" s="1140"/>
      <c r="AE270" s="1141">
        <f t="shared" si="45"/>
        <v>7497360</v>
      </c>
      <c r="AF270" s="1519">
        <f t="shared" si="41"/>
        <v>3.2040000000000002</v>
      </c>
      <c r="AG270" s="1224">
        <v>2340000</v>
      </c>
      <c r="AH270" s="1521">
        <f t="shared" si="42"/>
        <v>7497360</v>
      </c>
      <c r="AI270" s="1142">
        <f t="shared" si="53"/>
        <v>253</v>
      </c>
      <c r="AJ270" s="1143">
        <f>IFERROR(INDEX('[17]CN BC'!$M$10:$M$276,MATCH(B270,'[17]CN BC'!$H$10:$H$276,0)),"")</f>
        <v>0</v>
      </c>
      <c r="AK270" s="1144" t="str">
        <f>VLOOKUP(B270,TH.T4!B272:AC602,28,FALSE)</f>
        <v>ĐL</v>
      </c>
      <c r="AL270" s="1167"/>
      <c r="AM270" s="1146"/>
      <c r="AN270" s="1147"/>
      <c r="AO270" s="1146"/>
      <c r="AP270" s="1146"/>
      <c r="AQ270" s="1146"/>
      <c r="AR270" s="1146"/>
      <c r="AS270" s="1146"/>
      <c r="AT270" s="1146"/>
    </row>
    <row r="271" spans="1:46" s="1148" customFormat="1" ht="29.25" customHeight="1">
      <c r="A271" s="1132">
        <f>_xlfn.AGGREGATE(4,7,A$17:A270)+1</f>
        <v>254</v>
      </c>
      <c r="B271" s="1223" t="s">
        <v>1941</v>
      </c>
      <c r="C271" s="1153" t="s">
        <v>1989</v>
      </c>
      <c r="D271" s="1230" t="s">
        <v>1988</v>
      </c>
      <c r="E271" s="1058" t="str">
        <f>VLOOKUP(B271,TH.T6!B183:J513,9,FALSE)</f>
        <v>Giảng viên khoa Động lực</v>
      </c>
      <c r="F271" s="1232">
        <v>2.34</v>
      </c>
      <c r="G271" s="1137"/>
      <c r="H271" s="1392">
        <f t="shared" si="46"/>
        <v>0</v>
      </c>
      <c r="I271" s="1138"/>
      <c r="J271" s="1232">
        <v>2.34</v>
      </c>
      <c r="K271" s="1137"/>
      <c r="L271" s="1392">
        <f t="shared" si="47"/>
        <v>0</v>
      </c>
      <c r="M271" s="1138"/>
      <c r="N271" s="1232">
        <v>2.34</v>
      </c>
      <c r="O271" s="1137"/>
      <c r="P271" s="1393">
        <f t="shared" si="48"/>
        <v>0</v>
      </c>
      <c r="Q271" s="1138"/>
      <c r="R271" s="1138" t="str">
        <f>IFERROR(INDEX('[18]Gui chi Quynh'!$E$11:$E$397,MATCH(B271,'[18]Gui chi Quynh'!$B$11:$B$397,0)),"")</f>
        <v>A3</v>
      </c>
      <c r="S271" s="1138">
        <f t="shared" si="49"/>
        <v>0.6</v>
      </c>
      <c r="T271" s="1138" t="str">
        <f>VLOOKUP(B271,'[19]Gui chi Quynh'!$B$11:$E$397,4,FALSE)</f>
        <v>A DN</v>
      </c>
      <c r="U271" s="1138">
        <f t="shared" si="43"/>
        <v>0</v>
      </c>
      <c r="V271" s="1138" t="str">
        <f>VLOOKUP(B271,'[20]Gui chi Quynh'!$B$11:$E$396,4,FALSE)</f>
        <v>A4</v>
      </c>
      <c r="W271" s="1138">
        <f t="shared" si="50"/>
        <v>0.5</v>
      </c>
      <c r="X271" s="1138">
        <f>IFERROR(INDEX('[21]CN BC'!$J$10:$J$275,MATCH(B271,'[21]CN BC'!$H$10:$H$275,0)),"")</f>
        <v>23</v>
      </c>
      <c r="Y271" s="1138">
        <f>IFERROR(INDEX('[22]CN BC'!$J$10:$J$274,MATCH(B271,'[22]CN BC'!$H$10:$H$274,0)),"")</f>
        <v>0</v>
      </c>
      <c r="Z271" s="1138">
        <f>VLOOKUP(B271,'[23]CN BC'!$H$10:$J$275,3,FALSE)</f>
        <v>19</v>
      </c>
      <c r="AA271" s="1139">
        <f t="shared" si="51"/>
        <v>23</v>
      </c>
      <c r="AB271" s="1139">
        <f t="shared" si="44"/>
        <v>0</v>
      </c>
      <c r="AC271" s="1139">
        <f t="shared" si="52"/>
        <v>19</v>
      </c>
      <c r="AD271" s="1140"/>
      <c r="AE271" s="1141">
        <f t="shared" si="45"/>
        <v>6023160</v>
      </c>
      <c r="AF271" s="1519">
        <f t="shared" si="41"/>
        <v>2.5739999999999998</v>
      </c>
      <c r="AG271" s="1224">
        <v>2340000</v>
      </c>
      <c r="AH271" s="1521">
        <f t="shared" si="42"/>
        <v>6023160</v>
      </c>
      <c r="AI271" s="1142">
        <f t="shared" si="53"/>
        <v>254</v>
      </c>
      <c r="AJ271" s="1143">
        <f>IFERROR(INDEX('[17]CN BC'!$M$10:$M$276,MATCH(B271,'[17]CN BC'!$H$10:$H$276,0)),"")</f>
        <v>0</v>
      </c>
      <c r="AK271" s="1144" t="str">
        <f>VLOOKUP(B271,TH.T4!B274:AC604,28,FALSE)</f>
        <v>ĐL</v>
      </c>
      <c r="AL271" s="1167"/>
      <c r="AM271" s="1146"/>
      <c r="AN271" s="1147"/>
      <c r="AO271" s="1146"/>
      <c r="AP271" s="1146"/>
      <c r="AQ271" s="1146"/>
      <c r="AR271" s="1146"/>
      <c r="AS271" s="1146"/>
      <c r="AT271" s="1146"/>
    </row>
    <row r="272" spans="1:46" s="1148" customFormat="1" ht="29.25" customHeight="1">
      <c r="A272" s="1132">
        <f>_xlfn.AGGREGATE(4,7,A$17:A271)+1</f>
        <v>255</v>
      </c>
      <c r="B272" s="1461" t="s">
        <v>1942</v>
      </c>
      <c r="C272" s="1425" t="s">
        <v>1990</v>
      </c>
      <c r="D272" s="1462"/>
      <c r="E272" s="1532" t="str">
        <f>VLOOKUP(B272,TH.T6!B184:J514,9,FALSE)</f>
        <v>Giảng viên khoa Động lực</v>
      </c>
      <c r="F272" s="1416">
        <v>2.34</v>
      </c>
      <c r="G272" s="1417"/>
      <c r="H272" s="1414">
        <f t="shared" si="46"/>
        <v>0</v>
      </c>
      <c r="I272" s="1415"/>
      <c r="J272" s="1416"/>
      <c r="K272" s="1417"/>
      <c r="L272" s="1414">
        <f t="shared" si="47"/>
        <v>0</v>
      </c>
      <c r="M272" s="1415"/>
      <c r="N272" s="1416"/>
      <c r="O272" s="1417"/>
      <c r="P272" s="1418">
        <f t="shared" si="48"/>
        <v>0</v>
      </c>
      <c r="Q272" s="1415"/>
      <c r="R272" s="1415" t="str">
        <f>IFERROR(INDEX('[18]Gui chi Quynh'!$E$11:$E$397,MATCH(B272,'[18]Gui chi Quynh'!$B$11:$B$397,0)),"")</f>
        <v>A4</v>
      </c>
      <c r="S272" s="1415">
        <f t="shared" si="49"/>
        <v>0.5</v>
      </c>
      <c r="T272" s="1415"/>
      <c r="U272" s="1415">
        <f t="shared" si="43"/>
        <v>0</v>
      </c>
      <c r="V272" s="1415">
        <v>0</v>
      </c>
      <c r="W272" s="1415">
        <v>0</v>
      </c>
      <c r="X272" s="1415">
        <f>IFERROR(INDEX('[21]CN BC'!$J$10:$J$275,MATCH(B272,'[21]CN BC'!$H$10:$H$275,0)),"")</f>
        <v>23</v>
      </c>
      <c r="Y272" s="1415">
        <v>0</v>
      </c>
      <c r="Z272" s="1415">
        <v>0</v>
      </c>
      <c r="AA272" s="1419">
        <f t="shared" si="51"/>
        <v>23</v>
      </c>
      <c r="AB272" s="1419">
        <f t="shared" si="44"/>
        <v>0</v>
      </c>
      <c r="AC272" s="1419">
        <f t="shared" si="52"/>
        <v>0</v>
      </c>
      <c r="AD272" s="1420"/>
      <c r="AE272" s="1421">
        <f t="shared" si="45"/>
        <v>2737800</v>
      </c>
      <c r="AF272" s="1533">
        <f t="shared" si="41"/>
        <v>1.17</v>
      </c>
      <c r="AG272" s="1515">
        <v>2340000</v>
      </c>
      <c r="AH272" s="1534">
        <f t="shared" si="42"/>
        <v>2737800</v>
      </c>
      <c r="AI272" s="1422">
        <f t="shared" si="53"/>
        <v>255</v>
      </c>
      <c r="AJ272" s="1423" t="s">
        <v>2354</v>
      </c>
      <c r="AK272" s="1189" t="str">
        <f>VLOOKUP(B272,TH.T4!B275:AC605,28,FALSE)</f>
        <v>ĐL</v>
      </c>
      <c r="AL272" s="1227"/>
      <c r="AN272" s="1158"/>
    </row>
    <row r="273" spans="1:50" s="1148" customFormat="1" ht="29.25" customHeight="1">
      <c r="A273" s="1132">
        <f>_xlfn.AGGREGATE(4,7,A$17:A272)+1</f>
        <v>256</v>
      </c>
      <c r="B273" s="1223" t="s">
        <v>1945</v>
      </c>
      <c r="C273" s="1132" t="s">
        <v>1948</v>
      </c>
      <c r="D273" s="1150" t="s">
        <v>1949</v>
      </c>
      <c r="E273" s="1058" t="str">
        <f>VLOOKUP(B273,TH.T6!B185:J515,9,FALSE)</f>
        <v>Giảng viên khoa Động lực</v>
      </c>
      <c r="F273" s="1232">
        <v>3.66</v>
      </c>
      <c r="G273" s="1137"/>
      <c r="H273" s="1392">
        <f t="shared" si="46"/>
        <v>0</v>
      </c>
      <c r="I273" s="1138"/>
      <c r="J273" s="1232">
        <v>3.66</v>
      </c>
      <c r="K273" s="1137"/>
      <c r="L273" s="1392">
        <f t="shared" si="47"/>
        <v>0</v>
      </c>
      <c r="M273" s="1138"/>
      <c r="N273" s="1232">
        <v>3.66</v>
      </c>
      <c r="O273" s="1137"/>
      <c r="P273" s="1393">
        <f t="shared" si="48"/>
        <v>0</v>
      </c>
      <c r="Q273" s="1138"/>
      <c r="R273" s="1138" t="str">
        <f>IFERROR(INDEX('[18]Gui chi Quynh'!$E$11:$E$397,MATCH(B273,'[18]Gui chi Quynh'!$B$11:$B$397,0)),"")</f>
        <v>A4</v>
      </c>
      <c r="S273" s="1138">
        <f t="shared" si="49"/>
        <v>0.5</v>
      </c>
      <c r="T273" s="1138" t="str">
        <f>VLOOKUP(B273,'[19]Gui chi Quynh'!$B$11:$E$397,4,FALSE)</f>
        <v>A DN</v>
      </c>
      <c r="U273" s="1138">
        <f t="shared" si="43"/>
        <v>0</v>
      </c>
      <c r="V273" s="1138" t="str">
        <f>VLOOKUP(B273,'[20]Gui chi Quynh'!$B$11:$E$396,4,FALSE)</f>
        <v>A4</v>
      </c>
      <c r="W273" s="1138">
        <f t="shared" si="50"/>
        <v>0.5</v>
      </c>
      <c r="X273" s="1138">
        <f>IFERROR(INDEX('[21]CN BC'!$J$10:$J$275,MATCH(B273,'[21]CN BC'!$H$10:$H$275,0)),"")</f>
        <v>21</v>
      </c>
      <c r="Y273" s="1138">
        <f>IFERROR(INDEX('[22]CN BC'!$J$10:$J$274,MATCH(B273,'[22]CN BC'!$H$10:$H$274,0)),"")</f>
        <v>0</v>
      </c>
      <c r="Z273" s="1138">
        <f>VLOOKUP(B273,'[23]CN BC'!$H$10:$J$275,3,FALSE)</f>
        <v>19</v>
      </c>
      <c r="AA273" s="1139">
        <f t="shared" si="51"/>
        <v>21</v>
      </c>
      <c r="AB273" s="1139">
        <f t="shared" si="44"/>
        <v>0</v>
      </c>
      <c r="AC273" s="1139">
        <f t="shared" si="52"/>
        <v>19</v>
      </c>
      <c r="AD273" s="1140"/>
      <c r="AE273" s="1141">
        <f t="shared" si="45"/>
        <v>8192035</v>
      </c>
      <c r="AF273" s="1519">
        <f t="shared" si="41"/>
        <v>3.5008696581196581</v>
      </c>
      <c r="AG273" s="1224">
        <v>2340000</v>
      </c>
      <c r="AH273" s="1521">
        <f t="shared" si="42"/>
        <v>8192035</v>
      </c>
      <c r="AI273" s="1142">
        <f t="shared" si="53"/>
        <v>256</v>
      </c>
      <c r="AJ273" s="1143">
        <f>IFERROR(INDEX('[17]CN BC'!$M$10:$M$276,MATCH(B273,'[17]CN BC'!$H$10:$H$276,0)),"")</f>
        <v>0</v>
      </c>
      <c r="AK273" s="1144" t="str">
        <f>VLOOKUP(B273,TH.T4!B276:AC606,28,FALSE)</f>
        <v>ĐL</v>
      </c>
      <c r="AL273" s="1167"/>
      <c r="AM273" s="1146"/>
      <c r="AN273" s="1158"/>
    </row>
    <row r="274" spans="1:50" s="1148" customFormat="1" ht="29.25" customHeight="1">
      <c r="A274" s="1132">
        <f>_xlfn.AGGREGATE(4,7,A$17:A273)+1</f>
        <v>257</v>
      </c>
      <c r="B274" s="1223" t="s">
        <v>2003</v>
      </c>
      <c r="C274" s="1132"/>
      <c r="D274" s="1150"/>
      <c r="E274" s="1058" t="str">
        <f>VLOOKUP(B274,TH.T6!B186:J516,9,FALSE)</f>
        <v>Giảng viên khoa Động lực</v>
      </c>
      <c r="F274" s="1231">
        <v>3.33</v>
      </c>
      <c r="G274" s="1137"/>
      <c r="H274" s="1392">
        <f t="shared" si="46"/>
        <v>0</v>
      </c>
      <c r="I274" s="1138"/>
      <c r="J274" s="1231">
        <v>3.33</v>
      </c>
      <c r="K274" s="1137"/>
      <c r="L274" s="1392">
        <f t="shared" si="47"/>
        <v>0</v>
      </c>
      <c r="M274" s="1138"/>
      <c r="N274" s="1231">
        <v>3.33</v>
      </c>
      <c r="O274" s="1137"/>
      <c r="P274" s="1393">
        <f t="shared" si="48"/>
        <v>0</v>
      </c>
      <c r="Q274" s="1138"/>
      <c r="R274" s="1138" t="str">
        <f>IFERROR(INDEX('[18]Gui chi Quynh'!$E$11:$E$397,MATCH(B274,'[18]Gui chi Quynh'!$B$11:$B$397,0)),"")</f>
        <v>A3</v>
      </c>
      <c r="S274" s="1138">
        <f t="shared" si="49"/>
        <v>0.6</v>
      </c>
      <c r="T274" s="1138" t="str">
        <f>VLOOKUP(B274,'[19]Gui chi Quynh'!$B$11:$E$397,4,FALSE)</f>
        <v>A DN</v>
      </c>
      <c r="U274" s="1138">
        <f t="shared" si="43"/>
        <v>0</v>
      </c>
      <c r="V274" s="1138" t="str">
        <f>VLOOKUP(B274,'[20]Gui chi Quynh'!$B$11:$E$396,4,FALSE)</f>
        <v>A4</v>
      </c>
      <c r="W274" s="1138">
        <f t="shared" si="50"/>
        <v>0.5</v>
      </c>
      <c r="X274" s="1138">
        <f>IFERROR(INDEX('[21]CN BC'!$J$10:$J$275,MATCH(B274,'[21]CN BC'!$H$10:$H$275,0)),"")</f>
        <v>23</v>
      </c>
      <c r="Y274" s="1138">
        <f>IFERROR(INDEX('[22]CN BC'!$J$10:$J$274,MATCH(B274,'[22]CN BC'!$H$10:$H$274,0)),"")</f>
        <v>0</v>
      </c>
      <c r="Z274" s="1138">
        <f>VLOOKUP(B274,'[23]CN BC'!$H$10:$J$275,3,FALSE)</f>
        <v>19</v>
      </c>
      <c r="AA274" s="1139">
        <f t="shared" si="51"/>
        <v>23</v>
      </c>
      <c r="AB274" s="1139">
        <f t="shared" si="44"/>
        <v>0</v>
      </c>
      <c r="AC274" s="1139">
        <f t="shared" si="52"/>
        <v>19</v>
      </c>
      <c r="AD274" s="1140"/>
      <c r="AE274" s="1141">
        <f t="shared" si="45"/>
        <v>8571420</v>
      </c>
      <c r="AF274" s="1519">
        <f t="shared" ref="AF274:AF337" si="54">AE274/AG274</f>
        <v>3.6629999999999998</v>
      </c>
      <c r="AG274" s="1224">
        <v>2340000</v>
      </c>
      <c r="AH274" s="1521">
        <f t="shared" ref="AH274:AH337" si="55">AF274*AG274</f>
        <v>8571420</v>
      </c>
      <c r="AI274" s="1142">
        <f t="shared" si="53"/>
        <v>257</v>
      </c>
      <c r="AJ274" s="1143">
        <f>IFERROR(INDEX('[17]CN BC'!$M$10:$M$276,MATCH(B274,'[17]CN BC'!$H$10:$H$276,0)),"")</f>
        <v>0</v>
      </c>
      <c r="AK274" s="1144" t="str">
        <f>VLOOKUP(B274,TH.T4!B277:AC607,28,FALSE)</f>
        <v>ĐL</v>
      </c>
      <c r="AL274" s="1167"/>
      <c r="AM274" s="1146"/>
      <c r="AN274" s="1158"/>
    </row>
    <row r="275" spans="1:50" s="1148" customFormat="1" ht="29.25" customHeight="1">
      <c r="A275" s="1132">
        <f>_xlfn.AGGREGATE(4,7,A$17:A274)+1</f>
        <v>258</v>
      </c>
      <c r="B275" s="1223" t="s">
        <v>2010</v>
      </c>
      <c r="C275" s="1132"/>
      <c r="D275" s="1150"/>
      <c r="E275" s="1058" t="str">
        <f>VLOOKUP(B275,TH.T6!B187:J517,9,FALSE)</f>
        <v>Giảng viên khoa Động lực</v>
      </c>
      <c r="F275" s="1231">
        <v>2.34</v>
      </c>
      <c r="G275" s="1137"/>
      <c r="H275" s="1392">
        <f t="shared" si="46"/>
        <v>0</v>
      </c>
      <c r="I275" s="1138"/>
      <c r="J275" s="1231">
        <v>2.34</v>
      </c>
      <c r="K275" s="1137"/>
      <c r="L275" s="1392">
        <f t="shared" si="47"/>
        <v>0</v>
      </c>
      <c r="M275" s="1138"/>
      <c r="N275" s="1231">
        <v>2.34</v>
      </c>
      <c r="O275" s="1137"/>
      <c r="P275" s="1393">
        <f t="shared" si="48"/>
        <v>0</v>
      </c>
      <c r="Q275" s="1138"/>
      <c r="R275" s="1138" t="str">
        <f>IFERROR(INDEX('[18]Gui chi Quynh'!$E$11:$E$397,MATCH(B275,'[18]Gui chi Quynh'!$B$11:$B$397,0)),"")</f>
        <v>A4</v>
      </c>
      <c r="S275" s="1138">
        <f t="shared" si="49"/>
        <v>0.5</v>
      </c>
      <c r="T275" s="1138" t="str">
        <f>VLOOKUP(B275,'[19]Gui chi Quynh'!$B$11:$E$397,4,FALSE)</f>
        <v>A DN</v>
      </c>
      <c r="U275" s="1138">
        <f t="shared" ref="U275:U284" si="56">IF(T275="A1",0.8,IF(T275="A2",0.7,IF(T275="A3",0.6,IF(T275="A4",0.5,IF(T275="B1",0.35,IF(T275="B2",0.25,IF(T275="C1",0.15,IF(T275="C2",0.1,0))))))))</f>
        <v>0</v>
      </c>
      <c r="V275" s="1138" t="str">
        <f>VLOOKUP(B275,'[20]Gui chi Quynh'!$B$11:$E$396,4,FALSE)</f>
        <v>A4</v>
      </c>
      <c r="W275" s="1138">
        <f t="shared" si="50"/>
        <v>0.5</v>
      </c>
      <c r="X275" s="1138">
        <f>IFERROR(INDEX('[21]CN BC'!$J$10:$J$275,MATCH(B275,'[21]CN BC'!$H$10:$H$275,0)),"")</f>
        <v>23</v>
      </c>
      <c r="Y275" s="1138">
        <f>IFERROR(INDEX('[22]CN BC'!$J$10:$J$274,MATCH(B275,'[22]CN BC'!$H$10:$H$274,0)),"")</f>
        <v>0</v>
      </c>
      <c r="Z275" s="1138">
        <f>VLOOKUP(B275,'[23]CN BC'!$H$10:$J$275,3,FALSE)</f>
        <v>19</v>
      </c>
      <c r="AA275" s="1139">
        <f t="shared" si="51"/>
        <v>23</v>
      </c>
      <c r="AB275" s="1139">
        <f t="shared" ref="AB275:AB284" si="57">IF(Y275&gt;=$AB$12,$AB$12,IF(Y275&lt;$AB$12,Y275))</f>
        <v>0</v>
      </c>
      <c r="AC275" s="1139">
        <f t="shared" si="52"/>
        <v>19</v>
      </c>
      <c r="AD275" s="1140"/>
      <c r="AE275" s="1141">
        <f t="shared" ref="AE275:AE284" si="58">ROUND(((((((F275+H275+I275)*$AE$12/$AA$12*AA275)*S275)+((J275+L275+M275)*$AE$12/$AB$12*AB275)*U275)+((N275+P275+Q275)*$AE$12/$AC$12*AC275)*W275)+AD275),0)</f>
        <v>5475600</v>
      </c>
      <c r="AF275" s="1519">
        <f t="shared" si="54"/>
        <v>2.34</v>
      </c>
      <c r="AG275" s="1224">
        <v>2340000</v>
      </c>
      <c r="AH275" s="1521">
        <f t="shared" si="55"/>
        <v>5475600</v>
      </c>
      <c r="AI275" s="1142">
        <f t="shared" si="53"/>
        <v>258</v>
      </c>
      <c r="AJ275" s="1143">
        <f>IFERROR(INDEX('[17]CN BC'!$M$10:$M$276,MATCH(B275,'[17]CN BC'!$H$10:$H$276,0)),"")</f>
        <v>0</v>
      </c>
      <c r="AK275" s="1144" t="str">
        <f>VLOOKUP(B275,TH.T4!B278:AC608,28,FALSE)</f>
        <v>ĐL</v>
      </c>
      <c r="AL275" s="1227"/>
      <c r="AN275" s="1158"/>
    </row>
    <row r="276" spans="1:50" s="1148" customFormat="1" ht="34.5" customHeight="1">
      <c r="A276" s="1132">
        <f>_xlfn.AGGREGATE(4,7,A$17:A275)+1</f>
        <v>259</v>
      </c>
      <c r="B276" s="1133" t="s">
        <v>1554</v>
      </c>
      <c r="C276" s="1153" t="s">
        <v>1818</v>
      </c>
      <c r="D276" s="1196" t="s">
        <v>1570</v>
      </c>
      <c r="E276" s="1058" t="str">
        <f>VLOOKUP(B276,TH.T6!B188:J518,9,FALSE)</f>
        <v>Giảng viên khoa Xây dựng - Nhiệt lạnh</v>
      </c>
      <c r="F276" s="1160">
        <v>3.66</v>
      </c>
      <c r="G276" s="1137"/>
      <c r="H276" s="1392">
        <f t="shared" ref="H276:H284" si="59">ROUND(F276*G276,3)</f>
        <v>0</v>
      </c>
      <c r="I276" s="1138">
        <v>0.45</v>
      </c>
      <c r="J276" s="1160">
        <v>3.66</v>
      </c>
      <c r="K276" s="1137"/>
      <c r="L276" s="1399">
        <f t="shared" ref="L276:L284" si="60">ROUND(J276*K276,3)</f>
        <v>0</v>
      </c>
      <c r="M276" s="1138">
        <v>0.45</v>
      </c>
      <c r="N276" s="1160">
        <v>3.66</v>
      </c>
      <c r="O276" s="1137"/>
      <c r="P276" s="1400">
        <f t="shared" ref="P276:P284" si="61">ROUND(N276*O276,3)</f>
        <v>0</v>
      </c>
      <c r="Q276" s="1138">
        <v>0.45</v>
      </c>
      <c r="R276" s="1138" t="str">
        <f>IFERROR(INDEX('[18]Gui chi Quynh'!$E$11:$E$397,MATCH(B276,'[18]Gui chi Quynh'!$B$11:$B$397,0)),"")</f>
        <v>A4</v>
      </c>
      <c r="S276" s="1138">
        <f t="shared" ref="S276:S284" si="62">IF(R276="A1",0.8,IF(R276="A2",0.7,IF(R276="A3",0.6,IF(R276="A4",0.5,IF(R276="B1",0.35,IF(R276="B2",0.25,IF(R276="C1",0.15,IF(R276="C2",0.1,0))))))))</f>
        <v>0.5</v>
      </c>
      <c r="T276" s="1138" t="str">
        <f>VLOOKUP(B276,'[19]Gui chi Quynh'!$B$11:$E$397,4,FALSE)</f>
        <v>A DN</v>
      </c>
      <c r="U276" s="1138">
        <f t="shared" si="56"/>
        <v>0</v>
      </c>
      <c r="V276" s="1138" t="str">
        <f>VLOOKUP(B276,'[20]Gui chi Quynh'!$B$11:$E$396,4,FALSE)</f>
        <v>A4</v>
      </c>
      <c r="W276" s="1138">
        <f t="shared" ref="W276:W284" si="63">IF(V276="A1",0.8,IF(V276="A2",0.7,IF(V276="A3",0.6,IF(V276="A4",0.5,IF(V276="B1",0.35,IF(V276="B2",0.25,IF(V276="C1",0.15,IF(V276="C2",0.1,0))))))))</f>
        <v>0.5</v>
      </c>
      <c r="X276" s="1138">
        <f>IFERROR(INDEX('[21]CN BC'!$J$10:$J$275,MATCH(B276,'[21]CN BC'!$H$10:$H$275,0)),"")</f>
        <v>23</v>
      </c>
      <c r="Y276" s="1138">
        <f>IFERROR(INDEX('[22]CN BC'!$J$10:$J$274,MATCH(B276,'[22]CN BC'!$H$10:$H$274,0)),"")</f>
        <v>0</v>
      </c>
      <c r="Z276" s="1138">
        <f>VLOOKUP(B276,'[23]CN BC'!$H$10:$J$275,3,FALSE)</f>
        <v>19</v>
      </c>
      <c r="AA276" s="1139">
        <f t="shared" ref="AA276:AA284" si="64">IF(X276&gt;=$AA$12,$AA$12,IF(X276&lt;$AA$12,X276))</f>
        <v>23</v>
      </c>
      <c r="AB276" s="1139">
        <f t="shared" si="57"/>
        <v>0</v>
      </c>
      <c r="AC276" s="1139">
        <f t="shared" ref="AC276:AC284" si="65">IF(Z276&gt;=$AC$12,$AC$12,IF(Z276&lt;$AC$12,Z276))</f>
        <v>19</v>
      </c>
      <c r="AD276" s="1140"/>
      <c r="AE276" s="1141">
        <f t="shared" si="58"/>
        <v>9617400</v>
      </c>
      <c r="AF276" s="1519">
        <f t="shared" si="54"/>
        <v>4.1100000000000003</v>
      </c>
      <c r="AG276" s="1224">
        <v>2340000</v>
      </c>
      <c r="AH276" s="1521">
        <f t="shared" si="55"/>
        <v>9617400</v>
      </c>
      <c r="AI276" s="1142">
        <f t="shared" si="53"/>
        <v>259</v>
      </c>
      <c r="AJ276" s="1143">
        <f>IFERROR(INDEX('[17]CN BC'!$M$10:$M$276,MATCH(B276,'[17]CN BC'!$H$10:$H$276,0)),"")</f>
        <v>0</v>
      </c>
      <c r="AK276" s="1144" t="str">
        <f>VLOOKUP(B276,TH.T4!B279:AC609,28,FALSE)</f>
        <v>XD-NL</v>
      </c>
      <c r="AL276" s="1130"/>
      <c r="AM276" s="1146"/>
      <c r="AN276" s="1147"/>
      <c r="AO276" s="1146"/>
      <c r="AP276" s="1146"/>
      <c r="AQ276" s="1146"/>
      <c r="AR276" s="1146"/>
      <c r="AS276" s="1146"/>
      <c r="AT276" s="1146"/>
    </row>
    <row r="277" spans="1:50" s="1148" customFormat="1" ht="34.5" customHeight="1">
      <c r="A277" s="1132">
        <f>_xlfn.AGGREGATE(4,7,A$17:A276)+1</f>
        <v>260</v>
      </c>
      <c r="B277" s="1133" t="s">
        <v>1920</v>
      </c>
      <c r="C277" s="1153" t="s">
        <v>1819</v>
      </c>
      <c r="D277" s="1154" t="s">
        <v>1414</v>
      </c>
      <c r="E277" s="1058" t="str">
        <f>VLOOKUP(B277,TH.T6!B189:J519,9,FALSE)</f>
        <v>Giảng viên khoa Xây dựng - Nhiệt lạnh</v>
      </c>
      <c r="F277" s="1136">
        <v>4.6500000000000004</v>
      </c>
      <c r="G277" s="1137"/>
      <c r="H277" s="1392">
        <f t="shared" si="59"/>
        <v>0</v>
      </c>
      <c r="I277" s="1138">
        <v>0.25</v>
      </c>
      <c r="J277" s="1136">
        <v>4.6500000000000004</v>
      </c>
      <c r="K277" s="1137"/>
      <c r="L277" s="1399">
        <f t="shared" si="60"/>
        <v>0</v>
      </c>
      <c r="M277" s="1138">
        <v>0.25</v>
      </c>
      <c r="N277" s="1136">
        <v>4.6500000000000004</v>
      </c>
      <c r="O277" s="1137"/>
      <c r="P277" s="1400">
        <f t="shared" si="61"/>
        <v>0</v>
      </c>
      <c r="Q277" s="1138">
        <v>0.25</v>
      </c>
      <c r="R277" s="1138" t="str">
        <f>IFERROR(INDEX('[18]Gui chi Quynh'!$E$11:$E$397,MATCH(B277,'[18]Gui chi Quynh'!$B$11:$B$397,0)),"")</f>
        <v>A3</v>
      </c>
      <c r="S277" s="1138">
        <f t="shared" si="62"/>
        <v>0.6</v>
      </c>
      <c r="T277" s="1138" t="str">
        <f>VLOOKUP(B277,'[19]Gui chi Quynh'!$B$11:$E$397,4,FALSE)</f>
        <v>A DN</v>
      </c>
      <c r="U277" s="1138">
        <f t="shared" si="56"/>
        <v>0</v>
      </c>
      <c r="V277" s="1138" t="str">
        <f>VLOOKUP(B277,'[20]Gui chi Quynh'!$B$11:$E$396,4,FALSE)</f>
        <v>A4</v>
      </c>
      <c r="W277" s="1138">
        <f t="shared" si="63"/>
        <v>0.5</v>
      </c>
      <c r="X277" s="1138">
        <f>IFERROR(INDEX('[21]CN BC'!$J$10:$J$275,MATCH(B277,'[21]CN BC'!$H$10:$H$275,0)),"")</f>
        <v>21</v>
      </c>
      <c r="Y277" s="1138">
        <f>IFERROR(INDEX('[22]CN BC'!$J$10:$J$274,MATCH(B277,'[22]CN BC'!$H$10:$H$274,0)),"")</f>
        <v>0</v>
      </c>
      <c r="Z277" s="1138">
        <f>VLOOKUP(B277,'[23]CN BC'!$H$10:$J$275,3,FALSE)</f>
        <v>19</v>
      </c>
      <c r="AA277" s="1139">
        <f t="shared" si="64"/>
        <v>21</v>
      </c>
      <c r="AB277" s="1139">
        <f t="shared" si="57"/>
        <v>0</v>
      </c>
      <c r="AC277" s="1139">
        <f t="shared" si="65"/>
        <v>19</v>
      </c>
      <c r="AD277" s="1140"/>
      <c r="AE277" s="1141">
        <f t="shared" si="58"/>
        <v>12014374</v>
      </c>
      <c r="AF277" s="1519">
        <f t="shared" si="54"/>
        <v>5.1343478632478634</v>
      </c>
      <c r="AG277" s="1224">
        <v>2340000</v>
      </c>
      <c r="AH277" s="1521">
        <f t="shared" si="55"/>
        <v>12014374</v>
      </c>
      <c r="AI277" s="1142">
        <f t="shared" si="53"/>
        <v>260</v>
      </c>
      <c r="AJ277" s="1143">
        <f>IFERROR(INDEX('[17]CN BC'!$M$10:$M$276,MATCH(B277,'[17]CN BC'!$H$10:$H$276,0)),"")</f>
        <v>0</v>
      </c>
      <c r="AK277" s="1144" t="str">
        <f>VLOOKUP(B277,TH.T4!B280:AC610,28,FALSE)</f>
        <v>XD-NL</v>
      </c>
      <c r="AL277" s="1130"/>
      <c r="AM277" s="1146"/>
      <c r="AN277" s="1147"/>
      <c r="AO277" s="1146"/>
      <c r="AP277" s="1146"/>
      <c r="AQ277" s="1146"/>
      <c r="AR277" s="1146"/>
      <c r="AS277" s="1146"/>
      <c r="AT277" s="1146"/>
    </row>
    <row r="278" spans="1:50" s="1148" customFormat="1" ht="34.5" customHeight="1">
      <c r="A278" s="1132">
        <f>_xlfn.AGGREGATE(4,7,A$17:A277)+1</f>
        <v>261</v>
      </c>
      <c r="B278" s="1133" t="s">
        <v>1921</v>
      </c>
      <c r="C278" s="1149" t="s">
        <v>1820</v>
      </c>
      <c r="D278" s="1154" t="s">
        <v>1415</v>
      </c>
      <c r="E278" s="1058" t="str">
        <f>VLOOKUP(B278,TH.T6!B190:J520,9,FALSE)</f>
        <v>Giảng viên khoa Xây dựng - Nhiệt lạnh</v>
      </c>
      <c r="F278" s="1136">
        <v>4.6500000000000004</v>
      </c>
      <c r="G278" s="1137"/>
      <c r="H278" s="1392">
        <f t="shared" si="59"/>
        <v>0</v>
      </c>
      <c r="I278" s="1138">
        <v>0.25</v>
      </c>
      <c r="J278" s="1136">
        <v>4.6500000000000004</v>
      </c>
      <c r="K278" s="1137"/>
      <c r="L278" s="1399">
        <f t="shared" si="60"/>
        <v>0</v>
      </c>
      <c r="M278" s="1138">
        <v>0.25</v>
      </c>
      <c r="N278" s="1136">
        <v>4.6500000000000004</v>
      </c>
      <c r="O278" s="1137"/>
      <c r="P278" s="1400">
        <f t="shared" si="61"/>
        <v>0</v>
      </c>
      <c r="Q278" s="1138">
        <v>0.25</v>
      </c>
      <c r="R278" s="1138" t="str">
        <f>IFERROR(INDEX('[18]Gui chi Quynh'!$E$11:$E$397,MATCH(B278,'[18]Gui chi Quynh'!$B$11:$B$397,0)),"")</f>
        <v>A3</v>
      </c>
      <c r="S278" s="1138">
        <f t="shared" si="62"/>
        <v>0.6</v>
      </c>
      <c r="T278" s="1138" t="str">
        <f>VLOOKUP(B278,'[19]Gui chi Quynh'!$B$11:$E$397,4,FALSE)</f>
        <v>A DN</v>
      </c>
      <c r="U278" s="1138">
        <f t="shared" si="56"/>
        <v>0</v>
      </c>
      <c r="V278" s="1138" t="str">
        <f>VLOOKUP(B278,'[20]Gui chi Quynh'!$B$11:$E$396,4,FALSE)</f>
        <v>A4</v>
      </c>
      <c r="W278" s="1138">
        <f t="shared" si="63"/>
        <v>0.5</v>
      </c>
      <c r="X278" s="1138">
        <f>IFERROR(INDEX('[21]CN BC'!$J$10:$J$275,MATCH(B278,'[21]CN BC'!$H$10:$H$275,0)),"")</f>
        <v>23</v>
      </c>
      <c r="Y278" s="1138">
        <f>IFERROR(INDEX('[22]CN BC'!$J$10:$J$274,MATCH(B278,'[22]CN BC'!$H$10:$H$274,0)),"")</f>
        <v>0</v>
      </c>
      <c r="Z278" s="1138">
        <f>VLOOKUP(B278,'[23]CN BC'!$H$10:$J$275,3,FALSE)</f>
        <v>19</v>
      </c>
      <c r="AA278" s="1139">
        <f t="shared" si="64"/>
        <v>23</v>
      </c>
      <c r="AB278" s="1139">
        <f t="shared" si="57"/>
        <v>0</v>
      </c>
      <c r="AC278" s="1139">
        <f t="shared" si="65"/>
        <v>19</v>
      </c>
      <c r="AD278" s="1140"/>
      <c r="AE278" s="1141">
        <f t="shared" si="58"/>
        <v>12612600</v>
      </c>
      <c r="AF278" s="1519">
        <f t="shared" si="54"/>
        <v>5.39</v>
      </c>
      <c r="AG278" s="1224">
        <v>2340000</v>
      </c>
      <c r="AH278" s="1521">
        <f t="shared" si="55"/>
        <v>12612600</v>
      </c>
      <c r="AI278" s="1142">
        <f t="shared" si="53"/>
        <v>261</v>
      </c>
      <c r="AJ278" s="1143">
        <f>IFERROR(INDEX('[17]CN BC'!$M$10:$M$276,MATCH(B278,'[17]CN BC'!$H$10:$H$276,0)),"")</f>
        <v>0</v>
      </c>
      <c r="AK278" s="1144" t="str">
        <f>VLOOKUP(B278,TH.T4!B281:AC611,28,FALSE)</f>
        <v>XD-NL</v>
      </c>
      <c r="AL278" s="1130"/>
      <c r="AM278" s="1146"/>
      <c r="AN278" s="1147"/>
      <c r="AO278" s="1146"/>
      <c r="AP278" s="1146"/>
      <c r="AQ278" s="1146"/>
      <c r="AR278" s="1146"/>
      <c r="AS278" s="1146"/>
      <c r="AT278" s="1146"/>
      <c r="AU278" s="1146"/>
      <c r="AV278" s="1146"/>
      <c r="AW278" s="1146"/>
      <c r="AX278" s="1146"/>
    </row>
    <row r="279" spans="1:50" s="1148" customFormat="1" ht="34.5" customHeight="1">
      <c r="A279" s="1132">
        <f>_xlfn.AGGREGATE(4,7,A$17:A278)+1</f>
        <v>262</v>
      </c>
      <c r="B279" s="1133" t="s">
        <v>1922</v>
      </c>
      <c r="C279" s="1153" t="s">
        <v>1821</v>
      </c>
      <c r="D279" s="1154" t="s">
        <v>392</v>
      </c>
      <c r="E279" s="1058" t="str">
        <f>VLOOKUP(B279,TH.T6!B191:J521,9,FALSE)</f>
        <v>Giảng viên khoa Xây dựng - Nhiệt lạnh</v>
      </c>
      <c r="F279" s="1160">
        <v>3.66</v>
      </c>
      <c r="G279" s="1137"/>
      <c r="H279" s="1392">
        <f t="shared" si="59"/>
        <v>0</v>
      </c>
      <c r="I279" s="1138"/>
      <c r="J279" s="1160">
        <v>3.66</v>
      </c>
      <c r="K279" s="1137"/>
      <c r="L279" s="1392">
        <f t="shared" si="60"/>
        <v>0</v>
      </c>
      <c r="M279" s="1138"/>
      <c r="N279" s="1160">
        <v>3.66</v>
      </c>
      <c r="O279" s="1137"/>
      <c r="P279" s="1393">
        <f t="shared" si="61"/>
        <v>0</v>
      </c>
      <c r="Q279" s="1138"/>
      <c r="R279" s="1138" t="str">
        <f>IFERROR(INDEX('[18]Gui chi Quynh'!$E$11:$E$397,MATCH(B279,'[18]Gui chi Quynh'!$B$11:$B$397,0)),"")</f>
        <v>A3</v>
      </c>
      <c r="S279" s="1138">
        <f t="shared" si="62"/>
        <v>0.6</v>
      </c>
      <c r="T279" s="1138" t="str">
        <f>VLOOKUP(B279,'[19]Gui chi Quynh'!$B$11:$E$397,4,FALSE)</f>
        <v>A DN</v>
      </c>
      <c r="U279" s="1138">
        <f t="shared" si="56"/>
        <v>0</v>
      </c>
      <c r="V279" s="1138" t="str">
        <f>VLOOKUP(B279,'[20]Gui chi Quynh'!$B$11:$E$396,4,FALSE)</f>
        <v>A4</v>
      </c>
      <c r="W279" s="1138">
        <f t="shared" si="63"/>
        <v>0.5</v>
      </c>
      <c r="X279" s="1138">
        <f>IFERROR(INDEX('[21]CN BC'!$J$10:$J$275,MATCH(B279,'[21]CN BC'!$H$10:$H$275,0)),"")</f>
        <v>21</v>
      </c>
      <c r="Y279" s="1138">
        <f>IFERROR(INDEX('[22]CN BC'!$J$10:$J$274,MATCH(B279,'[22]CN BC'!$H$10:$H$274,0)),"")</f>
        <v>0</v>
      </c>
      <c r="Z279" s="1138">
        <f>VLOOKUP(B279,'[23]CN BC'!$H$10:$J$275,3,FALSE)</f>
        <v>19</v>
      </c>
      <c r="AA279" s="1139">
        <f t="shared" si="64"/>
        <v>21</v>
      </c>
      <c r="AB279" s="1139">
        <f t="shared" si="57"/>
        <v>0</v>
      </c>
      <c r="AC279" s="1139">
        <f t="shared" si="65"/>
        <v>19</v>
      </c>
      <c r="AD279" s="1140"/>
      <c r="AE279" s="1141">
        <f t="shared" si="58"/>
        <v>8974002</v>
      </c>
      <c r="AF279" s="1519">
        <f t="shared" si="54"/>
        <v>3.8350435897435897</v>
      </c>
      <c r="AG279" s="1224">
        <v>2340000</v>
      </c>
      <c r="AH279" s="1521">
        <f t="shared" si="55"/>
        <v>8974002</v>
      </c>
      <c r="AI279" s="1142">
        <f t="shared" si="53"/>
        <v>262</v>
      </c>
      <c r="AJ279" s="1143">
        <f>IFERROR(INDEX('[17]CN BC'!$M$10:$M$276,MATCH(B279,'[17]CN BC'!$H$10:$H$276,0)),"")</f>
        <v>0</v>
      </c>
      <c r="AK279" s="1144" t="str">
        <f>VLOOKUP(B279,TH.T4!B282:AC612,28,FALSE)</f>
        <v>XD-NL</v>
      </c>
      <c r="AL279" s="1171"/>
      <c r="AN279" s="1158"/>
    </row>
    <row r="280" spans="1:50" s="1148" customFormat="1" ht="34.5" customHeight="1">
      <c r="A280" s="1132">
        <f>_xlfn.AGGREGATE(4,7,A$17:A279)+1</f>
        <v>263</v>
      </c>
      <c r="B280" s="1133" t="s">
        <v>1923</v>
      </c>
      <c r="C280" s="1153" t="s">
        <v>1822</v>
      </c>
      <c r="D280" s="1168" t="s">
        <v>511</v>
      </c>
      <c r="E280" s="1058" t="str">
        <f>VLOOKUP(B280,TH.T6!B192:J522,9,FALSE)</f>
        <v>Giảng viên khoa Xây dựng - Nhiệt lạnh</v>
      </c>
      <c r="F280" s="1160">
        <v>3.66</v>
      </c>
      <c r="G280" s="1137"/>
      <c r="H280" s="1392">
        <f t="shared" si="59"/>
        <v>0</v>
      </c>
      <c r="I280" s="1138"/>
      <c r="J280" s="1160">
        <v>3.66</v>
      </c>
      <c r="K280" s="1137"/>
      <c r="L280" s="1392">
        <f t="shared" si="60"/>
        <v>0</v>
      </c>
      <c r="M280" s="1138"/>
      <c r="N280" s="1160">
        <v>3.66</v>
      </c>
      <c r="O280" s="1137"/>
      <c r="P280" s="1393">
        <f t="shared" si="61"/>
        <v>0</v>
      </c>
      <c r="Q280" s="1138"/>
      <c r="R280" s="1138" t="str">
        <f>IFERROR(INDEX('[18]Gui chi Quynh'!$E$11:$E$397,MATCH(B280,'[18]Gui chi Quynh'!$B$11:$B$397,0)),"")</f>
        <v>A4</v>
      </c>
      <c r="S280" s="1138">
        <f t="shared" si="62"/>
        <v>0.5</v>
      </c>
      <c r="T280" s="1138" t="str">
        <f>VLOOKUP(B280,'[19]Gui chi Quynh'!$B$11:$E$397,4,FALSE)</f>
        <v>A DN</v>
      </c>
      <c r="U280" s="1138">
        <f t="shared" si="56"/>
        <v>0</v>
      </c>
      <c r="V280" s="1138" t="str">
        <f>VLOOKUP(B280,'[20]Gui chi Quynh'!$B$11:$E$396,4,FALSE)</f>
        <v>A4</v>
      </c>
      <c r="W280" s="1138">
        <f t="shared" si="63"/>
        <v>0.5</v>
      </c>
      <c r="X280" s="1138">
        <f>IFERROR(INDEX('[21]CN BC'!$J$10:$J$275,MATCH(B280,'[21]CN BC'!$H$10:$H$275,0)),"")</f>
        <v>21</v>
      </c>
      <c r="Y280" s="1138">
        <f>IFERROR(INDEX('[22]CN BC'!$J$10:$J$274,MATCH(B280,'[22]CN BC'!$H$10:$H$274,0)),"")</f>
        <v>0</v>
      </c>
      <c r="Z280" s="1138">
        <f>VLOOKUP(B280,'[23]CN BC'!$H$10:$J$275,3,FALSE)</f>
        <v>19</v>
      </c>
      <c r="AA280" s="1139">
        <f t="shared" si="64"/>
        <v>21</v>
      </c>
      <c r="AB280" s="1139">
        <f t="shared" si="57"/>
        <v>0</v>
      </c>
      <c r="AC280" s="1139">
        <f t="shared" si="65"/>
        <v>19</v>
      </c>
      <c r="AD280" s="1140"/>
      <c r="AE280" s="1141">
        <f t="shared" si="58"/>
        <v>8192035</v>
      </c>
      <c r="AF280" s="1519">
        <f t="shared" si="54"/>
        <v>3.5008696581196581</v>
      </c>
      <c r="AG280" s="1224">
        <v>2340000</v>
      </c>
      <c r="AH280" s="1521">
        <f t="shared" si="55"/>
        <v>8192035</v>
      </c>
      <c r="AI280" s="1142">
        <f t="shared" si="53"/>
        <v>263</v>
      </c>
      <c r="AJ280" s="1143">
        <f>IFERROR(INDEX('[17]CN BC'!$M$10:$M$276,MATCH(B280,'[17]CN BC'!$H$10:$H$276,0)),"")</f>
        <v>0</v>
      </c>
      <c r="AK280" s="1144" t="str">
        <f>VLOOKUP(B280,TH.T4!B283:AC613,28,FALSE)</f>
        <v>XD-NL</v>
      </c>
      <c r="AL280" s="1130"/>
      <c r="AM280" s="1146"/>
      <c r="AN280" s="1158"/>
    </row>
    <row r="281" spans="1:50" s="1148" customFormat="1" ht="34.5" customHeight="1">
      <c r="A281" s="1132">
        <f>_xlfn.AGGREGATE(4,7,A$17:A280)+1</f>
        <v>264</v>
      </c>
      <c r="B281" s="1133" t="s">
        <v>1552</v>
      </c>
      <c r="C281" s="1153" t="s">
        <v>1823</v>
      </c>
      <c r="D281" s="1154" t="s">
        <v>1418</v>
      </c>
      <c r="E281" s="1058" t="str">
        <f>VLOOKUP(B281,TH.T6!B193:J523,9,FALSE)</f>
        <v>Giảng viên khoa Xây dựng - Nhiệt lạnh</v>
      </c>
      <c r="F281" s="1136">
        <v>4.32</v>
      </c>
      <c r="G281" s="1137"/>
      <c r="H281" s="1392">
        <f t="shared" si="59"/>
        <v>0</v>
      </c>
      <c r="I281" s="1138"/>
      <c r="J281" s="1136">
        <v>4.32</v>
      </c>
      <c r="K281" s="1137"/>
      <c r="L281" s="1392">
        <f t="shared" si="60"/>
        <v>0</v>
      </c>
      <c r="M281" s="1138"/>
      <c r="N281" s="1136">
        <v>4.32</v>
      </c>
      <c r="O281" s="1137"/>
      <c r="P281" s="1393">
        <f t="shared" si="61"/>
        <v>0</v>
      </c>
      <c r="Q281" s="1138"/>
      <c r="R281" s="1138" t="str">
        <f>IFERROR(INDEX('[18]Gui chi Quynh'!$E$11:$E$397,MATCH(B281,'[18]Gui chi Quynh'!$B$11:$B$397,0)),"")</f>
        <v>A3</v>
      </c>
      <c r="S281" s="1138">
        <f t="shared" si="62"/>
        <v>0.6</v>
      </c>
      <c r="T281" s="1138" t="str">
        <f>VLOOKUP(B281,'[19]Gui chi Quynh'!$B$11:$E$397,4,FALSE)</f>
        <v>A DN</v>
      </c>
      <c r="U281" s="1138">
        <f t="shared" si="56"/>
        <v>0</v>
      </c>
      <c r="V281" s="1138" t="str">
        <f>VLOOKUP(B281,'[20]Gui chi Quynh'!$B$11:$E$396,4,FALSE)</f>
        <v>A4</v>
      </c>
      <c r="W281" s="1138">
        <f t="shared" si="63"/>
        <v>0.5</v>
      </c>
      <c r="X281" s="1138">
        <f>IFERROR(INDEX('[21]CN BC'!$J$10:$J$275,MATCH(B281,'[21]CN BC'!$H$10:$H$275,0)),"")</f>
        <v>23</v>
      </c>
      <c r="Y281" s="1138">
        <f>IFERROR(INDEX('[22]CN BC'!$J$10:$J$274,MATCH(B281,'[22]CN BC'!$H$10:$H$274,0)),"")</f>
        <v>0</v>
      </c>
      <c r="Z281" s="1138">
        <f>VLOOKUP(B281,'[23]CN BC'!$H$10:$J$275,3,FALSE)</f>
        <v>19</v>
      </c>
      <c r="AA281" s="1139">
        <f t="shared" si="64"/>
        <v>23</v>
      </c>
      <c r="AB281" s="1139">
        <f t="shared" si="57"/>
        <v>0</v>
      </c>
      <c r="AC281" s="1139">
        <f t="shared" si="65"/>
        <v>19</v>
      </c>
      <c r="AD281" s="1140"/>
      <c r="AE281" s="1141">
        <f t="shared" si="58"/>
        <v>11119680</v>
      </c>
      <c r="AF281" s="1519">
        <f t="shared" si="54"/>
        <v>4.7519999999999998</v>
      </c>
      <c r="AG281" s="1224">
        <v>2340000</v>
      </c>
      <c r="AH281" s="1521">
        <f t="shared" si="55"/>
        <v>11119680</v>
      </c>
      <c r="AI281" s="1142">
        <f t="shared" si="53"/>
        <v>264</v>
      </c>
      <c r="AJ281" s="1143">
        <f>IFERROR(INDEX('[17]CN BC'!$M$10:$M$276,MATCH(B281,'[17]CN BC'!$H$10:$H$276,0)),"")</f>
        <v>0</v>
      </c>
      <c r="AK281" s="1144" t="str">
        <f>VLOOKUP(B281,TH.T4!B284:AC614,28,FALSE)</f>
        <v>XD-NL</v>
      </c>
      <c r="AL281" s="1130"/>
      <c r="AM281" s="1146"/>
      <c r="AN281" s="1158"/>
    </row>
    <row r="282" spans="1:50" s="1148" customFormat="1" ht="34.5" customHeight="1">
      <c r="A282" s="1132">
        <f>_xlfn.AGGREGATE(4,7,A$17:A281)+1</f>
        <v>265</v>
      </c>
      <c r="B282" s="1133" t="s">
        <v>1940</v>
      </c>
      <c r="C282" s="1153" t="s">
        <v>1991</v>
      </c>
      <c r="D282" s="1154" t="s">
        <v>1992</v>
      </c>
      <c r="E282" s="1058" t="str">
        <f>VLOOKUP(B282,TH.T6!B194:J524,9,FALSE)</f>
        <v>Giảng viên khoa Xây dựng - Nhiệt lạnh</v>
      </c>
      <c r="F282" s="1160">
        <v>3.33</v>
      </c>
      <c r="G282" s="1137"/>
      <c r="H282" s="1392">
        <f t="shared" si="59"/>
        <v>0</v>
      </c>
      <c r="I282" s="1138"/>
      <c r="J282" s="1160">
        <v>3.33</v>
      </c>
      <c r="K282" s="1137"/>
      <c r="L282" s="1392">
        <f t="shared" si="60"/>
        <v>0</v>
      </c>
      <c r="M282" s="1138"/>
      <c r="N282" s="1160">
        <v>3.33</v>
      </c>
      <c r="O282" s="1137"/>
      <c r="P282" s="1393">
        <f t="shared" si="61"/>
        <v>0</v>
      </c>
      <c r="Q282" s="1138"/>
      <c r="R282" s="1138" t="str">
        <f>IFERROR(INDEX('[18]Gui chi Quynh'!$E$11:$E$397,MATCH(B282,'[18]Gui chi Quynh'!$B$11:$B$397,0)),"")</f>
        <v>A3</v>
      </c>
      <c r="S282" s="1138">
        <f t="shared" si="62"/>
        <v>0.6</v>
      </c>
      <c r="T282" s="1138" t="str">
        <f>VLOOKUP(B282,'[19]Gui chi Quynh'!$B$11:$E$397,4,FALSE)</f>
        <v>A DN</v>
      </c>
      <c r="U282" s="1138">
        <f t="shared" si="56"/>
        <v>0</v>
      </c>
      <c r="V282" s="1138" t="str">
        <f>VLOOKUP(B282,'[20]Gui chi Quynh'!$B$11:$E$396,4,FALSE)</f>
        <v>A3</v>
      </c>
      <c r="W282" s="1138">
        <f t="shared" si="63"/>
        <v>0.6</v>
      </c>
      <c r="X282" s="1138">
        <f>IFERROR(INDEX('[21]CN BC'!$J$10:$J$275,MATCH(B282,'[21]CN BC'!$H$10:$H$275,0)),"")</f>
        <v>23</v>
      </c>
      <c r="Y282" s="1138">
        <f>IFERROR(INDEX('[22]CN BC'!$J$10:$J$274,MATCH(B282,'[22]CN BC'!$H$10:$H$274,0)),"")</f>
        <v>0</v>
      </c>
      <c r="Z282" s="1138">
        <f>VLOOKUP(B282,'[23]CN BC'!$H$10:$J$275,3,FALSE)</f>
        <v>19</v>
      </c>
      <c r="AA282" s="1139">
        <f t="shared" si="64"/>
        <v>23</v>
      </c>
      <c r="AB282" s="1139">
        <f t="shared" si="57"/>
        <v>0</v>
      </c>
      <c r="AC282" s="1139">
        <f t="shared" si="65"/>
        <v>19</v>
      </c>
      <c r="AD282" s="1140"/>
      <c r="AE282" s="1141">
        <f t="shared" si="58"/>
        <v>9350640</v>
      </c>
      <c r="AF282" s="1519">
        <f t="shared" si="54"/>
        <v>3.996</v>
      </c>
      <c r="AG282" s="1224">
        <v>2340000</v>
      </c>
      <c r="AH282" s="1521">
        <f t="shared" si="55"/>
        <v>9350640</v>
      </c>
      <c r="AI282" s="1142">
        <f t="shared" si="53"/>
        <v>265</v>
      </c>
      <c r="AJ282" s="1143">
        <f>IFERROR(INDEX('[17]CN BC'!$M$10:$M$276,MATCH(B282,'[17]CN BC'!$H$10:$H$276,0)),"")</f>
        <v>0</v>
      </c>
      <c r="AK282" s="1144" t="str">
        <f>VLOOKUP(B282,TH.T4!B285:AC615,28,FALSE)</f>
        <v>XD-NL</v>
      </c>
      <c r="AL282" s="1130"/>
      <c r="AM282" s="1146"/>
      <c r="AN282" s="1147"/>
      <c r="AO282" s="1146"/>
      <c r="AP282" s="1146"/>
      <c r="AQ282" s="1146"/>
      <c r="AR282" s="1146"/>
      <c r="AS282" s="1146"/>
      <c r="AT282" s="1146"/>
    </row>
    <row r="283" spans="1:50" s="1146" customFormat="1" ht="34.5" customHeight="1">
      <c r="A283" s="1132">
        <f>_xlfn.AGGREGATE(4,7,A$17:A282)+1</f>
        <v>266</v>
      </c>
      <c r="B283" s="1172" t="s">
        <v>1553</v>
      </c>
      <c r="C283" s="1149" t="s">
        <v>1824</v>
      </c>
      <c r="D283" s="1233">
        <v>1603205246186</v>
      </c>
      <c r="E283" s="1058" t="str">
        <f>VLOOKUP(B283,TH.T6!B195:J525,9,FALSE)</f>
        <v>Giảng viên khoa Xây dựng - Nhiệt lạnh</v>
      </c>
      <c r="F283" s="1136">
        <v>4.9800000000000004</v>
      </c>
      <c r="G283" s="1137"/>
      <c r="H283" s="1392">
        <f t="shared" si="59"/>
        <v>0</v>
      </c>
      <c r="I283" s="1138"/>
      <c r="J283" s="1136">
        <v>4.9800000000000004</v>
      </c>
      <c r="K283" s="1137"/>
      <c r="L283" s="1392">
        <f t="shared" si="60"/>
        <v>0</v>
      </c>
      <c r="M283" s="1138"/>
      <c r="N283" s="1136">
        <v>4.9800000000000004</v>
      </c>
      <c r="O283" s="1137"/>
      <c r="P283" s="1393">
        <f t="shared" si="61"/>
        <v>0</v>
      </c>
      <c r="Q283" s="1138"/>
      <c r="R283" s="1138" t="str">
        <f>IFERROR(INDEX('[18]Gui chi Quynh'!$E$11:$E$397,MATCH(B283,'[18]Gui chi Quynh'!$B$11:$B$397,0)),"")</f>
        <v>A4</v>
      </c>
      <c r="S283" s="1138">
        <f t="shared" si="62"/>
        <v>0.5</v>
      </c>
      <c r="T283" s="1138" t="str">
        <f>VLOOKUP(B283,'[19]Gui chi Quynh'!$B$11:$E$397,4,FALSE)</f>
        <v>A DN</v>
      </c>
      <c r="U283" s="1138">
        <f t="shared" si="56"/>
        <v>0</v>
      </c>
      <c r="V283" s="1138" t="str">
        <f>VLOOKUP(B283,'[20]Gui chi Quynh'!$B$11:$E$396,4,FALSE)</f>
        <v>A3</v>
      </c>
      <c r="W283" s="1138">
        <f t="shared" si="63"/>
        <v>0.6</v>
      </c>
      <c r="X283" s="1138">
        <f>IFERROR(INDEX('[21]CN BC'!$J$10:$J$275,MATCH(B283,'[21]CN BC'!$H$10:$H$275,0)),"")</f>
        <v>23</v>
      </c>
      <c r="Y283" s="1138">
        <f>IFERROR(INDEX('[22]CN BC'!$J$10:$J$274,MATCH(B283,'[22]CN BC'!$H$10:$H$274,0)),"")</f>
        <v>0</v>
      </c>
      <c r="Z283" s="1138">
        <f>VLOOKUP(B283,'[23]CN BC'!$H$10:$J$275,3,FALSE)</f>
        <v>19</v>
      </c>
      <c r="AA283" s="1139">
        <f t="shared" si="64"/>
        <v>23</v>
      </c>
      <c r="AB283" s="1139">
        <f t="shared" si="57"/>
        <v>0</v>
      </c>
      <c r="AC283" s="1139">
        <f t="shared" si="65"/>
        <v>19</v>
      </c>
      <c r="AD283" s="1140"/>
      <c r="AE283" s="1141">
        <f t="shared" si="58"/>
        <v>12818520</v>
      </c>
      <c r="AF283" s="1519">
        <f t="shared" si="54"/>
        <v>5.4779999999999998</v>
      </c>
      <c r="AG283" s="1224">
        <v>2340000</v>
      </c>
      <c r="AH283" s="1521">
        <f t="shared" si="55"/>
        <v>12818520</v>
      </c>
      <c r="AI283" s="1142">
        <f t="shared" si="53"/>
        <v>266</v>
      </c>
      <c r="AJ283" s="1143">
        <f>IFERROR(INDEX('[17]CN BC'!$M$10:$M$276,MATCH(B283,'[17]CN BC'!$H$10:$H$276,0)),"")</f>
        <v>0</v>
      </c>
      <c r="AK283" s="1144" t="str">
        <f>VLOOKUP(B283,TH.T4!B286:AC616,28,FALSE)</f>
        <v>XD-NL</v>
      </c>
      <c r="AL283" s="1130"/>
      <c r="AN283" s="1147"/>
    </row>
    <row r="284" spans="1:50" s="1148" customFormat="1" ht="34.5" customHeight="1">
      <c r="A284" s="1132">
        <f>_xlfn.AGGREGATE(4,7,A$17:A283)+1</f>
        <v>267</v>
      </c>
      <c r="B284" s="1133" t="s">
        <v>1560</v>
      </c>
      <c r="C284" s="1234" t="s">
        <v>1825</v>
      </c>
      <c r="D284" s="1235">
        <v>1603215002692</v>
      </c>
      <c r="E284" s="1058" t="str">
        <f>VLOOKUP(B284,TH.T6!B196:J526,9,FALSE)</f>
        <v>Phó Trưởng khoa Xây dựng - Nhiệt lạnh</v>
      </c>
      <c r="F284" s="1160">
        <v>3.33</v>
      </c>
      <c r="G284" s="1344"/>
      <c r="H284" s="1401">
        <f t="shared" si="59"/>
        <v>0</v>
      </c>
      <c r="I284" s="1345">
        <v>0.35</v>
      </c>
      <c r="J284" s="1346">
        <v>3.33</v>
      </c>
      <c r="K284" s="1344"/>
      <c r="L284" s="1401">
        <f t="shared" si="60"/>
        <v>0</v>
      </c>
      <c r="M284" s="1345">
        <v>0.35</v>
      </c>
      <c r="N284" s="1346">
        <v>3.33</v>
      </c>
      <c r="O284" s="1344"/>
      <c r="P284" s="1402">
        <f t="shared" si="61"/>
        <v>0</v>
      </c>
      <c r="Q284" s="1138">
        <v>0.35</v>
      </c>
      <c r="R284" s="1138" t="str">
        <f>IFERROR(INDEX('[18]Gui chi Quynh'!$E$11:$E$397,MATCH(B284,'[18]Gui chi Quynh'!$B$11:$B$397,0)),"")</f>
        <v>A2</v>
      </c>
      <c r="S284" s="1138">
        <f t="shared" si="62"/>
        <v>0.7</v>
      </c>
      <c r="T284" s="1138" t="str">
        <f>VLOOKUP(B284,'[19]Gui chi Quynh'!$B$11:$E$397,4,FALSE)</f>
        <v>A2</v>
      </c>
      <c r="U284" s="1138">
        <f t="shared" si="56"/>
        <v>0.7</v>
      </c>
      <c r="V284" s="1138" t="str">
        <f>VLOOKUP(B284,'[20]Gui chi Quynh'!$B$11:$E$396,4,FALSE)</f>
        <v>A2</v>
      </c>
      <c r="W284" s="1138">
        <f t="shared" si="63"/>
        <v>0.7</v>
      </c>
      <c r="X284" s="1138">
        <f>IFERROR(INDEX('[21]CN BC'!$J$10:$J$275,MATCH(B284,'[21]CN BC'!$H$10:$H$275,0)),"")</f>
        <v>23</v>
      </c>
      <c r="Y284" s="1138">
        <f>IFERROR(INDEX('[22]CN BC'!$J$10:$J$274,MATCH(B284,'[22]CN BC'!$H$10:$H$274,0)),"")</f>
        <v>22</v>
      </c>
      <c r="Z284" s="1138">
        <f>VLOOKUP(B284,'[23]CN BC'!$H$10:$J$275,3,FALSE)</f>
        <v>19</v>
      </c>
      <c r="AA284" s="1139">
        <f t="shared" si="64"/>
        <v>23</v>
      </c>
      <c r="AB284" s="1139">
        <f t="shared" si="57"/>
        <v>22</v>
      </c>
      <c r="AC284" s="1139">
        <f t="shared" si="65"/>
        <v>19</v>
      </c>
      <c r="AD284" s="1140"/>
      <c r="AE284" s="1141">
        <f t="shared" si="58"/>
        <v>18083520</v>
      </c>
      <c r="AF284" s="1519">
        <f t="shared" si="54"/>
        <v>7.7279999999999998</v>
      </c>
      <c r="AG284" s="1224">
        <v>2340000</v>
      </c>
      <c r="AH284" s="1521">
        <f t="shared" si="55"/>
        <v>18083520</v>
      </c>
      <c r="AI284" s="1142">
        <f t="shared" si="53"/>
        <v>267</v>
      </c>
      <c r="AJ284" s="1143">
        <f>IFERROR(INDEX('[17]CN BC'!$M$10:$M$276,MATCH(B284,'[17]CN BC'!$H$10:$H$276,0)),"")</f>
        <v>0</v>
      </c>
      <c r="AK284" s="1144" t="str">
        <f>VLOOKUP(B284,TH.T4!B287:AC617,28,FALSE)</f>
        <v>XD-NL</v>
      </c>
      <c r="AL284" s="1130"/>
      <c r="AM284" s="1146"/>
      <c r="AN284" s="1147"/>
      <c r="AO284" s="1146"/>
      <c r="AP284" s="1146"/>
      <c r="AQ284" s="1146"/>
      <c r="AR284" s="1146"/>
      <c r="AS284" s="1146"/>
      <c r="AT284" s="1146"/>
      <c r="AU284" s="1146"/>
      <c r="AV284" s="1146"/>
      <c r="AW284" s="1146"/>
      <c r="AX284" s="1146"/>
    </row>
    <row r="285" spans="1:50" s="1148" customFormat="1" ht="24" customHeight="1">
      <c r="A285" s="1132">
        <f>_xlfn.AGGREGATE(4,7,A$17:A284)+1</f>
        <v>268</v>
      </c>
      <c r="B285" s="378" t="s">
        <v>2029</v>
      </c>
      <c r="C285" s="1497"/>
      <c r="D285" s="1498"/>
      <c r="E285" s="1058" t="str">
        <f>VLOOKUP(B285,TH.T6!B197:J527,9,FALSE)</f>
        <v xml:space="preserve">NV Bảo vệ </v>
      </c>
      <c r="F285" s="1499"/>
      <c r="G285" s="1500"/>
      <c r="H285" s="1501"/>
      <c r="I285" s="1502"/>
      <c r="J285" s="1503"/>
      <c r="K285" s="1500"/>
      <c r="L285" s="1501"/>
      <c r="M285" s="1502"/>
      <c r="N285" s="1503"/>
      <c r="O285" s="1500"/>
      <c r="P285" s="1504"/>
      <c r="Q285" s="1505"/>
      <c r="R285" s="1505"/>
      <c r="S285" s="1505"/>
      <c r="T285" s="1505"/>
      <c r="U285" s="1505"/>
      <c r="V285" s="1505"/>
      <c r="W285" s="1505"/>
      <c r="X285" s="1505"/>
      <c r="Y285" s="1505"/>
      <c r="Z285" s="1505"/>
      <c r="AA285" s="1506"/>
      <c r="AB285" s="1506"/>
      <c r="AC285" s="1506"/>
      <c r="AD285" s="1507"/>
      <c r="AE285" s="1508">
        <v>7922576.222222222</v>
      </c>
      <c r="AF285" s="1519">
        <f t="shared" si="54"/>
        <v>3.3857163342830008</v>
      </c>
      <c r="AG285" s="1224">
        <v>2340000</v>
      </c>
      <c r="AH285" s="1521">
        <f t="shared" si="55"/>
        <v>7922576.222222222</v>
      </c>
      <c r="AI285" s="1142">
        <f t="shared" ref="AI285:AI348" si="66">A285</f>
        <v>268</v>
      </c>
      <c r="AJ285" s="1143"/>
      <c r="AK285" s="1144"/>
      <c r="AL285" s="1130"/>
      <c r="AM285" s="1146"/>
      <c r="AN285" s="1147"/>
      <c r="AO285" s="1146"/>
      <c r="AP285" s="1146"/>
      <c r="AQ285" s="1146"/>
      <c r="AR285" s="1146"/>
      <c r="AS285" s="1146"/>
      <c r="AT285" s="1146"/>
      <c r="AU285" s="1146"/>
      <c r="AV285" s="1146"/>
      <c r="AW285" s="1146"/>
      <c r="AX285" s="1146"/>
    </row>
    <row r="286" spans="1:50" s="1148" customFormat="1" ht="28.5" customHeight="1">
      <c r="A286" s="1132">
        <f>_xlfn.AGGREGATE(4,7,A$17:A285)+1</f>
        <v>269</v>
      </c>
      <c r="B286" s="378" t="s">
        <v>2035</v>
      </c>
      <c r="C286" s="1497"/>
      <c r="D286" s="1498"/>
      <c r="E286" s="1058" t="str">
        <f>VLOOKUP(B286,TH.T6!B198:J528,9,FALSE)</f>
        <v>NV Bảo vệ</v>
      </c>
      <c r="F286" s="1499"/>
      <c r="G286" s="1500"/>
      <c r="H286" s="1501"/>
      <c r="I286" s="1502"/>
      <c r="J286" s="1503"/>
      <c r="K286" s="1500"/>
      <c r="L286" s="1501"/>
      <c r="M286" s="1502"/>
      <c r="N286" s="1503"/>
      <c r="O286" s="1500"/>
      <c r="P286" s="1504"/>
      <c r="Q286" s="1505"/>
      <c r="R286" s="1505"/>
      <c r="S286" s="1505"/>
      <c r="T286" s="1505"/>
      <c r="U286" s="1505"/>
      <c r="V286" s="1505"/>
      <c r="W286" s="1505"/>
      <c r="X286" s="1505"/>
      <c r="Y286" s="1505"/>
      <c r="Z286" s="1505"/>
      <c r="AA286" s="1506"/>
      <c r="AB286" s="1506"/>
      <c r="AC286" s="1506"/>
      <c r="AD286" s="1507"/>
      <c r="AE286" s="1508">
        <v>6801848.307692308</v>
      </c>
      <c r="AF286" s="1519">
        <f t="shared" si="54"/>
        <v>2.9067727810650887</v>
      </c>
      <c r="AG286" s="1224">
        <v>2340000</v>
      </c>
      <c r="AH286" s="1521">
        <f t="shared" si="55"/>
        <v>6801848.307692308</v>
      </c>
      <c r="AI286" s="1142">
        <f t="shared" si="66"/>
        <v>269</v>
      </c>
      <c r="AJ286" s="1143"/>
      <c r="AK286" s="1144"/>
      <c r="AL286" s="1130"/>
      <c r="AM286" s="1146"/>
      <c r="AN286" s="1147"/>
      <c r="AO286" s="1146"/>
      <c r="AP286" s="1146"/>
      <c r="AQ286" s="1146"/>
      <c r="AR286" s="1146"/>
      <c r="AS286" s="1146"/>
      <c r="AT286" s="1146"/>
      <c r="AU286" s="1146"/>
      <c r="AV286" s="1146"/>
      <c r="AW286" s="1146"/>
      <c r="AX286" s="1146"/>
    </row>
    <row r="287" spans="1:50" s="1148" customFormat="1" ht="28.5" customHeight="1">
      <c r="A287" s="1132">
        <f>_xlfn.AGGREGATE(4,7,A$17:A286)+1</f>
        <v>270</v>
      </c>
      <c r="B287" s="378" t="s">
        <v>2037</v>
      </c>
      <c r="C287" s="1497"/>
      <c r="D287" s="1498"/>
      <c r="E287" s="1058" t="str">
        <f>VLOOKUP(B287,TH.T6!B199:J529,9,FALSE)</f>
        <v>NV Bảo vệ</v>
      </c>
      <c r="F287" s="1499"/>
      <c r="G287" s="1500"/>
      <c r="H287" s="1501"/>
      <c r="I287" s="1502"/>
      <c r="J287" s="1503"/>
      <c r="K287" s="1500"/>
      <c r="L287" s="1501"/>
      <c r="M287" s="1502"/>
      <c r="N287" s="1503"/>
      <c r="O287" s="1500"/>
      <c r="P287" s="1504"/>
      <c r="Q287" s="1505"/>
      <c r="R287" s="1505"/>
      <c r="S287" s="1505"/>
      <c r="T287" s="1505"/>
      <c r="U287" s="1505"/>
      <c r="V287" s="1505"/>
      <c r="W287" s="1505"/>
      <c r="X287" s="1505"/>
      <c r="Y287" s="1505"/>
      <c r="Z287" s="1505"/>
      <c r="AA287" s="1506"/>
      <c r="AB287" s="1506"/>
      <c r="AC287" s="1506"/>
      <c r="AD287" s="1507"/>
      <c r="AE287" s="1508">
        <v>10451101.538461538</v>
      </c>
      <c r="AF287" s="1519">
        <f t="shared" si="54"/>
        <v>4.4662827087442469</v>
      </c>
      <c r="AG287" s="1224">
        <v>2340000</v>
      </c>
      <c r="AH287" s="1521">
        <f t="shared" si="55"/>
        <v>10451101.538461538</v>
      </c>
      <c r="AI287" s="1142">
        <f t="shared" si="66"/>
        <v>270</v>
      </c>
      <c r="AJ287" s="1143"/>
      <c r="AK287" s="1144"/>
      <c r="AL287" s="1130"/>
      <c r="AM287" s="1146"/>
      <c r="AN287" s="1147"/>
      <c r="AO287" s="1146"/>
      <c r="AP287" s="1146"/>
      <c r="AQ287" s="1146"/>
      <c r="AR287" s="1146"/>
      <c r="AS287" s="1146"/>
      <c r="AT287" s="1146"/>
      <c r="AU287" s="1146"/>
      <c r="AV287" s="1146"/>
      <c r="AW287" s="1146"/>
      <c r="AX287" s="1146"/>
    </row>
    <row r="288" spans="1:50" s="1148" customFormat="1" ht="28.5" customHeight="1">
      <c r="A288" s="1132">
        <f>_xlfn.AGGREGATE(4,7,A$17:A287)+1</f>
        <v>271</v>
      </c>
      <c r="B288" s="378" t="s">
        <v>2039</v>
      </c>
      <c r="C288" s="1497"/>
      <c r="D288" s="1498"/>
      <c r="E288" s="1058" t="str">
        <f>VLOOKUP(B288,TH.T6!B200:J530,9,FALSE)</f>
        <v xml:space="preserve">NV Bảo vệ </v>
      </c>
      <c r="F288" s="1499"/>
      <c r="G288" s="1500"/>
      <c r="H288" s="1501"/>
      <c r="I288" s="1502"/>
      <c r="J288" s="1503"/>
      <c r="K288" s="1500"/>
      <c r="L288" s="1501"/>
      <c r="M288" s="1502"/>
      <c r="N288" s="1503"/>
      <c r="O288" s="1500"/>
      <c r="P288" s="1504"/>
      <c r="Q288" s="1505"/>
      <c r="R288" s="1505"/>
      <c r="S288" s="1505"/>
      <c r="T288" s="1505"/>
      <c r="U288" s="1505"/>
      <c r="V288" s="1505"/>
      <c r="W288" s="1505"/>
      <c r="X288" s="1505"/>
      <c r="Y288" s="1505"/>
      <c r="Z288" s="1505"/>
      <c r="AA288" s="1506"/>
      <c r="AB288" s="1506"/>
      <c r="AC288" s="1506"/>
      <c r="AD288" s="1507"/>
      <c r="AE288" s="1508">
        <v>8218960.333333334</v>
      </c>
      <c r="AF288" s="1519">
        <f t="shared" si="54"/>
        <v>3.5123762108262109</v>
      </c>
      <c r="AG288" s="1224">
        <v>2340000</v>
      </c>
      <c r="AH288" s="1521">
        <f t="shared" si="55"/>
        <v>8218960.333333333</v>
      </c>
      <c r="AI288" s="1142">
        <f t="shared" si="66"/>
        <v>271</v>
      </c>
      <c r="AJ288" s="1143"/>
      <c r="AK288" s="1144"/>
      <c r="AL288" s="1130"/>
      <c r="AM288" s="1146"/>
      <c r="AN288" s="1147"/>
      <c r="AO288" s="1146"/>
      <c r="AP288" s="1146"/>
      <c r="AQ288" s="1146"/>
      <c r="AR288" s="1146"/>
      <c r="AS288" s="1146"/>
      <c r="AT288" s="1146"/>
      <c r="AU288" s="1146"/>
      <c r="AV288" s="1146"/>
      <c r="AW288" s="1146"/>
      <c r="AX288" s="1146"/>
    </row>
    <row r="289" spans="1:50" s="1148" customFormat="1" ht="28.5" customHeight="1">
      <c r="A289" s="1132">
        <f>_xlfn.AGGREGATE(4,7,A$17:A288)+1</f>
        <v>272</v>
      </c>
      <c r="B289" s="378" t="s">
        <v>2041</v>
      </c>
      <c r="C289" s="1497"/>
      <c r="D289" s="1498"/>
      <c r="E289" s="1058" t="str">
        <f>VLOOKUP(B289,TH.T6!B201:J531,9,FALSE)</f>
        <v>Nhân viên bảo vệ</v>
      </c>
      <c r="F289" s="1499"/>
      <c r="G289" s="1500"/>
      <c r="H289" s="1501"/>
      <c r="I289" s="1502"/>
      <c r="J289" s="1503"/>
      <c r="K289" s="1500"/>
      <c r="L289" s="1501"/>
      <c r="M289" s="1502"/>
      <c r="N289" s="1503"/>
      <c r="O289" s="1500"/>
      <c r="P289" s="1504"/>
      <c r="Q289" s="1505"/>
      <c r="R289" s="1505"/>
      <c r="S289" s="1505"/>
      <c r="T289" s="1505"/>
      <c r="U289" s="1505"/>
      <c r="V289" s="1505"/>
      <c r="W289" s="1505"/>
      <c r="X289" s="1505"/>
      <c r="Y289" s="1505"/>
      <c r="Z289" s="1505"/>
      <c r="AA289" s="1506"/>
      <c r="AB289" s="1506"/>
      <c r="AC289" s="1506"/>
      <c r="AD289" s="1507"/>
      <c r="AE289" s="1508">
        <v>11119314.713675214</v>
      </c>
      <c r="AF289" s="1519">
        <f t="shared" si="54"/>
        <v>4.7518438947329971</v>
      </c>
      <c r="AG289" s="1224">
        <v>2340000</v>
      </c>
      <c r="AH289" s="1521">
        <f t="shared" si="55"/>
        <v>11119314.713675214</v>
      </c>
      <c r="AI289" s="1142">
        <f t="shared" si="66"/>
        <v>272</v>
      </c>
      <c r="AJ289" s="1143"/>
      <c r="AK289" s="1144"/>
      <c r="AL289" s="1130"/>
      <c r="AM289" s="1146"/>
      <c r="AN289" s="1147"/>
      <c r="AO289" s="1146"/>
      <c r="AP289" s="1146"/>
      <c r="AQ289" s="1146"/>
      <c r="AR289" s="1146"/>
      <c r="AS289" s="1146"/>
      <c r="AT289" s="1146"/>
      <c r="AU289" s="1146"/>
      <c r="AV289" s="1146"/>
      <c r="AW289" s="1146"/>
      <c r="AX289" s="1146"/>
    </row>
    <row r="290" spans="1:50" s="1148" customFormat="1" ht="28.5" customHeight="1">
      <c r="A290" s="1132">
        <f>_xlfn.AGGREGATE(4,7,A$17:A289)+1</f>
        <v>273</v>
      </c>
      <c r="B290" s="378" t="s">
        <v>2043</v>
      </c>
      <c r="C290" s="1497"/>
      <c r="D290" s="1498"/>
      <c r="E290" s="1058" t="str">
        <f>VLOOKUP(B290,TH.T6!B202:J532,9,FALSE)</f>
        <v xml:space="preserve">NV Bảo vệ </v>
      </c>
      <c r="F290" s="1499"/>
      <c r="G290" s="1500"/>
      <c r="H290" s="1501"/>
      <c r="I290" s="1502"/>
      <c r="J290" s="1503"/>
      <c r="K290" s="1500"/>
      <c r="L290" s="1501"/>
      <c r="M290" s="1502"/>
      <c r="N290" s="1503"/>
      <c r="O290" s="1500"/>
      <c r="P290" s="1504"/>
      <c r="Q290" s="1505"/>
      <c r="R290" s="1505"/>
      <c r="S290" s="1505"/>
      <c r="T290" s="1505"/>
      <c r="U290" s="1505"/>
      <c r="V290" s="1505"/>
      <c r="W290" s="1505"/>
      <c r="X290" s="1505"/>
      <c r="Y290" s="1505"/>
      <c r="Z290" s="1505"/>
      <c r="AA290" s="1506"/>
      <c r="AB290" s="1506"/>
      <c r="AC290" s="1506"/>
      <c r="AD290" s="1507"/>
      <c r="AE290" s="1508">
        <v>10242777.962962963</v>
      </c>
      <c r="AF290" s="1519">
        <f t="shared" si="54"/>
        <v>4.3772555397277619</v>
      </c>
      <c r="AG290" s="1224">
        <v>2340000</v>
      </c>
      <c r="AH290" s="1521">
        <f t="shared" si="55"/>
        <v>10242777.962962963</v>
      </c>
      <c r="AI290" s="1142">
        <f t="shared" si="66"/>
        <v>273</v>
      </c>
      <c r="AJ290" s="1143"/>
      <c r="AK290" s="1144"/>
      <c r="AL290" s="1130"/>
      <c r="AM290" s="1146"/>
      <c r="AN290" s="1147"/>
      <c r="AO290" s="1146"/>
      <c r="AP290" s="1146"/>
      <c r="AQ290" s="1146"/>
      <c r="AR290" s="1146"/>
      <c r="AS290" s="1146"/>
      <c r="AT290" s="1146"/>
      <c r="AU290" s="1146"/>
      <c r="AV290" s="1146"/>
      <c r="AW290" s="1146"/>
      <c r="AX290" s="1146"/>
    </row>
    <row r="291" spans="1:50" s="1148" customFormat="1" ht="28.5" customHeight="1">
      <c r="A291" s="1132">
        <f>_xlfn.AGGREGATE(4,7,A$17:A290)+1</f>
        <v>274</v>
      </c>
      <c r="B291" s="378" t="s">
        <v>2046</v>
      </c>
      <c r="C291" s="1497"/>
      <c r="D291" s="1498"/>
      <c r="E291" s="1058" t="str">
        <f>VLOOKUP(B291,TH.T6!B203:J533,9,FALSE)</f>
        <v>NV Bảo vệ</v>
      </c>
      <c r="F291" s="1499"/>
      <c r="G291" s="1500"/>
      <c r="H291" s="1501"/>
      <c r="I291" s="1502"/>
      <c r="J291" s="1503"/>
      <c r="K291" s="1500"/>
      <c r="L291" s="1501"/>
      <c r="M291" s="1502"/>
      <c r="N291" s="1503"/>
      <c r="O291" s="1500"/>
      <c r="P291" s="1504"/>
      <c r="Q291" s="1505"/>
      <c r="R291" s="1505"/>
      <c r="S291" s="1505"/>
      <c r="T291" s="1505"/>
      <c r="U291" s="1505"/>
      <c r="V291" s="1505"/>
      <c r="W291" s="1505"/>
      <c r="X291" s="1505"/>
      <c r="Y291" s="1505"/>
      <c r="Z291" s="1505"/>
      <c r="AA291" s="1506"/>
      <c r="AB291" s="1506"/>
      <c r="AC291" s="1506"/>
      <c r="AD291" s="1507"/>
      <c r="AE291" s="1508">
        <v>7533125</v>
      </c>
      <c r="AF291" s="1519">
        <f t="shared" si="54"/>
        <v>3.2192841880341883</v>
      </c>
      <c r="AG291" s="1224">
        <v>2340000</v>
      </c>
      <c r="AH291" s="1521">
        <f t="shared" si="55"/>
        <v>7533125.0000000009</v>
      </c>
      <c r="AI291" s="1142">
        <f t="shared" si="66"/>
        <v>274</v>
      </c>
      <c r="AJ291" s="1143"/>
      <c r="AK291" s="1144"/>
      <c r="AL291" s="1130"/>
      <c r="AM291" s="1146"/>
      <c r="AN291" s="1147"/>
      <c r="AO291" s="1146"/>
      <c r="AP291" s="1146"/>
      <c r="AQ291" s="1146"/>
      <c r="AR291" s="1146"/>
      <c r="AS291" s="1146"/>
      <c r="AT291" s="1146"/>
      <c r="AU291" s="1146"/>
      <c r="AV291" s="1146"/>
      <c r="AW291" s="1146"/>
      <c r="AX291" s="1146"/>
    </row>
    <row r="292" spans="1:50" s="1148" customFormat="1" ht="28.5" customHeight="1">
      <c r="A292" s="1132">
        <f>_xlfn.AGGREGATE(4,7,A$17:A291)+1</f>
        <v>275</v>
      </c>
      <c r="B292" s="378" t="s">
        <v>2049</v>
      </c>
      <c r="C292" s="1497"/>
      <c r="D292" s="1498"/>
      <c r="E292" s="1058" t="str">
        <f>VLOOKUP(B292,TH.T6!B204:J534,9,FALSE)</f>
        <v>NV Bảo vệ</v>
      </c>
      <c r="F292" s="1499"/>
      <c r="G292" s="1500"/>
      <c r="H292" s="1501"/>
      <c r="I292" s="1502"/>
      <c r="J292" s="1503"/>
      <c r="K292" s="1500"/>
      <c r="L292" s="1501"/>
      <c r="M292" s="1502"/>
      <c r="N292" s="1503"/>
      <c r="O292" s="1500"/>
      <c r="P292" s="1504"/>
      <c r="Q292" s="1505"/>
      <c r="R292" s="1505"/>
      <c r="S292" s="1505"/>
      <c r="T292" s="1505"/>
      <c r="U292" s="1505"/>
      <c r="V292" s="1505"/>
      <c r="W292" s="1505"/>
      <c r="X292" s="1505"/>
      <c r="Y292" s="1505"/>
      <c r="Z292" s="1505"/>
      <c r="AA292" s="1506"/>
      <c r="AB292" s="1506"/>
      <c r="AC292" s="1506"/>
      <c r="AD292" s="1507"/>
      <c r="AE292" s="1508">
        <v>7976250</v>
      </c>
      <c r="AF292" s="1519">
        <f t="shared" si="54"/>
        <v>3.4086538461538463</v>
      </c>
      <c r="AG292" s="1224">
        <v>2340000</v>
      </c>
      <c r="AH292" s="1521">
        <f t="shared" si="55"/>
        <v>7976250</v>
      </c>
      <c r="AI292" s="1142">
        <f t="shared" si="66"/>
        <v>275</v>
      </c>
      <c r="AJ292" s="1143"/>
      <c r="AK292" s="1144"/>
      <c r="AL292" s="1130"/>
      <c r="AM292" s="1146"/>
      <c r="AN292" s="1147"/>
      <c r="AO292" s="1146"/>
      <c r="AP292" s="1146"/>
      <c r="AQ292" s="1146"/>
      <c r="AR292" s="1146"/>
      <c r="AS292" s="1146"/>
      <c r="AT292" s="1146"/>
      <c r="AU292" s="1146"/>
      <c r="AV292" s="1146"/>
      <c r="AW292" s="1146"/>
      <c r="AX292" s="1146"/>
    </row>
    <row r="293" spans="1:50" s="1148" customFormat="1" ht="28.5" customHeight="1">
      <c r="A293" s="1132">
        <f>_xlfn.AGGREGATE(4,7,A$17:A292)+1</f>
        <v>276</v>
      </c>
      <c r="B293" s="378" t="s">
        <v>2052</v>
      </c>
      <c r="C293" s="1497"/>
      <c r="D293" s="1498"/>
      <c r="E293" s="1058" t="str">
        <f>VLOOKUP(B293,TH.T6!B205:J535,9,FALSE)</f>
        <v>NV Bảo vệ</v>
      </c>
      <c r="F293" s="1499"/>
      <c r="G293" s="1500"/>
      <c r="H293" s="1501"/>
      <c r="I293" s="1502"/>
      <c r="J293" s="1503"/>
      <c r="K293" s="1500"/>
      <c r="L293" s="1501"/>
      <c r="M293" s="1502"/>
      <c r="N293" s="1503"/>
      <c r="O293" s="1500"/>
      <c r="P293" s="1504"/>
      <c r="Q293" s="1505"/>
      <c r="R293" s="1505"/>
      <c r="S293" s="1505"/>
      <c r="T293" s="1505"/>
      <c r="U293" s="1505"/>
      <c r="V293" s="1505"/>
      <c r="W293" s="1505"/>
      <c r="X293" s="1505"/>
      <c r="Y293" s="1505"/>
      <c r="Z293" s="1505"/>
      <c r="AA293" s="1506"/>
      <c r="AB293" s="1506"/>
      <c r="AC293" s="1506"/>
      <c r="AD293" s="1507"/>
      <c r="AE293" s="1508">
        <v>10329563</v>
      </c>
      <c r="AF293" s="1519">
        <f t="shared" si="54"/>
        <v>4.4143431623931626</v>
      </c>
      <c r="AG293" s="1224">
        <v>2340000</v>
      </c>
      <c r="AH293" s="1521">
        <f t="shared" si="55"/>
        <v>10329563</v>
      </c>
      <c r="AI293" s="1142">
        <f t="shared" si="66"/>
        <v>276</v>
      </c>
      <c r="AJ293" s="1143"/>
      <c r="AK293" s="1144"/>
      <c r="AL293" s="1130"/>
      <c r="AM293" s="1146"/>
      <c r="AN293" s="1147"/>
      <c r="AO293" s="1146"/>
      <c r="AP293" s="1146"/>
      <c r="AQ293" s="1146"/>
      <c r="AR293" s="1146"/>
      <c r="AS293" s="1146"/>
      <c r="AT293" s="1146"/>
      <c r="AU293" s="1146"/>
      <c r="AV293" s="1146"/>
      <c r="AW293" s="1146"/>
      <c r="AX293" s="1146"/>
    </row>
    <row r="294" spans="1:50" s="1148" customFormat="1" ht="28.5" customHeight="1">
      <c r="A294" s="1132">
        <f>_xlfn.AGGREGATE(4,7,A$17:A293)+1</f>
        <v>277</v>
      </c>
      <c r="B294" s="378" t="s">
        <v>2053</v>
      </c>
      <c r="C294" s="1497"/>
      <c r="D294" s="1498"/>
      <c r="E294" s="1058" t="str">
        <f>VLOOKUP(B294,TH.T6!B206:J536,9,FALSE)</f>
        <v>NV Bảo vệ</v>
      </c>
      <c r="F294" s="1499"/>
      <c r="G294" s="1500"/>
      <c r="H294" s="1501"/>
      <c r="I294" s="1502"/>
      <c r="J294" s="1503"/>
      <c r="K294" s="1500"/>
      <c r="L294" s="1501"/>
      <c r="M294" s="1502"/>
      <c r="N294" s="1503"/>
      <c r="O294" s="1500"/>
      <c r="P294" s="1504"/>
      <c r="Q294" s="1505"/>
      <c r="R294" s="1505"/>
      <c r="S294" s="1505"/>
      <c r="T294" s="1505"/>
      <c r="U294" s="1505"/>
      <c r="V294" s="1505"/>
      <c r="W294" s="1505"/>
      <c r="X294" s="1505"/>
      <c r="Y294" s="1505"/>
      <c r="Z294" s="1505"/>
      <c r="AA294" s="1506"/>
      <c r="AB294" s="1506"/>
      <c r="AC294" s="1506"/>
      <c r="AD294" s="1507"/>
      <c r="AE294" s="1508">
        <v>5998779.9331103675</v>
      </c>
      <c r="AF294" s="1519">
        <f t="shared" si="54"/>
        <v>2.5635811679958835</v>
      </c>
      <c r="AG294" s="1224">
        <v>2340000</v>
      </c>
      <c r="AH294" s="1521">
        <f t="shared" si="55"/>
        <v>5998779.9331103675</v>
      </c>
      <c r="AI294" s="1142">
        <f t="shared" si="66"/>
        <v>277</v>
      </c>
      <c r="AJ294" s="1143"/>
      <c r="AK294" s="1144"/>
      <c r="AL294" s="1130"/>
      <c r="AM294" s="1146"/>
      <c r="AN294" s="1147"/>
      <c r="AO294" s="1146"/>
      <c r="AP294" s="1146"/>
      <c r="AQ294" s="1146"/>
      <c r="AR294" s="1146"/>
      <c r="AS294" s="1146"/>
      <c r="AT294" s="1146"/>
      <c r="AU294" s="1146"/>
      <c r="AV294" s="1146"/>
      <c r="AW294" s="1146"/>
      <c r="AX294" s="1146"/>
    </row>
    <row r="295" spans="1:50" s="1148" customFormat="1" ht="28.5" customHeight="1">
      <c r="A295" s="1132">
        <f>_xlfn.AGGREGATE(4,7,A$17:A294)+1</f>
        <v>278</v>
      </c>
      <c r="B295" s="378" t="s">
        <v>2054</v>
      </c>
      <c r="C295" s="1497"/>
      <c r="D295" s="1498"/>
      <c r="E295" s="1058" t="str">
        <f>VLOOKUP(B295,TH.T6!B207:J537,9,FALSE)</f>
        <v>NV Lái xe</v>
      </c>
      <c r="F295" s="1499"/>
      <c r="G295" s="1500"/>
      <c r="H295" s="1501"/>
      <c r="I295" s="1502"/>
      <c r="J295" s="1503"/>
      <c r="K295" s="1500"/>
      <c r="L295" s="1501"/>
      <c r="M295" s="1502"/>
      <c r="N295" s="1503"/>
      <c r="O295" s="1500"/>
      <c r="P295" s="1504"/>
      <c r="Q295" s="1505"/>
      <c r="R295" s="1505"/>
      <c r="S295" s="1505"/>
      <c r="T295" s="1505"/>
      <c r="U295" s="1505"/>
      <c r="V295" s="1505"/>
      <c r="W295" s="1505"/>
      <c r="X295" s="1505"/>
      <c r="Y295" s="1505"/>
      <c r="Z295" s="1505"/>
      <c r="AA295" s="1506"/>
      <c r="AB295" s="1506"/>
      <c r="AC295" s="1506"/>
      <c r="AD295" s="1507"/>
      <c r="AE295" s="1508">
        <v>11832403.555555556</v>
      </c>
      <c r="AF295" s="1519">
        <f t="shared" si="54"/>
        <v>5.056582716049383</v>
      </c>
      <c r="AG295" s="1224">
        <v>2340000</v>
      </c>
      <c r="AH295" s="1521">
        <f t="shared" si="55"/>
        <v>11832403.555555556</v>
      </c>
      <c r="AI295" s="1142">
        <f t="shared" si="66"/>
        <v>278</v>
      </c>
      <c r="AJ295" s="1143"/>
      <c r="AK295" s="1144"/>
      <c r="AL295" s="1130"/>
      <c r="AM295" s="1146"/>
      <c r="AN295" s="1147"/>
      <c r="AO295" s="1146"/>
      <c r="AP295" s="1146"/>
      <c r="AQ295" s="1146"/>
      <c r="AR295" s="1146"/>
      <c r="AS295" s="1146"/>
      <c r="AT295" s="1146"/>
      <c r="AU295" s="1146"/>
      <c r="AV295" s="1146"/>
      <c r="AW295" s="1146"/>
      <c r="AX295" s="1146"/>
    </row>
    <row r="296" spans="1:50" s="1148" customFormat="1" ht="28.5" customHeight="1">
      <c r="A296" s="1132">
        <f>_xlfn.AGGREGATE(4,7,A$17:A295)+1</f>
        <v>279</v>
      </c>
      <c r="B296" s="378" t="s">
        <v>2055</v>
      </c>
      <c r="C296" s="1497"/>
      <c r="D296" s="1498"/>
      <c r="E296" s="1058" t="str">
        <f>VLOOKUP(B296,TH.T6!B208:J538,9,FALSE)</f>
        <v>NV Phuc vụ Phòng TC - HC - TH</v>
      </c>
      <c r="F296" s="1499"/>
      <c r="G296" s="1500"/>
      <c r="H296" s="1501"/>
      <c r="I296" s="1502"/>
      <c r="J296" s="1503"/>
      <c r="K296" s="1500"/>
      <c r="L296" s="1501"/>
      <c r="M296" s="1502"/>
      <c r="N296" s="1503"/>
      <c r="O296" s="1500"/>
      <c r="P296" s="1504"/>
      <c r="Q296" s="1505"/>
      <c r="R296" s="1505"/>
      <c r="S296" s="1505"/>
      <c r="T296" s="1505"/>
      <c r="U296" s="1505"/>
      <c r="V296" s="1505"/>
      <c r="W296" s="1505"/>
      <c r="X296" s="1505"/>
      <c r="Y296" s="1505"/>
      <c r="Z296" s="1505"/>
      <c r="AA296" s="1506"/>
      <c r="AB296" s="1506"/>
      <c r="AC296" s="1506"/>
      <c r="AD296" s="1507"/>
      <c r="AE296" s="1508">
        <v>8318150.2608695654</v>
      </c>
      <c r="AF296" s="1519">
        <f t="shared" si="54"/>
        <v>3.5547650687476775</v>
      </c>
      <c r="AG296" s="1224">
        <v>2340000</v>
      </c>
      <c r="AH296" s="1521">
        <f t="shared" si="55"/>
        <v>8318150.2608695654</v>
      </c>
      <c r="AI296" s="1142">
        <f t="shared" si="66"/>
        <v>279</v>
      </c>
      <c r="AJ296" s="1143"/>
      <c r="AK296" s="1144"/>
      <c r="AL296" s="1130"/>
      <c r="AM296" s="1146"/>
      <c r="AN296" s="1147"/>
      <c r="AO296" s="1146"/>
      <c r="AP296" s="1146"/>
      <c r="AQ296" s="1146"/>
      <c r="AR296" s="1146"/>
      <c r="AS296" s="1146"/>
      <c r="AT296" s="1146"/>
      <c r="AU296" s="1146"/>
      <c r="AV296" s="1146"/>
      <c r="AW296" s="1146"/>
      <c r="AX296" s="1146"/>
    </row>
    <row r="297" spans="1:50" s="1148" customFormat="1" ht="28.5" customHeight="1">
      <c r="A297" s="1132">
        <f>_xlfn.AGGREGATE(4,7,A$17:A296)+1</f>
        <v>280</v>
      </c>
      <c r="B297" s="378" t="s">
        <v>2056</v>
      </c>
      <c r="C297" s="1497"/>
      <c r="D297" s="1498"/>
      <c r="E297" s="1058" t="str">
        <f>VLOOKUP(B297,TH.T6!B209:J539,9,FALSE)</f>
        <v>Nhân viên phòng Thanh tra GD - Công tác SV</v>
      </c>
      <c r="F297" s="1499"/>
      <c r="G297" s="1500"/>
      <c r="H297" s="1501"/>
      <c r="I297" s="1502"/>
      <c r="J297" s="1503"/>
      <c r="K297" s="1500"/>
      <c r="L297" s="1501"/>
      <c r="M297" s="1502"/>
      <c r="N297" s="1503"/>
      <c r="O297" s="1500"/>
      <c r="P297" s="1504"/>
      <c r="Q297" s="1505"/>
      <c r="R297" s="1505"/>
      <c r="S297" s="1505"/>
      <c r="T297" s="1505"/>
      <c r="U297" s="1505"/>
      <c r="V297" s="1505"/>
      <c r="W297" s="1505"/>
      <c r="X297" s="1505"/>
      <c r="Y297" s="1505"/>
      <c r="Z297" s="1505"/>
      <c r="AA297" s="1506"/>
      <c r="AB297" s="1506"/>
      <c r="AC297" s="1506"/>
      <c r="AD297" s="1507"/>
      <c r="AE297" s="1508">
        <v>8574212.777777778</v>
      </c>
      <c r="AF297" s="1519">
        <f t="shared" si="54"/>
        <v>3.664193494776828</v>
      </c>
      <c r="AG297" s="1224">
        <v>2340000</v>
      </c>
      <c r="AH297" s="1521">
        <f t="shared" si="55"/>
        <v>8574212.777777778</v>
      </c>
      <c r="AI297" s="1142">
        <f t="shared" si="66"/>
        <v>280</v>
      </c>
      <c r="AJ297" s="1143"/>
      <c r="AK297" s="1144"/>
      <c r="AL297" s="1130"/>
      <c r="AM297" s="1146"/>
      <c r="AN297" s="1147"/>
      <c r="AO297" s="1146"/>
      <c r="AP297" s="1146"/>
      <c r="AQ297" s="1146"/>
      <c r="AR297" s="1146"/>
      <c r="AS297" s="1146"/>
      <c r="AT297" s="1146"/>
      <c r="AU297" s="1146"/>
      <c r="AV297" s="1146"/>
      <c r="AW297" s="1146"/>
      <c r="AX297" s="1146"/>
    </row>
    <row r="298" spans="1:50" s="1148" customFormat="1" ht="28.5" customHeight="1">
      <c r="A298" s="1132">
        <f>_xlfn.AGGREGATE(4,7,A$17:A297)+1</f>
        <v>281</v>
      </c>
      <c r="B298" s="378" t="s">
        <v>2057</v>
      </c>
      <c r="C298" s="1497"/>
      <c r="D298" s="1498"/>
      <c r="E298" s="1058" t="str">
        <f>VLOOKUP(B298,TH.T6!B210:J540,9,FALSE)</f>
        <v>NV Phòng Tổ chức - Hành chính - Tổng hợp</v>
      </c>
      <c r="F298" s="1499"/>
      <c r="G298" s="1500"/>
      <c r="H298" s="1501"/>
      <c r="I298" s="1502"/>
      <c r="J298" s="1503"/>
      <c r="K298" s="1500"/>
      <c r="L298" s="1501"/>
      <c r="M298" s="1502"/>
      <c r="N298" s="1503"/>
      <c r="O298" s="1500"/>
      <c r="P298" s="1504"/>
      <c r="Q298" s="1505"/>
      <c r="R298" s="1505"/>
      <c r="S298" s="1505"/>
      <c r="T298" s="1505"/>
      <c r="U298" s="1505"/>
      <c r="V298" s="1505"/>
      <c r="W298" s="1505"/>
      <c r="X298" s="1505"/>
      <c r="Y298" s="1505"/>
      <c r="Z298" s="1505"/>
      <c r="AA298" s="1506"/>
      <c r="AB298" s="1506"/>
      <c r="AC298" s="1506"/>
      <c r="AD298" s="1507"/>
      <c r="AE298" s="1508">
        <v>15644236.518518519</v>
      </c>
      <c r="AF298" s="1519">
        <f t="shared" si="54"/>
        <v>6.6855711617600511</v>
      </c>
      <c r="AG298" s="1224">
        <v>2340000</v>
      </c>
      <c r="AH298" s="1521">
        <f t="shared" si="55"/>
        <v>15644236.518518519</v>
      </c>
      <c r="AI298" s="1142">
        <f t="shared" si="66"/>
        <v>281</v>
      </c>
      <c r="AJ298" s="1143"/>
      <c r="AK298" s="1144"/>
      <c r="AL298" s="1130"/>
      <c r="AM298" s="1146"/>
      <c r="AN298" s="1147"/>
      <c r="AO298" s="1146"/>
      <c r="AP298" s="1146"/>
      <c r="AQ298" s="1146"/>
      <c r="AR298" s="1146"/>
      <c r="AS298" s="1146"/>
      <c r="AT298" s="1146"/>
      <c r="AU298" s="1146"/>
      <c r="AV298" s="1146"/>
      <c r="AW298" s="1146"/>
      <c r="AX298" s="1146"/>
    </row>
    <row r="299" spans="1:50" s="1148" customFormat="1" ht="28.5" customHeight="1">
      <c r="A299" s="1132">
        <f>_xlfn.AGGREGATE(4,7,A$17:A298)+1</f>
        <v>282</v>
      </c>
      <c r="B299" s="378" t="s">
        <v>2059</v>
      </c>
      <c r="C299" s="1497"/>
      <c r="D299" s="1498"/>
      <c r="E299" s="1058" t="str">
        <f>VLOOKUP(B299,TH.T6!B211:J541,9,FALSE)</f>
        <v>Nhân viên bảo vệ</v>
      </c>
      <c r="F299" s="1499"/>
      <c r="G299" s="1500"/>
      <c r="H299" s="1501"/>
      <c r="I299" s="1502"/>
      <c r="J299" s="1503"/>
      <c r="K299" s="1500"/>
      <c r="L299" s="1501"/>
      <c r="M299" s="1502"/>
      <c r="N299" s="1503"/>
      <c r="O299" s="1500"/>
      <c r="P299" s="1504"/>
      <c r="Q299" s="1505"/>
      <c r="R299" s="1505"/>
      <c r="S299" s="1505"/>
      <c r="T299" s="1505"/>
      <c r="U299" s="1505"/>
      <c r="V299" s="1505"/>
      <c r="W299" s="1505"/>
      <c r="X299" s="1505"/>
      <c r="Y299" s="1505"/>
      <c r="Z299" s="1505"/>
      <c r="AA299" s="1506"/>
      <c r="AB299" s="1506"/>
      <c r="AC299" s="1506"/>
      <c r="AD299" s="1507"/>
      <c r="AE299" s="1508">
        <v>6288177.777777778</v>
      </c>
      <c r="AF299" s="1519">
        <f t="shared" si="54"/>
        <v>2.6872554605887942</v>
      </c>
      <c r="AG299" s="1224">
        <v>2340000</v>
      </c>
      <c r="AH299" s="1521">
        <f t="shared" si="55"/>
        <v>6288177.777777778</v>
      </c>
      <c r="AI299" s="1142">
        <f t="shared" si="66"/>
        <v>282</v>
      </c>
      <c r="AJ299" s="1143"/>
      <c r="AK299" s="1144"/>
      <c r="AL299" s="1130"/>
      <c r="AM299" s="1146"/>
      <c r="AN299" s="1147"/>
      <c r="AO299" s="1146"/>
      <c r="AP299" s="1146"/>
      <c r="AQ299" s="1146"/>
      <c r="AR299" s="1146"/>
      <c r="AS299" s="1146"/>
      <c r="AT299" s="1146"/>
      <c r="AU299" s="1146"/>
      <c r="AV299" s="1146"/>
      <c r="AW299" s="1146"/>
      <c r="AX299" s="1146"/>
    </row>
    <row r="300" spans="1:50" s="1148" customFormat="1" ht="28.5" customHeight="1">
      <c r="A300" s="1132">
        <f>_xlfn.AGGREGATE(4,7,A$17:A299)+1</f>
        <v>283</v>
      </c>
      <c r="B300" s="378" t="s">
        <v>2060</v>
      </c>
      <c r="C300" s="1497"/>
      <c r="D300" s="1498"/>
      <c r="E300" s="1058" t="str">
        <f>VLOOKUP(B300,TH.T6!B212:J542,9,FALSE)</f>
        <v>NV Phòng Tổ chức - Hành chính - Tổng hợp</v>
      </c>
      <c r="F300" s="1499"/>
      <c r="G300" s="1500"/>
      <c r="H300" s="1501"/>
      <c r="I300" s="1502"/>
      <c r="J300" s="1503"/>
      <c r="K300" s="1500"/>
      <c r="L300" s="1501"/>
      <c r="M300" s="1502"/>
      <c r="N300" s="1503"/>
      <c r="O300" s="1500"/>
      <c r="P300" s="1504"/>
      <c r="Q300" s="1505"/>
      <c r="R300" s="1505"/>
      <c r="S300" s="1505"/>
      <c r="T300" s="1505"/>
      <c r="U300" s="1505"/>
      <c r="V300" s="1505"/>
      <c r="W300" s="1505"/>
      <c r="X300" s="1505"/>
      <c r="Y300" s="1505"/>
      <c r="Z300" s="1505"/>
      <c r="AA300" s="1506"/>
      <c r="AB300" s="1506"/>
      <c r="AC300" s="1506"/>
      <c r="AD300" s="1507"/>
      <c r="AE300" s="1508">
        <v>16371275.468599034</v>
      </c>
      <c r="AF300" s="1519">
        <f t="shared" si="54"/>
        <v>6.9962715677773648</v>
      </c>
      <c r="AG300" s="1224">
        <v>2340000</v>
      </c>
      <c r="AH300" s="1521">
        <f t="shared" si="55"/>
        <v>16371275.468599034</v>
      </c>
      <c r="AI300" s="1142">
        <f t="shared" si="66"/>
        <v>283</v>
      </c>
      <c r="AJ300" s="1143"/>
      <c r="AK300" s="1144"/>
      <c r="AL300" s="1130"/>
      <c r="AM300" s="1146"/>
      <c r="AN300" s="1147"/>
      <c r="AO300" s="1146"/>
      <c r="AP300" s="1146"/>
      <c r="AQ300" s="1146"/>
      <c r="AR300" s="1146"/>
      <c r="AS300" s="1146"/>
      <c r="AT300" s="1146"/>
      <c r="AU300" s="1146"/>
      <c r="AV300" s="1146"/>
      <c r="AW300" s="1146"/>
      <c r="AX300" s="1146"/>
    </row>
    <row r="301" spans="1:50" s="1148" customFormat="1" ht="28.5" customHeight="1">
      <c r="A301" s="1132">
        <f>_xlfn.AGGREGATE(4,7,A$17:A300)+1</f>
        <v>284</v>
      </c>
      <c r="B301" s="588" t="s">
        <v>2062</v>
      </c>
      <c r="C301" s="1536"/>
      <c r="D301" s="1537"/>
      <c r="E301" s="579" t="str">
        <f>VLOOKUP(B301,TH.T6!B213:J543,9,FALSE)</f>
        <v>NV P. QT 
Dịch vụ</v>
      </c>
      <c r="F301" s="1538"/>
      <c r="G301" s="1539"/>
      <c r="H301" s="1540"/>
      <c r="I301" s="1541"/>
      <c r="J301" s="1542"/>
      <c r="K301" s="1539"/>
      <c r="L301" s="1540"/>
      <c r="M301" s="1541"/>
      <c r="N301" s="1542"/>
      <c r="O301" s="1539"/>
      <c r="P301" s="1543"/>
      <c r="Q301" s="1544"/>
      <c r="R301" s="1544"/>
      <c r="S301" s="1544"/>
      <c r="T301" s="1544"/>
      <c r="U301" s="1544"/>
      <c r="V301" s="1544"/>
      <c r="W301" s="1544"/>
      <c r="X301" s="1544"/>
      <c r="Y301" s="1544"/>
      <c r="Z301" s="1544"/>
      <c r="AA301" s="1545"/>
      <c r="AB301" s="1545"/>
      <c r="AC301" s="1545"/>
      <c r="AD301" s="1546"/>
      <c r="AE301" s="1547">
        <v>4070834.7407407407</v>
      </c>
      <c r="AF301" s="1548">
        <f t="shared" si="54"/>
        <v>1.7396729661285217</v>
      </c>
      <c r="AG301" s="1359">
        <v>2340000</v>
      </c>
      <c r="AH301" s="1549">
        <f t="shared" si="55"/>
        <v>4070834.7407407407</v>
      </c>
      <c r="AI301" s="1221">
        <f t="shared" si="66"/>
        <v>284</v>
      </c>
      <c r="AJ301" s="1350" t="s">
        <v>2380</v>
      </c>
      <c r="AK301" s="1144"/>
      <c r="AL301" s="1130"/>
      <c r="AM301" s="1146"/>
      <c r="AN301" s="1147"/>
      <c r="AO301" s="1146"/>
      <c r="AP301" s="1146"/>
      <c r="AQ301" s="1146"/>
      <c r="AR301" s="1146"/>
      <c r="AS301" s="1146"/>
      <c r="AT301" s="1146"/>
      <c r="AU301" s="1146"/>
      <c r="AV301" s="1146"/>
      <c r="AW301" s="1146"/>
      <c r="AX301" s="1146"/>
    </row>
    <row r="302" spans="1:50" s="1148" customFormat="1" ht="28.5" customHeight="1">
      <c r="A302" s="1132">
        <f>_xlfn.AGGREGATE(4,7,A$17:A301)+1</f>
        <v>285</v>
      </c>
      <c r="B302" s="378" t="s">
        <v>2065</v>
      </c>
      <c r="C302" s="1497"/>
      <c r="D302" s="1498"/>
      <c r="E302" s="1058" t="str">
        <f>VLOOKUP(B302,TH.T6!B214:J544,9,FALSE)</f>
        <v>NV Phòng Quản trị - Dịch vụ</v>
      </c>
      <c r="F302" s="1499"/>
      <c r="G302" s="1500"/>
      <c r="H302" s="1501"/>
      <c r="I302" s="1502"/>
      <c r="J302" s="1503"/>
      <c r="K302" s="1500"/>
      <c r="L302" s="1501"/>
      <c r="M302" s="1502"/>
      <c r="N302" s="1503"/>
      <c r="O302" s="1500"/>
      <c r="P302" s="1504"/>
      <c r="Q302" s="1505"/>
      <c r="R302" s="1505"/>
      <c r="S302" s="1505"/>
      <c r="T302" s="1505"/>
      <c r="U302" s="1505"/>
      <c r="V302" s="1505"/>
      <c r="W302" s="1505"/>
      <c r="X302" s="1505"/>
      <c r="Y302" s="1505"/>
      <c r="Z302" s="1505"/>
      <c r="AA302" s="1506"/>
      <c r="AB302" s="1506"/>
      <c r="AC302" s="1506"/>
      <c r="AD302" s="1507"/>
      <c r="AE302" s="1508">
        <v>11815962.444444444</v>
      </c>
      <c r="AF302" s="1519">
        <f t="shared" si="54"/>
        <v>5.0495566001899332</v>
      </c>
      <c r="AG302" s="1224">
        <v>2340000</v>
      </c>
      <c r="AH302" s="1521">
        <f t="shared" si="55"/>
        <v>11815962.444444444</v>
      </c>
      <c r="AI302" s="1142">
        <f t="shared" si="66"/>
        <v>285</v>
      </c>
      <c r="AJ302" s="1143"/>
      <c r="AK302" s="1144"/>
      <c r="AL302" s="1130"/>
      <c r="AM302" s="1146"/>
      <c r="AN302" s="1147"/>
      <c r="AO302" s="1146"/>
      <c r="AP302" s="1146"/>
      <c r="AQ302" s="1146"/>
      <c r="AR302" s="1146"/>
      <c r="AS302" s="1146"/>
      <c r="AT302" s="1146"/>
      <c r="AU302" s="1146"/>
      <c r="AV302" s="1146"/>
      <c r="AW302" s="1146"/>
      <c r="AX302" s="1146"/>
    </row>
    <row r="303" spans="1:50" s="1148" customFormat="1" ht="28.5" customHeight="1">
      <c r="A303" s="1132">
        <f>_xlfn.AGGREGATE(4,7,A$17:A302)+1</f>
        <v>286</v>
      </c>
      <c r="B303" s="378" t="s">
        <v>2067</v>
      </c>
      <c r="C303" s="1497"/>
      <c r="D303" s="1498"/>
      <c r="E303" s="1058" t="str">
        <f>VLOOKUP(B303,TH.T6!B215:J545,9,FALSE)</f>
        <v>NV bảo trì</v>
      </c>
      <c r="F303" s="1499"/>
      <c r="G303" s="1500"/>
      <c r="H303" s="1501"/>
      <c r="I303" s="1502"/>
      <c r="J303" s="1503"/>
      <c r="K303" s="1500"/>
      <c r="L303" s="1501"/>
      <c r="M303" s="1502"/>
      <c r="N303" s="1503"/>
      <c r="O303" s="1500"/>
      <c r="P303" s="1504"/>
      <c r="Q303" s="1505"/>
      <c r="R303" s="1505"/>
      <c r="S303" s="1505"/>
      <c r="T303" s="1505"/>
      <c r="U303" s="1505"/>
      <c r="V303" s="1505"/>
      <c r="W303" s="1505"/>
      <c r="X303" s="1505"/>
      <c r="Y303" s="1505"/>
      <c r="Z303" s="1505"/>
      <c r="AA303" s="1506"/>
      <c r="AB303" s="1506"/>
      <c r="AC303" s="1506"/>
      <c r="AD303" s="1507"/>
      <c r="AE303" s="1508">
        <v>17517861.407407407</v>
      </c>
      <c r="AF303" s="1519">
        <f t="shared" si="54"/>
        <v>7.4862655587211142</v>
      </c>
      <c r="AG303" s="1224">
        <v>2340000</v>
      </c>
      <c r="AH303" s="1521">
        <f t="shared" si="55"/>
        <v>17517861.407407407</v>
      </c>
      <c r="AI303" s="1142">
        <f t="shared" si="66"/>
        <v>286</v>
      </c>
      <c r="AJ303" s="1143"/>
      <c r="AK303" s="1144"/>
      <c r="AL303" s="1130"/>
      <c r="AM303" s="1146"/>
      <c r="AN303" s="1147"/>
      <c r="AO303" s="1146"/>
      <c r="AP303" s="1146"/>
      <c r="AQ303" s="1146"/>
      <c r="AR303" s="1146"/>
      <c r="AS303" s="1146"/>
      <c r="AT303" s="1146"/>
      <c r="AU303" s="1146"/>
      <c r="AV303" s="1146"/>
      <c r="AW303" s="1146"/>
      <c r="AX303" s="1146"/>
    </row>
    <row r="304" spans="1:50" s="1148" customFormat="1" ht="28.5" customHeight="1">
      <c r="A304" s="1132">
        <f>_xlfn.AGGREGATE(4,7,A$17:A303)+1</f>
        <v>287</v>
      </c>
      <c r="B304" s="378" t="s">
        <v>2069</v>
      </c>
      <c r="C304" s="1497"/>
      <c r="D304" s="1498"/>
      <c r="E304" s="1058" t="str">
        <f>VLOOKUP(B304,TH.T6!B216:J546,9,FALSE)</f>
        <v>NV P. QT 
Dịch vụ</v>
      </c>
      <c r="F304" s="1499"/>
      <c r="G304" s="1500"/>
      <c r="H304" s="1501"/>
      <c r="I304" s="1502"/>
      <c r="J304" s="1503"/>
      <c r="K304" s="1500"/>
      <c r="L304" s="1501"/>
      <c r="M304" s="1502"/>
      <c r="N304" s="1503"/>
      <c r="O304" s="1500"/>
      <c r="P304" s="1504"/>
      <c r="Q304" s="1505"/>
      <c r="R304" s="1505"/>
      <c r="S304" s="1505"/>
      <c r="T304" s="1505"/>
      <c r="U304" s="1505"/>
      <c r="V304" s="1505"/>
      <c r="W304" s="1505"/>
      <c r="X304" s="1505"/>
      <c r="Y304" s="1505"/>
      <c r="Z304" s="1505"/>
      <c r="AA304" s="1506"/>
      <c r="AB304" s="1506"/>
      <c r="AC304" s="1506"/>
      <c r="AD304" s="1507"/>
      <c r="AE304" s="1508">
        <v>12612560.185185185</v>
      </c>
      <c r="AF304" s="1519">
        <f t="shared" si="54"/>
        <v>5.3899829851218737</v>
      </c>
      <c r="AG304" s="1224">
        <v>2340000</v>
      </c>
      <c r="AH304" s="1521">
        <f t="shared" si="55"/>
        <v>12612560.185185185</v>
      </c>
      <c r="AI304" s="1142">
        <f t="shared" si="66"/>
        <v>287</v>
      </c>
      <c r="AJ304" s="1143"/>
      <c r="AK304" s="1144"/>
      <c r="AL304" s="1130"/>
      <c r="AM304" s="1146"/>
      <c r="AN304" s="1147"/>
      <c r="AO304" s="1146"/>
      <c r="AP304" s="1146"/>
      <c r="AQ304" s="1146"/>
      <c r="AR304" s="1146"/>
      <c r="AS304" s="1146"/>
      <c r="AT304" s="1146"/>
      <c r="AU304" s="1146"/>
      <c r="AV304" s="1146"/>
      <c r="AW304" s="1146"/>
      <c r="AX304" s="1146"/>
    </row>
    <row r="305" spans="1:50" s="1148" customFormat="1" ht="28.5" customHeight="1">
      <c r="A305" s="1132">
        <f>_xlfn.AGGREGATE(4,7,A$17:A304)+1</f>
        <v>288</v>
      </c>
      <c r="B305" s="378" t="s">
        <v>2073</v>
      </c>
      <c r="C305" s="1497"/>
      <c r="D305" s="1498"/>
      <c r="E305" s="1058" t="str">
        <f>VLOOKUP(B305,TH.T6!B217:J547,9,FALSE)</f>
        <v>NV P. QT 
Dịch vụ</v>
      </c>
      <c r="F305" s="1499"/>
      <c r="G305" s="1500"/>
      <c r="H305" s="1501"/>
      <c r="I305" s="1502"/>
      <c r="J305" s="1503"/>
      <c r="K305" s="1500"/>
      <c r="L305" s="1501"/>
      <c r="M305" s="1502"/>
      <c r="N305" s="1503"/>
      <c r="O305" s="1500"/>
      <c r="P305" s="1504"/>
      <c r="Q305" s="1505"/>
      <c r="R305" s="1505"/>
      <c r="S305" s="1505"/>
      <c r="T305" s="1505"/>
      <c r="U305" s="1505"/>
      <c r="V305" s="1505"/>
      <c r="W305" s="1505"/>
      <c r="X305" s="1505"/>
      <c r="Y305" s="1505"/>
      <c r="Z305" s="1505"/>
      <c r="AA305" s="1506"/>
      <c r="AB305" s="1506"/>
      <c r="AC305" s="1506"/>
      <c r="AD305" s="1507"/>
      <c r="AE305" s="1508">
        <v>11253298.666666668</v>
      </c>
      <c r="AF305" s="1519">
        <f t="shared" si="54"/>
        <v>4.8091019943019946</v>
      </c>
      <c r="AG305" s="1224">
        <v>2340000</v>
      </c>
      <c r="AH305" s="1521">
        <f t="shared" si="55"/>
        <v>11253298.666666668</v>
      </c>
      <c r="AI305" s="1142">
        <f t="shared" si="66"/>
        <v>288</v>
      </c>
      <c r="AJ305" s="1143"/>
      <c r="AK305" s="1144"/>
      <c r="AL305" s="1130"/>
      <c r="AM305" s="1146"/>
      <c r="AN305" s="1147"/>
      <c r="AO305" s="1146"/>
      <c r="AP305" s="1146"/>
      <c r="AQ305" s="1146"/>
      <c r="AR305" s="1146"/>
      <c r="AS305" s="1146"/>
      <c r="AT305" s="1146"/>
      <c r="AU305" s="1146"/>
      <c r="AV305" s="1146"/>
      <c r="AW305" s="1146"/>
      <c r="AX305" s="1146"/>
    </row>
    <row r="306" spans="1:50" s="1148" customFormat="1" ht="28.5" customHeight="1">
      <c r="A306" s="1132">
        <f>_xlfn.AGGREGATE(4,7,A$17:A305)+1</f>
        <v>289</v>
      </c>
      <c r="B306" s="378" t="s">
        <v>2075</v>
      </c>
      <c r="C306" s="1497"/>
      <c r="D306" s="1498"/>
      <c r="E306" s="1058" t="str">
        <f>VLOOKUP(B306,TH.T6!B218:J548,9,FALSE)</f>
        <v>NV Phục vụ</v>
      </c>
      <c r="F306" s="1499"/>
      <c r="G306" s="1500"/>
      <c r="H306" s="1501"/>
      <c r="I306" s="1502"/>
      <c r="J306" s="1503"/>
      <c r="K306" s="1500"/>
      <c r="L306" s="1501"/>
      <c r="M306" s="1502"/>
      <c r="N306" s="1503"/>
      <c r="O306" s="1500"/>
      <c r="P306" s="1504"/>
      <c r="Q306" s="1505"/>
      <c r="R306" s="1505"/>
      <c r="S306" s="1505"/>
      <c r="T306" s="1505"/>
      <c r="U306" s="1505"/>
      <c r="V306" s="1505"/>
      <c r="W306" s="1505"/>
      <c r="X306" s="1505"/>
      <c r="Y306" s="1505"/>
      <c r="Z306" s="1505"/>
      <c r="AA306" s="1506"/>
      <c r="AB306" s="1506"/>
      <c r="AC306" s="1506"/>
      <c r="AD306" s="1507"/>
      <c r="AE306" s="1508">
        <v>11348747.259259259</v>
      </c>
      <c r="AF306" s="1519">
        <f t="shared" si="54"/>
        <v>4.8498919911364355</v>
      </c>
      <c r="AG306" s="1224">
        <v>2340000</v>
      </c>
      <c r="AH306" s="1521">
        <f t="shared" si="55"/>
        <v>11348747.259259259</v>
      </c>
      <c r="AI306" s="1142">
        <f t="shared" si="66"/>
        <v>289</v>
      </c>
      <c r="AJ306" s="1143"/>
      <c r="AK306" s="1144"/>
      <c r="AL306" s="1130"/>
      <c r="AM306" s="1146"/>
      <c r="AN306" s="1147"/>
      <c r="AO306" s="1146"/>
      <c r="AP306" s="1146"/>
      <c r="AQ306" s="1146"/>
      <c r="AR306" s="1146"/>
      <c r="AS306" s="1146"/>
      <c r="AT306" s="1146"/>
      <c r="AU306" s="1146"/>
      <c r="AV306" s="1146"/>
      <c r="AW306" s="1146"/>
      <c r="AX306" s="1146"/>
    </row>
    <row r="307" spans="1:50" s="1148" customFormat="1" ht="28.5" customHeight="1">
      <c r="A307" s="1132">
        <f>_xlfn.AGGREGATE(4,7,A$17:A306)+1</f>
        <v>290</v>
      </c>
      <c r="B307" s="378" t="s">
        <v>2077</v>
      </c>
      <c r="C307" s="1497"/>
      <c r="D307" s="1498"/>
      <c r="E307" s="1058" t="str">
        <f>VLOOKUP(B307,TH.T6!B219:J549,9,FALSE)</f>
        <v>NV Phục vụ</v>
      </c>
      <c r="F307" s="1499"/>
      <c r="G307" s="1500"/>
      <c r="H307" s="1501"/>
      <c r="I307" s="1502"/>
      <c r="J307" s="1503"/>
      <c r="K307" s="1500"/>
      <c r="L307" s="1501"/>
      <c r="M307" s="1502"/>
      <c r="N307" s="1503"/>
      <c r="O307" s="1500"/>
      <c r="P307" s="1504"/>
      <c r="Q307" s="1505"/>
      <c r="R307" s="1505"/>
      <c r="S307" s="1505"/>
      <c r="T307" s="1505"/>
      <c r="U307" s="1505"/>
      <c r="V307" s="1505"/>
      <c r="W307" s="1505"/>
      <c r="X307" s="1505"/>
      <c r="Y307" s="1505"/>
      <c r="Z307" s="1505"/>
      <c r="AA307" s="1506"/>
      <c r="AB307" s="1506"/>
      <c r="AC307" s="1506"/>
      <c r="AD307" s="1507"/>
      <c r="AE307" s="1508">
        <v>7017780</v>
      </c>
      <c r="AF307" s="1519">
        <f t="shared" si="54"/>
        <v>2.999051282051282</v>
      </c>
      <c r="AG307" s="1224">
        <v>2340000</v>
      </c>
      <c r="AH307" s="1521">
        <f t="shared" si="55"/>
        <v>7017780</v>
      </c>
      <c r="AI307" s="1142">
        <f t="shared" si="66"/>
        <v>290</v>
      </c>
      <c r="AJ307" s="1143"/>
      <c r="AK307" s="1144"/>
      <c r="AL307" s="1130"/>
      <c r="AM307" s="1146"/>
      <c r="AN307" s="1147"/>
      <c r="AO307" s="1146"/>
      <c r="AP307" s="1146"/>
      <c r="AQ307" s="1146"/>
      <c r="AR307" s="1146"/>
      <c r="AS307" s="1146"/>
      <c r="AT307" s="1146"/>
      <c r="AU307" s="1146"/>
      <c r="AV307" s="1146"/>
      <c r="AW307" s="1146"/>
      <c r="AX307" s="1146"/>
    </row>
    <row r="308" spans="1:50" s="1148" customFormat="1" ht="28.5" customHeight="1">
      <c r="A308" s="1132">
        <f>_xlfn.AGGREGATE(4,7,A$17:A307)+1</f>
        <v>291</v>
      </c>
      <c r="B308" s="378" t="s">
        <v>2080</v>
      </c>
      <c r="C308" s="1497"/>
      <c r="D308" s="1498"/>
      <c r="E308" s="1058" t="str">
        <f>VLOOKUP(B308,TH.T6!B220:J550,9,FALSE)</f>
        <v>NV Phục vụ</v>
      </c>
      <c r="F308" s="1499"/>
      <c r="G308" s="1500"/>
      <c r="H308" s="1501"/>
      <c r="I308" s="1502"/>
      <c r="J308" s="1503"/>
      <c r="K308" s="1500"/>
      <c r="L308" s="1501"/>
      <c r="M308" s="1502"/>
      <c r="N308" s="1503"/>
      <c r="O308" s="1500"/>
      <c r="P308" s="1504"/>
      <c r="Q308" s="1505"/>
      <c r="R308" s="1505"/>
      <c r="S308" s="1505"/>
      <c r="T308" s="1505"/>
      <c r="U308" s="1505"/>
      <c r="V308" s="1505"/>
      <c r="W308" s="1505"/>
      <c r="X308" s="1505"/>
      <c r="Y308" s="1505"/>
      <c r="Z308" s="1505"/>
      <c r="AA308" s="1506"/>
      <c r="AB308" s="1506"/>
      <c r="AC308" s="1506"/>
      <c r="AD308" s="1507"/>
      <c r="AE308" s="1508">
        <v>7272972</v>
      </c>
      <c r="AF308" s="1519">
        <f t="shared" si="54"/>
        <v>3.1081076923076925</v>
      </c>
      <c r="AG308" s="1224">
        <v>2340000</v>
      </c>
      <c r="AH308" s="1521">
        <f t="shared" si="55"/>
        <v>7272972</v>
      </c>
      <c r="AI308" s="1142">
        <f t="shared" si="66"/>
        <v>291</v>
      </c>
      <c r="AJ308" s="1143"/>
      <c r="AK308" s="1144"/>
      <c r="AL308" s="1130"/>
      <c r="AM308" s="1146"/>
      <c r="AN308" s="1147"/>
      <c r="AO308" s="1146"/>
      <c r="AP308" s="1146"/>
      <c r="AQ308" s="1146"/>
      <c r="AR308" s="1146"/>
      <c r="AS308" s="1146"/>
      <c r="AT308" s="1146"/>
      <c r="AU308" s="1146"/>
      <c r="AV308" s="1146"/>
      <c r="AW308" s="1146"/>
      <c r="AX308" s="1146"/>
    </row>
    <row r="309" spans="1:50" s="1148" customFormat="1" ht="28.5" customHeight="1">
      <c r="A309" s="1132">
        <f>_xlfn.AGGREGATE(4,7,A$17:A308)+1</f>
        <v>292</v>
      </c>
      <c r="B309" s="378" t="s">
        <v>2082</v>
      </c>
      <c r="C309" s="1497"/>
      <c r="D309" s="1498"/>
      <c r="E309" s="1058" t="str">
        <f>VLOOKUP(B309,TH.T6!B221:J551,9,FALSE)</f>
        <v>NV Phục vụ</v>
      </c>
      <c r="F309" s="1499"/>
      <c r="G309" s="1500"/>
      <c r="H309" s="1501"/>
      <c r="I309" s="1502"/>
      <c r="J309" s="1503"/>
      <c r="K309" s="1500"/>
      <c r="L309" s="1501"/>
      <c r="M309" s="1502"/>
      <c r="N309" s="1503"/>
      <c r="O309" s="1500"/>
      <c r="P309" s="1504"/>
      <c r="Q309" s="1505"/>
      <c r="R309" s="1505"/>
      <c r="S309" s="1505"/>
      <c r="T309" s="1505"/>
      <c r="U309" s="1505"/>
      <c r="V309" s="1505"/>
      <c r="W309" s="1505"/>
      <c r="X309" s="1505"/>
      <c r="Y309" s="1505"/>
      <c r="Z309" s="1505"/>
      <c r="AA309" s="1506"/>
      <c r="AB309" s="1506"/>
      <c r="AC309" s="1506"/>
      <c r="AD309" s="1507"/>
      <c r="AE309" s="1508">
        <v>6683600</v>
      </c>
      <c r="AF309" s="1519">
        <f t="shared" si="54"/>
        <v>2.856239316239316</v>
      </c>
      <c r="AG309" s="1224">
        <v>2340000</v>
      </c>
      <c r="AH309" s="1521">
        <f t="shared" si="55"/>
        <v>6683599.9999999991</v>
      </c>
      <c r="AI309" s="1142">
        <f t="shared" si="66"/>
        <v>292</v>
      </c>
      <c r="AJ309" s="1143"/>
      <c r="AK309" s="1144"/>
      <c r="AL309" s="1130"/>
      <c r="AM309" s="1146"/>
      <c r="AN309" s="1147"/>
      <c r="AO309" s="1146"/>
      <c r="AP309" s="1146"/>
      <c r="AQ309" s="1146"/>
      <c r="AR309" s="1146"/>
      <c r="AS309" s="1146"/>
      <c r="AT309" s="1146"/>
      <c r="AU309" s="1146"/>
      <c r="AV309" s="1146"/>
      <c r="AW309" s="1146"/>
      <c r="AX309" s="1146"/>
    </row>
    <row r="310" spans="1:50" s="1148" customFormat="1" ht="28.5" customHeight="1">
      <c r="A310" s="1132">
        <f>_xlfn.AGGREGATE(4,7,A$17:A309)+1</f>
        <v>293</v>
      </c>
      <c r="B310" s="378" t="s">
        <v>2084</v>
      </c>
      <c r="C310" s="1497"/>
      <c r="D310" s="1498"/>
      <c r="E310" s="1058" t="str">
        <f>VLOOKUP(B310,TH.T6!B222:J552,9,FALSE)</f>
        <v>NV Phục vụ</v>
      </c>
      <c r="F310" s="1499"/>
      <c r="G310" s="1500"/>
      <c r="H310" s="1501"/>
      <c r="I310" s="1502"/>
      <c r="J310" s="1503"/>
      <c r="K310" s="1500"/>
      <c r="L310" s="1501"/>
      <c r="M310" s="1502"/>
      <c r="N310" s="1503"/>
      <c r="O310" s="1500"/>
      <c r="P310" s="1504"/>
      <c r="Q310" s="1505"/>
      <c r="R310" s="1505"/>
      <c r="S310" s="1505"/>
      <c r="T310" s="1505"/>
      <c r="U310" s="1505"/>
      <c r="V310" s="1505"/>
      <c r="W310" s="1505"/>
      <c r="X310" s="1505"/>
      <c r="Y310" s="1505"/>
      <c r="Z310" s="1505"/>
      <c r="AA310" s="1506"/>
      <c r="AB310" s="1506"/>
      <c r="AC310" s="1506"/>
      <c r="AD310" s="1507"/>
      <c r="AE310" s="1508">
        <v>6926640</v>
      </c>
      <c r="AF310" s="1519">
        <f t="shared" si="54"/>
        <v>2.9601025641025642</v>
      </c>
      <c r="AG310" s="1224">
        <v>2340000</v>
      </c>
      <c r="AH310" s="1521">
        <f t="shared" si="55"/>
        <v>6926640</v>
      </c>
      <c r="AI310" s="1142">
        <f t="shared" si="66"/>
        <v>293</v>
      </c>
      <c r="AJ310" s="1143"/>
      <c r="AK310" s="1144"/>
      <c r="AL310" s="1130"/>
      <c r="AM310" s="1146"/>
      <c r="AN310" s="1147"/>
      <c r="AO310" s="1146"/>
      <c r="AP310" s="1146"/>
      <c r="AQ310" s="1146"/>
      <c r="AR310" s="1146"/>
      <c r="AS310" s="1146"/>
      <c r="AT310" s="1146"/>
      <c r="AU310" s="1146"/>
      <c r="AV310" s="1146"/>
      <c r="AW310" s="1146"/>
      <c r="AX310" s="1146"/>
    </row>
    <row r="311" spans="1:50" s="1148" customFormat="1" ht="28.5" customHeight="1">
      <c r="A311" s="1132">
        <f>_xlfn.AGGREGATE(4,7,A$17:A310)+1</f>
        <v>294</v>
      </c>
      <c r="B311" s="378" t="s">
        <v>2086</v>
      </c>
      <c r="C311" s="1497"/>
      <c r="D311" s="1498"/>
      <c r="E311" s="1058" t="str">
        <f>VLOOKUP(B311,TH.T6!B223:J553,9,FALSE)</f>
        <v>Nhân viên phòng Quản trị - Dịch vụ</v>
      </c>
      <c r="F311" s="1499"/>
      <c r="G311" s="1500"/>
      <c r="H311" s="1501"/>
      <c r="I311" s="1502"/>
      <c r="J311" s="1503"/>
      <c r="K311" s="1500"/>
      <c r="L311" s="1501"/>
      <c r="M311" s="1502"/>
      <c r="N311" s="1503"/>
      <c r="O311" s="1500"/>
      <c r="P311" s="1504"/>
      <c r="Q311" s="1505"/>
      <c r="R311" s="1505"/>
      <c r="S311" s="1505"/>
      <c r="T311" s="1505"/>
      <c r="U311" s="1505"/>
      <c r="V311" s="1505"/>
      <c r="W311" s="1505"/>
      <c r="X311" s="1505"/>
      <c r="Y311" s="1505"/>
      <c r="Z311" s="1505"/>
      <c r="AA311" s="1506"/>
      <c r="AB311" s="1506"/>
      <c r="AC311" s="1506"/>
      <c r="AD311" s="1507"/>
      <c r="AE311" s="1508">
        <v>5832960</v>
      </c>
      <c r="AF311" s="1519">
        <f t="shared" si="54"/>
        <v>2.4927179487179489</v>
      </c>
      <c r="AG311" s="1224">
        <v>2340000</v>
      </c>
      <c r="AH311" s="1521">
        <f t="shared" si="55"/>
        <v>5832960.0000000009</v>
      </c>
      <c r="AI311" s="1142">
        <f t="shared" si="66"/>
        <v>294</v>
      </c>
      <c r="AJ311" s="1143"/>
      <c r="AK311" s="1144"/>
      <c r="AL311" s="1130"/>
      <c r="AM311" s="1146"/>
      <c r="AN311" s="1147"/>
      <c r="AO311" s="1146"/>
      <c r="AP311" s="1146"/>
      <c r="AQ311" s="1146"/>
      <c r="AR311" s="1146"/>
      <c r="AS311" s="1146"/>
      <c r="AT311" s="1146"/>
      <c r="AU311" s="1146"/>
      <c r="AV311" s="1146"/>
      <c r="AW311" s="1146"/>
      <c r="AX311" s="1146"/>
    </row>
    <row r="312" spans="1:50" s="1148" customFormat="1" ht="28.5" customHeight="1">
      <c r="A312" s="1132">
        <f>_xlfn.AGGREGATE(4,7,A$17:A311)+1</f>
        <v>295</v>
      </c>
      <c r="B312" s="378" t="s">
        <v>2087</v>
      </c>
      <c r="C312" s="1497"/>
      <c r="D312" s="1498"/>
      <c r="E312" s="1058" t="str">
        <f>VLOOKUP(B312,TH.T6!B224:J554,9,FALSE)</f>
        <v>Nhân viên phòng Quản trị - Dịch vụ</v>
      </c>
      <c r="F312" s="1499"/>
      <c r="G312" s="1500"/>
      <c r="H312" s="1501"/>
      <c r="I312" s="1502"/>
      <c r="J312" s="1503"/>
      <c r="K312" s="1500"/>
      <c r="L312" s="1501"/>
      <c r="M312" s="1502"/>
      <c r="N312" s="1503"/>
      <c r="O312" s="1500"/>
      <c r="P312" s="1504"/>
      <c r="Q312" s="1505"/>
      <c r="R312" s="1505"/>
      <c r="S312" s="1505"/>
      <c r="T312" s="1505"/>
      <c r="U312" s="1505"/>
      <c r="V312" s="1505"/>
      <c r="W312" s="1505"/>
      <c r="X312" s="1505"/>
      <c r="Y312" s="1505"/>
      <c r="Z312" s="1505"/>
      <c r="AA312" s="1506"/>
      <c r="AB312" s="1506"/>
      <c r="AC312" s="1506"/>
      <c r="AD312" s="1507"/>
      <c r="AE312" s="1508">
        <v>5398292.307692308</v>
      </c>
      <c r="AF312" s="1519">
        <f t="shared" si="54"/>
        <v>2.3069625246548324</v>
      </c>
      <c r="AG312" s="1224">
        <v>2340000</v>
      </c>
      <c r="AH312" s="1521">
        <f t="shared" si="55"/>
        <v>5398292.307692308</v>
      </c>
      <c r="AI312" s="1142">
        <f t="shared" si="66"/>
        <v>295</v>
      </c>
      <c r="AJ312" s="1143"/>
      <c r="AK312" s="1144"/>
      <c r="AL312" s="1130"/>
      <c r="AM312" s="1146"/>
      <c r="AN312" s="1147"/>
      <c r="AO312" s="1146"/>
      <c r="AP312" s="1146"/>
      <c r="AQ312" s="1146"/>
      <c r="AR312" s="1146"/>
      <c r="AS312" s="1146"/>
      <c r="AT312" s="1146"/>
      <c r="AU312" s="1146"/>
      <c r="AV312" s="1146"/>
      <c r="AW312" s="1146"/>
      <c r="AX312" s="1146"/>
    </row>
    <row r="313" spans="1:50" s="1148" customFormat="1" ht="28.5" customHeight="1">
      <c r="A313" s="1132">
        <f>_xlfn.AGGREGATE(4,7,A$17:A312)+1</f>
        <v>296</v>
      </c>
      <c r="B313" s="378" t="s">
        <v>2245</v>
      </c>
      <c r="C313" s="1497"/>
      <c r="D313" s="1498"/>
      <c r="E313" s="1058" t="str">
        <f>VLOOKUP(B313,TH.T6!B225:J555,9,FALSE)</f>
        <v>Nhân viên phòng Quản trị - Dịch vụ</v>
      </c>
      <c r="F313" s="1499"/>
      <c r="G313" s="1500"/>
      <c r="H313" s="1501"/>
      <c r="I313" s="1502"/>
      <c r="J313" s="1503"/>
      <c r="K313" s="1500"/>
      <c r="L313" s="1501"/>
      <c r="M313" s="1502"/>
      <c r="N313" s="1503"/>
      <c r="O313" s="1500"/>
      <c r="P313" s="1504"/>
      <c r="Q313" s="1505"/>
      <c r="R313" s="1505"/>
      <c r="S313" s="1505"/>
      <c r="T313" s="1505"/>
      <c r="U313" s="1505"/>
      <c r="V313" s="1505"/>
      <c r="W313" s="1505"/>
      <c r="X313" s="1505"/>
      <c r="Y313" s="1505"/>
      <c r="Z313" s="1505"/>
      <c r="AA313" s="1506"/>
      <c r="AB313" s="1506"/>
      <c r="AC313" s="1506"/>
      <c r="AD313" s="1507"/>
      <c r="AE313" s="1508">
        <v>9974814.3589743599</v>
      </c>
      <c r="AF313" s="1519">
        <f t="shared" si="54"/>
        <v>4.2627411790488718</v>
      </c>
      <c r="AG313" s="1224">
        <v>2340000</v>
      </c>
      <c r="AH313" s="1521">
        <f t="shared" si="55"/>
        <v>9974814.3589743599</v>
      </c>
      <c r="AI313" s="1142">
        <f t="shared" si="66"/>
        <v>296</v>
      </c>
      <c r="AJ313" s="1143"/>
      <c r="AK313" s="1144"/>
      <c r="AL313" s="1130"/>
      <c r="AM313" s="1146"/>
      <c r="AN313" s="1147"/>
      <c r="AO313" s="1146"/>
      <c r="AP313" s="1146"/>
      <c r="AQ313" s="1146"/>
      <c r="AR313" s="1146"/>
      <c r="AS313" s="1146"/>
      <c r="AT313" s="1146"/>
      <c r="AU313" s="1146"/>
      <c r="AV313" s="1146"/>
      <c r="AW313" s="1146"/>
      <c r="AX313" s="1146"/>
    </row>
    <row r="314" spans="1:50" s="1148" customFormat="1" ht="28.5" customHeight="1">
      <c r="A314" s="1132">
        <f>_xlfn.AGGREGATE(4,7,A$17:A313)+1</f>
        <v>297</v>
      </c>
      <c r="B314" s="378" t="s">
        <v>2253</v>
      </c>
      <c r="C314" s="1497"/>
      <c r="D314" s="1498"/>
      <c r="E314" s="1058" t="str">
        <f>VLOOKUP(B314,TH.T6!B226:J556,9,FALSE)</f>
        <v>Nhân viên phòng Quản trị - Dịch vụ</v>
      </c>
      <c r="F314" s="1499"/>
      <c r="G314" s="1500"/>
      <c r="H314" s="1501"/>
      <c r="I314" s="1502"/>
      <c r="J314" s="1503"/>
      <c r="K314" s="1500"/>
      <c r="L314" s="1501"/>
      <c r="M314" s="1502"/>
      <c r="N314" s="1503"/>
      <c r="O314" s="1500"/>
      <c r="P314" s="1504"/>
      <c r="Q314" s="1505"/>
      <c r="R314" s="1505"/>
      <c r="S314" s="1505"/>
      <c r="T314" s="1505"/>
      <c r="U314" s="1505"/>
      <c r="V314" s="1505"/>
      <c r="W314" s="1505"/>
      <c r="X314" s="1505"/>
      <c r="Y314" s="1505"/>
      <c r="Z314" s="1505"/>
      <c r="AA314" s="1506"/>
      <c r="AB314" s="1506"/>
      <c r="AC314" s="1506"/>
      <c r="AD314" s="1507"/>
      <c r="AE314" s="1508">
        <v>7858738.461538462</v>
      </c>
      <c r="AF314" s="1519">
        <f t="shared" si="54"/>
        <v>3.3584352399737019</v>
      </c>
      <c r="AG314" s="1224">
        <v>2340000</v>
      </c>
      <c r="AH314" s="1521">
        <f t="shared" si="55"/>
        <v>7858738.461538462</v>
      </c>
      <c r="AI314" s="1142">
        <f t="shared" si="66"/>
        <v>297</v>
      </c>
      <c r="AJ314" s="1143"/>
      <c r="AK314" s="1144"/>
      <c r="AL314" s="1130"/>
      <c r="AM314" s="1146"/>
      <c r="AN314" s="1147"/>
      <c r="AO314" s="1146"/>
      <c r="AP314" s="1146"/>
      <c r="AQ314" s="1146"/>
      <c r="AR314" s="1146"/>
      <c r="AS314" s="1146"/>
      <c r="AT314" s="1146"/>
      <c r="AU314" s="1146"/>
      <c r="AV314" s="1146"/>
      <c r="AW314" s="1146"/>
      <c r="AX314" s="1146"/>
    </row>
    <row r="315" spans="1:50" s="1148" customFormat="1" ht="28.5" customHeight="1">
      <c r="A315" s="1132">
        <f>_xlfn.AGGREGATE(4,7,A$17:A314)+1</f>
        <v>298</v>
      </c>
      <c r="B315" s="378" t="s">
        <v>2088</v>
      </c>
      <c r="C315" s="1497"/>
      <c r="D315" s="1498"/>
      <c r="E315" s="1058" t="str">
        <f>VLOOKUP(B315,TH.T6!B227:J557,9,FALSE)</f>
        <v>Nhân viên phòng Quản trị - Dịch vụ</v>
      </c>
      <c r="F315" s="1499"/>
      <c r="G315" s="1500"/>
      <c r="H315" s="1501"/>
      <c r="I315" s="1502"/>
      <c r="J315" s="1503"/>
      <c r="K315" s="1500"/>
      <c r="L315" s="1501"/>
      <c r="M315" s="1502"/>
      <c r="N315" s="1503"/>
      <c r="O315" s="1500"/>
      <c r="P315" s="1504"/>
      <c r="Q315" s="1505"/>
      <c r="R315" s="1505"/>
      <c r="S315" s="1505"/>
      <c r="T315" s="1505"/>
      <c r="U315" s="1505"/>
      <c r="V315" s="1505"/>
      <c r="W315" s="1505"/>
      <c r="X315" s="1505"/>
      <c r="Y315" s="1505"/>
      <c r="Z315" s="1505"/>
      <c r="AA315" s="1506"/>
      <c r="AB315" s="1506"/>
      <c r="AC315" s="1506"/>
      <c r="AD315" s="1507"/>
      <c r="AE315" s="1508">
        <v>7715555.555555556</v>
      </c>
      <c r="AF315" s="1519">
        <f t="shared" si="54"/>
        <v>3.2972459639126308</v>
      </c>
      <c r="AG315" s="1224">
        <v>2340000</v>
      </c>
      <c r="AH315" s="1521">
        <f t="shared" si="55"/>
        <v>7715555.555555556</v>
      </c>
      <c r="AI315" s="1142">
        <f t="shared" si="66"/>
        <v>298</v>
      </c>
      <c r="AJ315" s="1143"/>
      <c r="AK315" s="1144"/>
      <c r="AL315" s="1130"/>
      <c r="AM315" s="1146"/>
      <c r="AN315" s="1147"/>
      <c r="AO315" s="1146"/>
      <c r="AP315" s="1146"/>
      <c r="AQ315" s="1146"/>
      <c r="AR315" s="1146"/>
      <c r="AS315" s="1146"/>
      <c r="AT315" s="1146"/>
      <c r="AU315" s="1146"/>
      <c r="AV315" s="1146"/>
      <c r="AW315" s="1146"/>
      <c r="AX315" s="1146"/>
    </row>
    <row r="316" spans="1:50" s="1148" customFormat="1" ht="24" customHeight="1">
      <c r="A316" s="1132">
        <f>_xlfn.AGGREGATE(4,7,A$17:A315)+1</f>
        <v>299</v>
      </c>
      <c r="B316" s="378" t="s">
        <v>2089</v>
      </c>
      <c r="C316" s="1497"/>
      <c r="D316" s="1498"/>
      <c r="E316" s="1058" t="str">
        <f>VLOOKUP(B316,TH.T6!B228:J558,9,FALSE)</f>
        <v>Nhân viên Y tế</v>
      </c>
      <c r="F316" s="1499"/>
      <c r="G316" s="1500"/>
      <c r="H316" s="1501"/>
      <c r="I316" s="1502"/>
      <c r="J316" s="1503"/>
      <c r="K316" s="1500"/>
      <c r="L316" s="1501"/>
      <c r="M316" s="1502"/>
      <c r="N316" s="1503"/>
      <c r="O316" s="1500"/>
      <c r="P316" s="1504"/>
      <c r="Q316" s="1505"/>
      <c r="R316" s="1505"/>
      <c r="S316" s="1505"/>
      <c r="T316" s="1505"/>
      <c r="U316" s="1505"/>
      <c r="V316" s="1505"/>
      <c r="W316" s="1505"/>
      <c r="X316" s="1505"/>
      <c r="Y316" s="1505"/>
      <c r="Z316" s="1505"/>
      <c r="AA316" s="1506"/>
      <c r="AB316" s="1506"/>
      <c r="AC316" s="1506"/>
      <c r="AD316" s="1507"/>
      <c r="AE316" s="1508">
        <v>13607924</v>
      </c>
      <c r="AF316" s="1519">
        <f t="shared" si="54"/>
        <v>5.8153521367521366</v>
      </c>
      <c r="AG316" s="1224">
        <v>2340000</v>
      </c>
      <c r="AH316" s="1521">
        <f t="shared" si="55"/>
        <v>13607924</v>
      </c>
      <c r="AI316" s="1142">
        <f t="shared" si="66"/>
        <v>299</v>
      </c>
      <c r="AJ316" s="1143"/>
      <c r="AK316" s="1144"/>
      <c r="AL316" s="1130"/>
      <c r="AM316" s="1146"/>
      <c r="AN316" s="1147"/>
      <c r="AO316" s="1146"/>
      <c r="AP316" s="1146"/>
      <c r="AQ316" s="1146"/>
      <c r="AR316" s="1146"/>
      <c r="AS316" s="1146"/>
      <c r="AT316" s="1146"/>
      <c r="AU316" s="1146"/>
      <c r="AV316" s="1146"/>
      <c r="AW316" s="1146"/>
      <c r="AX316" s="1146"/>
    </row>
    <row r="317" spans="1:50" s="1148" customFormat="1" ht="24" customHeight="1">
      <c r="A317" s="1132">
        <f>_xlfn.AGGREGATE(4,7,A$17:A316)+1</f>
        <v>300</v>
      </c>
      <c r="B317" s="378" t="s">
        <v>2091</v>
      </c>
      <c r="C317" s="1497"/>
      <c r="D317" s="1498"/>
      <c r="E317" s="1058" t="str">
        <f>VLOOKUP(B317,TH.T6!B229:J559,9,FALSE)</f>
        <v>Nhân viên Ký túc xá</v>
      </c>
      <c r="F317" s="1499"/>
      <c r="G317" s="1500"/>
      <c r="H317" s="1501"/>
      <c r="I317" s="1502"/>
      <c r="J317" s="1503"/>
      <c r="K317" s="1500"/>
      <c r="L317" s="1501"/>
      <c r="M317" s="1502"/>
      <c r="N317" s="1503"/>
      <c r="O317" s="1500"/>
      <c r="P317" s="1504"/>
      <c r="Q317" s="1505"/>
      <c r="R317" s="1505"/>
      <c r="S317" s="1505"/>
      <c r="T317" s="1505"/>
      <c r="U317" s="1505"/>
      <c r="V317" s="1505"/>
      <c r="W317" s="1505"/>
      <c r="X317" s="1505"/>
      <c r="Y317" s="1505"/>
      <c r="Z317" s="1505"/>
      <c r="AA317" s="1506"/>
      <c r="AB317" s="1506"/>
      <c r="AC317" s="1506"/>
      <c r="AD317" s="1507"/>
      <c r="AE317" s="1508">
        <v>5328184.615384615</v>
      </c>
      <c r="AF317" s="1519">
        <f t="shared" si="54"/>
        <v>2.2770019723865875</v>
      </c>
      <c r="AG317" s="1224">
        <v>2340000</v>
      </c>
      <c r="AH317" s="1521">
        <f t="shared" si="55"/>
        <v>5328184.615384615</v>
      </c>
      <c r="AI317" s="1142">
        <f t="shared" si="66"/>
        <v>300</v>
      </c>
      <c r="AJ317" s="1143"/>
      <c r="AK317" s="1144"/>
      <c r="AL317" s="1130"/>
      <c r="AM317" s="1146"/>
      <c r="AN317" s="1147"/>
      <c r="AO317" s="1146"/>
      <c r="AP317" s="1146"/>
      <c r="AQ317" s="1146"/>
      <c r="AR317" s="1146"/>
      <c r="AS317" s="1146"/>
      <c r="AT317" s="1146"/>
      <c r="AU317" s="1146"/>
      <c r="AV317" s="1146"/>
      <c r="AW317" s="1146"/>
      <c r="AX317" s="1146"/>
    </row>
    <row r="318" spans="1:50" s="1148" customFormat="1" ht="24" customHeight="1">
      <c r="A318" s="1132">
        <f>_xlfn.AGGREGATE(4,7,A$17:A317)+1</f>
        <v>301</v>
      </c>
      <c r="B318" s="37" t="s">
        <v>2092</v>
      </c>
      <c r="C318" s="1497"/>
      <c r="D318" s="1498"/>
      <c r="E318" s="1058" t="str">
        <f>VLOOKUP(B318,TH.T6!B230:J560,9,FALSE)</f>
        <v>Nhân viên</v>
      </c>
      <c r="F318" s="1499"/>
      <c r="G318" s="1500"/>
      <c r="H318" s="1501"/>
      <c r="I318" s="1502"/>
      <c r="J318" s="1503"/>
      <c r="K318" s="1500"/>
      <c r="L318" s="1501"/>
      <c r="M318" s="1502"/>
      <c r="N318" s="1503"/>
      <c r="O318" s="1500"/>
      <c r="P318" s="1504"/>
      <c r="Q318" s="1505"/>
      <c r="R318" s="1505"/>
      <c r="S318" s="1505"/>
      <c r="T318" s="1505"/>
      <c r="U318" s="1505"/>
      <c r="V318" s="1505"/>
      <c r="W318" s="1505"/>
      <c r="X318" s="1505"/>
      <c r="Y318" s="1505"/>
      <c r="Z318" s="1505"/>
      <c r="AA318" s="1506"/>
      <c r="AB318" s="1506"/>
      <c r="AC318" s="1506"/>
      <c r="AD318" s="1507"/>
      <c r="AE318" s="1508">
        <v>31842342</v>
      </c>
      <c r="AF318" s="1519">
        <f t="shared" si="54"/>
        <v>13.607838461538462</v>
      </c>
      <c r="AG318" s="1224">
        <v>2340000</v>
      </c>
      <c r="AH318" s="1521">
        <f t="shared" si="55"/>
        <v>31842342</v>
      </c>
      <c r="AI318" s="1142">
        <f t="shared" si="66"/>
        <v>301</v>
      </c>
      <c r="AJ318" s="1143"/>
      <c r="AK318" s="1144"/>
      <c r="AL318" s="1130"/>
      <c r="AM318" s="1146"/>
      <c r="AN318" s="1147"/>
      <c r="AO318" s="1146"/>
      <c r="AP318" s="1146"/>
      <c r="AQ318" s="1146"/>
      <c r="AR318" s="1146"/>
      <c r="AS318" s="1146"/>
      <c r="AT318" s="1146"/>
      <c r="AU318" s="1146"/>
      <c r="AV318" s="1146"/>
      <c r="AW318" s="1146"/>
      <c r="AX318" s="1146"/>
    </row>
    <row r="319" spans="1:50" s="1148" customFormat="1" ht="24" customHeight="1">
      <c r="A319" s="1132">
        <f>_xlfn.AGGREGATE(4,7,A$17:A318)+1</f>
        <v>302</v>
      </c>
      <c r="B319" s="378" t="s">
        <v>2094</v>
      </c>
      <c r="C319" s="1497"/>
      <c r="D319" s="1498"/>
      <c r="E319" s="1058" t="str">
        <f>VLOOKUP(B319,TH.T6!B231:J561,9,FALSE)</f>
        <v>NV Kế toán</v>
      </c>
      <c r="F319" s="1499"/>
      <c r="G319" s="1500"/>
      <c r="H319" s="1501"/>
      <c r="I319" s="1502"/>
      <c r="J319" s="1503"/>
      <c r="K319" s="1500"/>
      <c r="L319" s="1501"/>
      <c r="M319" s="1502"/>
      <c r="N319" s="1503"/>
      <c r="O319" s="1500"/>
      <c r="P319" s="1504"/>
      <c r="Q319" s="1505"/>
      <c r="R319" s="1505"/>
      <c r="S319" s="1505"/>
      <c r="T319" s="1505"/>
      <c r="U319" s="1505"/>
      <c r="V319" s="1505"/>
      <c r="W319" s="1505"/>
      <c r="X319" s="1505"/>
      <c r="Y319" s="1505"/>
      <c r="Z319" s="1505"/>
      <c r="AA319" s="1506"/>
      <c r="AB319" s="1506"/>
      <c r="AC319" s="1506"/>
      <c r="AD319" s="1507"/>
      <c r="AE319" s="1508">
        <v>15575366.370370369</v>
      </c>
      <c r="AF319" s="1519">
        <f t="shared" si="54"/>
        <v>6.6561394745172517</v>
      </c>
      <c r="AG319" s="1224">
        <v>2340000</v>
      </c>
      <c r="AH319" s="1521">
        <f t="shared" si="55"/>
        <v>15575366.370370369</v>
      </c>
      <c r="AI319" s="1142">
        <f t="shared" si="66"/>
        <v>302</v>
      </c>
      <c r="AJ319" s="1143"/>
      <c r="AK319" s="1144"/>
      <c r="AL319" s="1130"/>
      <c r="AM319" s="1146"/>
      <c r="AN319" s="1147"/>
      <c r="AO319" s="1146"/>
      <c r="AP319" s="1146"/>
      <c r="AQ319" s="1146"/>
      <c r="AR319" s="1146"/>
      <c r="AS319" s="1146"/>
      <c r="AT319" s="1146"/>
      <c r="AU319" s="1146"/>
      <c r="AV319" s="1146"/>
      <c r="AW319" s="1146"/>
      <c r="AX319" s="1146"/>
    </row>
    <row r="320" spans="1:50" s="1148" customFormat="1" ht="24" customHeight="1">
      <c r="A320" s="1132">
        <f>_xlfn.AGGREGATE(4,7,A$17:A319)+1</f>
        <v>303</v>
      </c>
      <c r="B320" s="1550" t="s">
        <v>2096</v>
      </c>
      <c r="C320" s="1551"/>
      <c r="D320" s="1552"/>
      <c r="E320" s="536" t="str">
        <f>VLOOKUP(B320,TH.T6!B232:J562,9,FALSE)</f>
        <v>NV Kế toán</v>
      </c>
      <c r="F320" s="1553"/>
      <c r="G320" s="1554"/>
      <c r="H320" s="1555"/>
      <c r="I320" s="1556"/>
      <c r="J320" s="1557"/>
      <c r="K320" s="1554"/>
      <c r="L320" s="1555"/>
      <c r="M320" s="1556"/>
      <c r="N320" s="1557"/>
      <c r="O320" s="1554"/>
      <c r="P320" s="1558"/>
      <c r="Q320" s="1559"/>
      <c r="R320" s="1559"/>
      <c r="S320" s="1559"/>
      <c r="T320" s="1559"/>
      <c r="U320" s="1559"/>
      <c r="V320" s="1559"/>
      <c r="W320" s="1559"/>
      <c r="X320" s="1559"/>
      <c r="Y320" s="1559"/>
      <c r="Z320" s="1559"/>
      <c r="AA320" s="1560"/>
      <c r="AB320" s="1560"/>
      <c r="AC320" s="1560"/>
      <c r="AD320" s="1561"/>
      <c r="AE320" s="1562">
        <v>8506698</v>
      </c>
      <c r="AF320" s="1563">
        <f t="shared" si="54"/>
        <v>3.6353410256410257</v>
      </c>
      <c r="AG320" s="1564">
        <v>2340000</v>
      </c>
      <c r="AH320" s="1565">
        <f>AF320*AG320+3186378</f>
        <v>11693076</v>
      </c>
      <c r="AI320" s="1566">
        <f t="shared" si="66"/>
        <v>303</v>
      </c>
      <c r="AJ320" s="1567" t="s">
        <v>2379</v>
      </c>
      <c r="AK320" s="1144"/>
      <c r="AL320" s="1130"/>
      <c r="AM320" s="1146"/>
      <c r="AN320" s="1147"/>
      <c r="AO320" s="1146"/>
      <c r="AP320" s="1146"/>
      <c r="AQ320" s="1146"/>
      <c r="AR320" s="1146"/>
      <c r="AS320" s="1146"/>
      <c r="AT320" s="1146"/>
      <c r="AU320" s="1146"/>
      <c r="AV320" s="1146"/>
      <c r="AW320" s="1146"/>
      <c r="AX320" s="1146"/>
    </row>
    <row r="321" spans="1:50" s="1148" customFormat="1" ht="24" customHeight="1">
      <c r="A321" s="1132">
        <f>_xlfn.AGGREGATE(4,7,A$17:A320)+1</f>
        <v>304</v>
      </c>
      <c r="B321" s="378" t="s">
        <v>2098</v>
      </c>
      <c r="C321" s="1497"/>
      <c r="D321" s="1498"/>
      <c r="E321" s="1058" t="str">
        <f>VLOOKUP(B321,TH.T6!B233:J563,9,FALSE)</f>
        <v>NV Kế toán</v>
      </c>
      <c r="F321" s="1499"/>
      <c r="G321" s="1500"/>
      <c r="H321" s="1501"/>
      <c r="I321" s="1502"/>
      <c r="J321" s="1503"/>
      <c r="K321" s="1500"/>
      <c r="L321" s="1501"/>
      <c r="M321" s="1502"/>
      <c r="N321" s="1503"/>
      <c r="O321" s="1500"/>
      <c r="P321" s="1504"/>
      <c r="Q321" s="1505"/>
      <c r="R321" s="1505"/>
      <c r="S321" s="1505"/>
      <c r="T321" s="1505"/>
      <c r="U321" s="1505"/>
      <c r="V321" s="1505"/>
      <c r="W321" s="1505"/>
      <c r="X321" s="1505"/>
      <c r="Y321" s="1505"/>
      <c r="Z321" s="1505"/>
      <c r="AA321" s="1506"/>
      <c r="AB321" s="1506"/>
      <c r="AC321" s="1506"/>
      <c r="AD321" s="1507"/>
      <c r="AE321" s="1508">
        <v>11679831.666666666</v>
      </c>
      <c r="AF321" s="1519">
        <f t="shared" si="54"/>
        <v>4.9913810541310539</v>
      </c>
      <c r="AG321" s="1224">
        <v>2340000</v>
      </c>
      <c r="AH321" s="1521">
        <f t="shared" si="55"/>
        <v>11679831.666666666</v>
      </c>
      <c r="AI321" s="1142">
        <f t="shared" si="66"/>
        <v>304</v>
      </c>
      <c r="AJ321" s="1143"/>
      <c r="AK321" s="1144"/>
      <c r="AL321" s="1130"/>
      <c r="AM321" s="1146"/>
      <c r="AN321" s="1147"/>
      <c r="AO321" s="1146"/>
      <c r="AP321" s="1146"/>
      <c r="AQ321" s="1146"/>
      <c r="AR321" s="1146"/>
      <c r="AS321" s="1146"/>
      <c r="AT321" s="1146"/>
      <c r="AU321" s="1146"/>
      <c r="AV321" s="1146"/>
      <c r="AW321" s="1146"/>
      <c r="AX321" s="1146"/>
    </row>
    <row r="322" spans="1:50" s="1148" customFormat="1" ht="24" customHeight="1">
      <c r="A322" s="1132">
        <f>_xlfn.AGGREGATE(4,7,A$17:A321)+1</f>
        <v>305</v>
      </c>
      <c r="B322" s="378" t="s">
        <v>2099</v>
      </c>
      <c r="C322" s="1497"/>
      <c r="D322" s="1498"/>
      <c r="E322" s="1058" t="str">
        <f>VLOOKUP(B322,TH.T6!B234:J564,9,FALSE)</f>
        <v>NV Kế toán</v>
      </c>
      <c r="F322" s="1499"/>
      <c r="G322" s="1500"/>
      <c r="H322" s="1501"/>
      <c r="I322" s="1502"/>
      <c r="J322" s="1503"/>
      <c r="K322" s="1500"/>
      <c r="L322" s="1501"/>
      <c r="M322" s="1502"/>
      <c r="N322" s="1503"/>
      <c r="O322" s="1500"/>
      <c r="P322" s="1504"/>
      <c r="Q322" s="1505"/>
      <c r="R322" s="1505"/>
      <c r="S322" s="1505"/>
      <c r="T322" s="1505"/>
      <c r="U322" s="1505"/>
      <c r="V322" s="1505"/>
      <c r="W322" s="1505"/>
      <c r="X322" s="1505"/>
      <c r="Y322" s="1505"/>
      <c r="Z322" s="1505"/>
      <c r="AA322" s="1506"/>
      <c r="AB322" s="1506"/>
      <c r="AC322" s="1506"/>
      <c r="AD322" s="1507"/>
      <c r="AE322" s="1508">
        <v>10915731</v>
      </c>
      <c r="AF322" s="1519">
        <f t="shared" si="54"/>
        <v>4.6648423076923073</v>
      </c>
      <c r="AG322" s="1224">
        <v>2340000</v>
      </c>
      <c r="AH322" s="1521">
        <f t="shared" si="55"/>
        <v>10915731</v>
      </c>
      <c r="AI322" s="1142">
        <f t="shared" si="66"/>
        <v>305</v>
      </c>
      <c r="AJ322" s="1143"/>
      <c r="AK322" s="1144"/>
      <c r="AL322" s="1130"/>
      <c r="AM322" s="1146"/>
      <c r="AN322" s="1147"/>
      <c r="AO322" s="1146"/>
      <c r="AP322" s="1146"/>
      <c r="AQ322" s="1146"/>
      <c r="AR322" s="1146"/>
      <c r="AS322" s="1146"/>
      <c r="AT322" s="1146"/>
      <c r="AU322" s="1146"/>
      <c r="AV322" s="1146"/>
      <c r="AW322" s="1146"/>
      <c r="AX322" s="1146"/>
    </row>
    <row r="323" spans="1:50" s="1148" customFormat="1" ht="24" customHeight="1">
      <c r="A323" s="1132">
        <f>_xlfn.AGGREGATE(4,7,A$17:A322)+1</f>
        <v>306</v>
      </c>
      <c r="B323" s="378" t="s">
        <v>2100</v>
      </c>
      <c r="C323" s="1497"/>
      <c r="D323" s="1498"/>
      <c r="E323" s="1058" t="str">
        <f>VLOOKUP(B323,TH.T6!B235:J565,9,FALSE)</f>
        <v>Nhân viên</v>
      </c>
      <c r="F323" s="1499"/>
      <c r="G323" s="1500"/>
      <c r="H323" s="1501"/>
      <c r="I323" s="1502"/>
      <c r="J323" s="1503"/>
      <c r="K323" s="1500"/>
      <c r="L323" s="1501"/>
      <c r="M323" s="1502"/>
      <c r="N323" s="1503"/>
      <c r="O323" s="1500"/>
      <c r="P323" s="1504"/>
      <c r="Q323" s="1505"/>
      <c r="R323" s="1505"/>
      <c r="S323" s="1505"/>
      <c r="T323" s="1505"/>
      <c r="U323" s="1505"/>
      <c r="V323" s="1505"/>
      <c r="W323" s="1505"/>
      <c r="X323" s="1505"/>
      <c r="Y323" s="1505"/>
      <c r="Z323" s="1505"/>
      <c r="AA323" s="1506"/>
      <c r="AB323" s="1506"/>
      <c r="AC323" s="1506"/>
      <c r="AD323" s="1507"/>
      <c r="AE323" s="1508">
        <v>12546577</v>
      </c>
      <c r="AF323" s="1519">
        <f t="shared" si="54"/>
        <v>5.3617850427350424</v>
      </c>
      <c r="AG323" s="1224">
        <v>2340000</v>
      </c>
      <c r="AH323" s="1521">
        <f t="shared" si="55"/>
        <v>12546577</v>
      </c>
      <c r="AI323" s="1142">
        <f t="shared" si="66"/>
        <v>306</v>
      </c>
      <c r="AJ323" s="1143"/>
      <c r="AK323" s="1144"/>
      <c r="AL323" s="1130"/>
      <c r="AM323" s="1146"/>
      <c r="AN323" s="1147"/>
      <c r="AO323" s="1146"/>
      <c r="AP323" s="1146"/>
      <c r="AQ323" s="1146"/>
      <c r="AR323" s="1146"/>
      <c r="AS323" s="1146"/>
      <c r="AT323" s="1146"/>
      <c r="AU323" s="1146"/>
      <c r="AV323" s="1146"/>
      <c r="AW323" s="1146"/>
      <c r="AX323" s="1146"/>
    </row>
    <row r="324" spans="1:50" s="1148" customFormat="1" ht="29.25" customHeight="1">
      <c r="A324" s="1132">
        <f>_xlfn.AGGREGATE(4,7,A$17:A323)+1</f>
        <v>307</v>
      </c>
      <c r="B324" s="378" t="s">
        <v>2102</v>
      </c>
      <c r="C324" s="1497"/>
      <c r="D324" s="1498"/>
      <c r="E324" s="1058" t="str">
        <f>VLOOKUP(B324,TH.T6!B236:J566,9,FALSE)</f>
        <v>NV Phòng Quản trị - Dịch vụ</v>
      </c>
      <c r="F324" s="1499"/>
      <c r="G324" s="1500"/>
      <c r="H324" s="1501"/>
      <c r="I324" s="1502"/>
      <c r="J324" s="1503"/>
      <c r="K324" s="1500"/>
      <c r="L324" s="1501"/>
      <c r="M324" s="1502"/>
      <c r="N324" s="1503"/>
      <c r="O324" s="1500"/>
      <c r="P324" s="1504"/>
      <c r="Q324" s="1505"/>
      <c r="R324" s="1505"/>
      <c r="S324" s="1505"/>
      <c r="T324" s="1505"/>
      <c r="U324" s="1505"/>
      <c r="V324" s="1505"/>
      <c r="W324" s="1505"/>
      <c r="X324" s="1505"/>
      <c r="Y324" s="1505"/>
      <c r="Z324" s="1505"/>
      <c r="AA324" s="1506"/>
      <c r="AB324" s="1506"/>
      <c r="AC324" s="1506"/>
      <c r="AD324" s="1507"/>
      <c r="AE324" s="1508">
        <v>9198556.8888888881</v>
      </c>
      <c r="AF324" s="1519">
        <f t="shared" si="54"/>
        <v>3.9310072174738839</v>
      </c>
      <c r="AG324" s="1224">
        <v>2340000</v>
      </c>
      <c r="AH324" s="1521">
        <f t="shared" si="55"/>
        <v>9198556.8888888881</v>
      </c>
      <c r="AI324" s="1142">
        <f t="shared" si="66"/>
        <v>307</v>
      </c>
      <c r="AJ324" s="1143"/>
      <c r="AK324" s="1144"/>
      <c r="AL324" s="1130"/>
      <c r="AM324" s="1146"/>
      <c r="AN324" s="1147"/>
      <c r="AO324" s="1146"/>
      <c r="AP324" s="1146"/>
      <c r="AQ324" s="1146"/>
      <c r="AR324" s="1146"/>
      <c r="AS324" s="1146"/>
      <c r="AT324" s="1146"/>
      <c r="AU324" s="1146"/>
      <c r="AV324" s="1146"/>
      <c r="AW324" s="1146"/>
      <c r="AX324" s="1146"/>
    </row>
    <row r="325" spans="1:50" s="1148" customFormat="1" ht="29.25" customHeight="1">
      <c r="A325" s="1132">
        <f>_xlfn.AGGREGATE(4,7,A$17:A324)+1</f>
        <v>308</v>
      </c>
      <c r="B325" s="378" t="s">
        <v>2106</v>
      </c>
      <c r="C325" s="1497"/>
      <c r="D325" s="1498"/>
      <c r="E325" s="1058" t="str">
        <f>VLOOKUP(B325,TH.T6!B237:J567,9,FALSE)</f>
        <v>Nhân viên phòng Thanh tra GD - Quan hệ DN</v>
      </c>
      <c r="F325" s="1499"/>
      <c r="G325" s="1500"/>
      <c r="H325" s="1501"/>
      <c r="I325" s="1502"/>
      <c r="J325" s="1503"/>
      <c r="K325" s="1500"/>
      <c r="L325" s="1501"/>
      <c r="M325" s="1502"/>
      <c r="N325" s="1503"/>
      <c r="O325" s="1500"/>
      <c r="P325" s="1504"/>
      <c r="Q325" s="1505"/>
      <c r="R325" s="1505"/>
      <c r="S325" s="1505"/>
      <c r="T325" s="1505"/>
      <c r="U325" s="1505"/>
      <c r="V325" s="1505"/>
      <c r="W325" s="1505"/>
      <c r="X325" s="1505"/>
      <c r="Y325" s="1505"/>
      <c r="Z325" s="1505"/>
      <c r="AA325" s="1506"/>
      <c r="AB325" s="1506"/>
      <c r="AC325" s="1506"/>
      <c r="AD325" s="1507"/>
      <c r="AE325" s="1508">
        <v>11611683</v>
      </c>
      <c r="AF325" s="1519">
        <f t="shared" si="54"/>
        <v>4.9622576923076922</v>
      </c>
      <c r="AG325" s="1224">
        <v>2340000</v>
      </c>
      <c r="AH325" s="1521">
        <f t="shared" si="55"/>
        <v>11611683</v>
      </c>
      <c r="AI325" s="1142">
        <f t="shared" si="66"/>
        <v>308</v>
      </c>
      <c r="AJ325" s="1143"/>
      <c r="AK325" s="1144"/>
      <c r="AL325" s="1130"/>
      <c r="AM325" s="1146"/>
      <c r="AN325" s="1147"/>
      <c r="AO325" s="1146"/>
      <c r="AP325" s="1146"/>
      <c r="AQ325" s="1146"/>
      <c r="AR325" s="1146"/>
      <c r="AS325" s="1146"/>
      <c r="AT325" s="1146"/>
      <c r="AU325" s="1146"/>
      <c r="AV325" s="1146"/>
      <c r="AW325" s="1146"/>
      <c r="AX325" s="1146"/>
    </row>
    <row r="326" spans="1:50" s="1148" customFormat="1" ht="29.25" customHeight="1">
      <c r="A326" s="1132">
        <f>_xlfn.AGGREGATE(4,7,A$17:A325)+1</f>
        <v>309</v>
      </c>
      <c r="B326" s="378" t="s">
        <v>2108</v>
      </c>
      <c r="C326" s="1497"/>
      <c r="D326" s="1498"/>
      <c r="E326" s="1058" t="str">
        <f>VLOOKUP(B326,TH.T6!B238:J568,9,FALSE)</f>
        <v>Nhân viên phòng Thanh tra GD - Quan hệ DN</v>
      </c>
      <c r="F326" s="1499"/>
      <c r="G326" s="1500"/>
      <c r="H326" s="1501"/>
      <c r="I326" s="1502"/>
      <c r="J326" s="1503"/>
      <c r="K326" s="1500"/>
      <c r="L326" s="1501"/>
      <c r="M326" s="1502"/>
      <c r="N326" s="1503"/>
      <c r="O326" s="1500"/>
      <c r="P326" s="1504"/>
      <c r="Q326" s="1505"/>
      <c r="R326" s="1505"/>
      <c r="S326" s="1505"/>
      <c r="T326" s="1505"/>
      <c r="U326" s="1505"/>
      <c r="V326" s="1505"/>
      <c r="W326" s="1505"/>
      <c r="X326" s="1505"/>
      <c r="Y326" s="1505"/>
      <c r="Z326" s="1505"/>
      <c r="AA326" s="1506"/>
      <c r="AB326" s="1506"/>
      <c r="AC326" s="1506"/>
      <c r="AD326" s="1507"/>
      <c r="AE326" s="1508">
        <v>9646976.8499938063</v>
      </c>
      <c r="AF326" s="1519">
        <f t="shared" si="54"/>
        <v>4.122639679484533</v>
      </c>
      <c r="AG326" s="1224">
        <v>2340000</v>
      </c>
      <c r="AH326" s="1521">
        <f t="shared" si="55"/>
        <v>9646976.8499938082</v>
      </c>
      <c r="AI326" s="1142">
        <f t="shared" si="66"/>
        <v>309</v>
      </c>
      <c r="AJ326" s="1143"/>
      <c r="AK326" s="1144"/>
      <c r="AL326" s="1130"/>
      <c r="AM326" s="1146"/>
      <c r="AN326" s="1147"/>
      <c r="AO326" s="1146"/>
      <c r="AP326" s="1146"/>
      <c r="AQ326" s="1146"/>
      <c r="AR326" s="1146"/>
      <c r="AS326" s="1146"/>
      <c r="AT326" s="1146"/>
      <c r="AU326" s="1146"/>
      <c r="AV326" s="1146"/>
      <c r="AW326" s="1146"/>
      <c r="AX326" s="1146"/>
    </row>
    <row r="327" spans="1:50" s="1148" customFormat="1" ht="39" customHeight="1">
      <c r="A327" s="1132">
        <f>_xlfn.AGGREGATE(4,7,A$17:A326)+1</f>
        <v>310</v>
      </c>
      <c r="B327" s="378" t="s">
        <v>2109</v>
      </c>
      <c r="C327" s="1497"/>
      <c r="D327" s="1498"/>
      <c r="E327" s="1058" t="str">
        <f>VLOOKUP(B327,TH.T6!B239:J569,9,FALSE)</f>
        <v>Nhân viên phòng Thanh tra GD - Quan hệ DN</v>
      </c>
      <c r="F327" s="1499"/>
      <c r="G327" s="1500"/>
      <c r="H327" s="1501"/>
      <c r="I327" s="1502"/>
      <c r="J327" s="1503"/>
      <c r="K327" s="1500"/>
      <c r="L327" s="1501"/>
      <c r="M327" s="1502"/>
      <c r="N327" s="1503"/>
      <c r="O327" s="1500"/>
      <c r="P327" s="1504"/>
      <c r="Q327" s="1505"/>
      <c r="R327" s="1505"/>
      <c r="S327" s="1505"/>
      <c r="T327" s="1505"/>
      <c r="U327" s="1505"/>
      <c r="V327" s="1505"/>
      <c r="W327" s="1505"/>
      <c r="X327" s="1505"/>
      <c r="Y327" s="1505"/>
      <c r="Z327" s="1505"/>
      <c r="AA327" s="1506"/>
      <c r="AB327" s="1506"/>
      <c r="AC327" s="1506"/>
      <c r="AD327" s="1507"/>
      <c r="AE327" s="1508">
        <v>9778175.7948717959</v>
      </c>
      <c r="AF327" s="1519">
        <f t="shared" si="54"/>
        <v>4.1787076046460667</v>
      </c>
      <c r="AG327" s="1224">
        <v>2340000</v>
      </c>
      <c r="AH327" s="1521">
        <f t="shared" si="55"/>
        <v>9778175.7948717959</v>
      </c>
      <c r="AI327" s="1142">
        <f t="shared" si="66"/>
        <v>310</v>
      </c>
      <c r="AJ327" s="1143"/>
      <c r="AK327" s="1144"/>
      <c r="AL327" s="1130"/>
      <c r="AM327" s="1146"/>
      <c r="AN327" s="1147"/>
      <c r="AO327" s="1146"/>
      <c r="AP327" s="1146"/>
      <c r="AQ327" s="1146"/>
      <c r="AR327" s="1146"/>
      <c r="AS327" s="1146"/>
      <c r="AT327" s="1146"/>
      <c r="AU327" s="1146"/>
      <c r="AV327" s="1146"/>
      <c r="AW327" s="1146"/>
      <c r="AX327" s="1146"/>
    </row>
    <row r="328" spans="1:50" s="1148" customFormat="1" ht="29.25" customHeight="1">
      <c r="A328" s="1132">
        <f>_xlfn.AGGREGATE(4,7,A$17:A327)+1</f>
        <v>311</v>
      </c>
      <c r="B328" s="378" t="s">
        <v>2110</v>
      </c>
      <c r="C328" s="1497"/>
      <c r="D328" s="1498"/>
      <c r="E328" s="1058" t="str">
        <f>VLOOKUP(B328,TH.T6!B240:J570,9,FALSE)</f>
        <v>Nhân viên phòng Quản trị - Dịch vụ</v>
      </c>
      <c r="F328" s="1499"/>
      <c r="G328" s="1500"/>
      <c r="H328" s="1501"/>
      <c r="I328" s="1502"/>
      <c r="J328" s="1503"/>
      <c r="K328" s="1500"/>
      <c r="L328" s="1501"/>
      <c r="M328" s="1502"/>
      <c r="N328" s="1503"/>
      <c r="O328" s="1500"/>
      <c r="P328" s="1504"/>
      <c r="Q328" s="1505"/>
      <c r="R328" s="1505"/>
      <c r="S328" s="1505"/>
      <c r="T328" s="1505"/>
      <c r="U328" s="1505"/>
      <c r="V328" s="1505"/>
      <c r="W328" s="1505"/>
      <c r="X328" s="1505"/>
      <c r="Y328" s="1505"/>
      <c r="Z328" s="1505"/>
      <c r="AA328" s="1506"/>
      <c r="AB328" s="1506"/>
      <c r="AC328" s="1506"/>
      <c r="AD328" s="1507"/>
      <c r="AE328" s="1508">
        <v>8343360.666666666</v>
      </c>
      <c r="AF328" s="1519">
        <f t="shared" si="54"/>
        <v>3.565538746438746</v>
      </c>
      <c r="AG328" s="1224">
        <v>2340000</v>
      </c>
      <c r="AH328" s="1521">
        <f t="shared" si="55"/>
        <v>8343360.666666666</v>
      </c>
      <c r="AI328" s="1142">
        <f t="shared" si="66"/>
        <v>311</v>
      </c>
      <c r="AJ328" s="1143"/>
      <c r="AK328" s="1144"/>
      <c r="AL328" s="1130"/>
      <c r="AM328" s="1146"/>
      <c r="AN328" s="1147"/>
      <c r="AO328" s="1146"/>
      <c r="AP328" s="1146"/>
      <c r="AQ328" s="1146"/>
      <c r="AR328" s="1146"/>
      <c r="AS328" s="1146"/>
      <c r="AT328" s="1146"/>
      <c r="AU328" s="1146"/>
      <c r="AV328" s="1146"/>
      <c r="AW328" s="1146"/>
      <c r="AX328" s="1146"/>
    </row>
    <row r="329" spans="1:50" s="1148" customFormat="1" ht="29.25" customHeight="1">
      <c r="A329" s="1132">
        <f>_xlfn.AGGREGATE(4,7,A$17:A328)+1</f>
        <v>312</v>
      </c>
      <c r="B329" s="378" t="s">
        <v>2113</v>
      </c>
      <c r="C329" s="1497"/>
      <c r="D329" s="1498"/>
      <c r="E329" s="1058" t="str">
        <f>VLOOKUP(B329,TH.T6!B241:J571,9,FALSE)</f>
        <v>Nhân viên phòng Thanh tra GD - Quan hệ DN</v>
      </c>
      <c r="F329" s="1499"/>
      <c r="G329" s="1500"/>
      <c r="H329" s="1501"/>
      <c r="I329" s="1502"/>
      <c r="J329" s="1503"/>
      <c r="K329" s="1500"/>
      <c r="L329" s="1501"/>
      <c r="M329" s="1502"/>
      <c r="N329" s="1503"/>
      <c r="O329" s="1500"/>
      <c r="P329" s="1504"/>
      <c r="Q329" s="1505"/>
      <c r="R329" s="1505"/>
      <c r="S329" s="1505"/>
      <c r="T329" s="1505"/>
      <c r="U329" s="1505"/>
      <c r="V329" s="1505"/>
      <c r="W329" s="1505"/>
      <c r="X329" s="1505"/>
      <c r="Y329" s="1505"/>
      <c r="Z329" s="1505"/>
      <c r="AA329" s="1506"/>
      <c r="AB329" s="1506"/>
      <c r="AC329" s="1506"/>
      <c r="AD329" s="1507"/>
      <c r="AE329" s="1508">
        <v>8543053.0170940161</v>
      </c>
      <c r="AF329" s="1519">
        <f t="shared" si="54"/>
        <v>3.6508773577324853</v>
      </c>
      <c r="AG329" s="1224">
        <v>2340000</v>
      </c>
      <c r="AH329" s="1521">
        <f t="shared" si="55"/>
        <v>8543053.0170940161</v>
      </c>
      <c r="AI329" s="1142">
        <f t="shared" si="66"/>
        <v>312</v>
      </c>
      <c r="AJ329" s="1143"/>
      <c r="AK329" s="1144"/>
      <c r="AL329" s="1130"/>
      <c r="AM329" s="1146"/>
      <c r="AN329" s="1147"/>
      <c r="AO329" s="1146"/>
      <c r="AP329" s="1146"/>
      <c r="AQ329" s="1146"/>
      <c r="AR329" s="1146"/>
      <c r="AS329" s="1146"/>
      <c r="AT329" s="1146"/>
      <c r="AU329" s="1146"/>
      <c r="AV329" s="1146"/>
      <c r="AW329" s="1146"/>
      <c r="AX329" s="1146"/>
    </row>
    <row r="330" spans="1:50" s="1148" customFormat="1" ht="29.25" customHeight="1">
      <c r="A330" s="1132">
        <f>_xlfn.AGGREGATE(4,7,A$17:A329)+1</f>
        <v>313</v>
      </c>
      <c r="B330" s="378" t="s">
        <v>2114</v>
      </c>
      <c r="C330" s="1497"/>
      <c r="D330" s="1498"/>
      <c r="E330" s="1058" t="str">
        <f>VLOOKUP(B330,TH.T6!B242:J572,9,FALSE)</f>
        <v>Nhân viên phòng KHCN &amp; HTQT</v>
      </c>
      <c r="F330" s="1499"/>
      <c r="G330" s="1500"/>
      <c r="H330" s="1501"/>
      <c r="I330" s="1502"/>
      <c r="J330" s="1503"/>
      <c r="K330" s="1500"/>
      <c r="L330" s="1501"/>
      <c r="M330" s="1502"/>
      <c r="N330" s="1503"/>
      <c r="O330" s="1500"/>
      <c r="P330" s="1504"/>
      <c r="Q330" s="1505"/>
      <c r="R330" s="1505"/>
      <c r="S330" s="1505"/>
      <c r="T330" s="1505"/>
      <c r="U330" s="1505"/>
      <c r="V330" s="1505"/>
      <c r="W330" s="1505"/>
      <c r="X330" s="1505"/>
      <c r="Y330" s="1505"/>
      <c r="Z330" s="1505"/>
      <c r="AA330" s="1506"/>
      <c r="AB330" s="1506"/>
      <c r="AC330" s="1506"/>
      <c r="AD330" s="1507"/>
      <c r="AE330" s="1508">
        <v>15714918.423076924</v>
      </c>
      <c r="AF330" s="1519">
        <f t="shared" si="54"/>
        <v>6.7157771038790273</v>
      </c>
      <c r="AG330" s="1224">
        <v>2340000</v>
      </c>
      <c r="AH330" s="1521">
        <f t="shared" si="55"/>
        <v>15714918.423076924</v>
      </c>
      <c r="AI330" s="1142">
        <f t="shared" si="66"/>
        <v>313</v>
      </c>
      <c r="AJ330" s="1143"/>
      <c r="AK330" s="1144"/>
      <c r="AL330" s="1130"/>
      <c r="AM330" s="1146"/>
      <c r="AN330" s="1147"/>
      <c r="AO330" s="1146"/>
      <c r="AP330" s="1146"/>
      <c r="AQ330" s="1146"/>
      <c r="AR330" s="1146"/>
      <c r="AS330" s="1146"/>
      <c r="AT330" s="1146"/>
      <c r="AU330" s="1146"/>
      <c r="AV330" s="1146"/>
      <c r="AW330" s="1146"/>
      <c r="AX330" s="1146"/>
    </row>
    <row r="331" spans="1:50" s="1148" customFormat="1" ht="29.25" customHeight="1">
      <c r="A331" s="1132">
        <f>_xlfn.AGGREGATE(4,7,A$17:A330)+1</f>
        <v>314</v>
      </c>
      <c r="B331" s="378" t="s">
        <v>2117</v>
      </c>
      <c r="C331" s="1497"/>
      <c r="D331" s="1498"/>
      <c r="E331" s="1058" t="str">
        <f>VLOOKUP(B331,TH.T6!B243:J573,9,FALSE)</f>
        <v>Nhân viên phòng KHCN &amp; HTQT</v>
      </c>
      <c r="F331" s="1499"/>
      <c r="G331" s="1500"/>
      <c r="H331" s="1501"/>
      <c r="I331" s="1502"/>
      <c r="J331" s="1503"/>
      <c r="K331" s="1500"/>
      <c r="L331" s="1501"/>
      <c r="M331" s="1502"/>
      <c r="N331" s="1503"/>
      <c r="O331" s="1500"/>
      <c r="P331" s="1504"/>
      <c r="Q331" s="1505"/>
      <c r="R331" s="1505"/>
      <c r="S331" s="1505"/>
      <c r="T331" s="1505"/>
      <c r="U331" s="1505"/>
      <c r="V331" s="1505"/>
      <c r="W331" s="1505"/>
      <c r="X331" s="1505"/>
      <c r="Y331" s="1505"/>
      <c r="Z331" s="1505"/>
      <c r="AA331" s="1506"/>
      <c r="AB331" s="1506"/>
      <c r="AC331" s="1506"/>
      <c r="AD331" s="1507"/>
      <c r="AE331" s="1508">
        <v>10197471.391304348</v>
      </c>
      <c r="AF331" s="1519">
        <f t="shared" si="54"/>
        <v>4.3578937569676697</v>
      </c>
      <c r="AG331" s="1224">
        <v>2340000</v>
      </c>
      <c r="AH331" s="1521">
        <f t="shared" si="55"/>
        <v>10197471.391304348</v>
      </c>
      <c r="AI331" s="1142">
        <f t="shared" si="66"/>
        <v>314</v>
      </c>
      <c r="AJ331" s="1143"/>
      <c r="AK331" s="1144"/>
      <c r="AL331" s="1130"/>
      <c r="AM331" s="1146"/>
      <c r="AN331" s="1147"/>
      <c r="AO331" s="1146"/>
      <c r="AP331" s="1146"/>
      <c r="AQ331" s="1146"/>
      <c r="AR331" s="1146"/>
      <c r="AS331" s="1146"/>
      <c r="AT331" s="1146"/>
      <c r="AU331" s="1146"/>
      <c r="AV331" s="1146"/>
      <c r="AW331" s="1146"/>
      <c r="AX331" s="1146"/>
    </row>
    <row r="332" spans="1:50" s="1148" customFormat="1" ht="39.75" customHeight="1">
      <c r="A332" s="1132">
        <f>_xlfn.AGGREGATE(4,7,A$17:A331)+1</f>
        <v>315</v>
      </c>
      <c r="B332" s="378" t="s">
        <v>2119</v>
      </c>
      <c r="C332" s="1497"/>
      <c r="D332" s="1498"/>
      <c r="E332" s="1058" t="str">
        <f>VLOOKUP(B332,TH.T6!B244:J574,9,FALSE)</f>
        <v>Nhân viên phòng Thanh tra GD - Quan hệ DN</v>
      </c>
      <c r="F332" s="1499"/>
      <c r="G332" s="1500"/>
      <c r="H332" s="1501"/>
      <c r="I332" s="1502"/>
      <c r="J332" s="1503"/>
      <c r="K332" s="1500"/>
      <c r="L332" s="1501"/>
      <c r="M332" s="1502"/>
      <c r="N332" s="1503"/>
      <c r="O332" s="1500"/>
      <c r="P332" s="1504"/>
      <c r="Q332" s="1505"/>
      <c r="R332" s="1505"/>
      <c r="S332" s="1505"/>
      <c r="T332" s="1505"/>
      <c r="U332" s="1505"/>
      <c r="V332" s="1505"/>
      <c r="W332" s="1505"/>
      <c r="X332" s="1505"/>
      <c r="Y332" s="1505"/>
      <c r="Z332" s="1505"/>
      <c r="AA332" s="1506"/>
      <c r="AB332" s="1506"/>
      <c r="AC332" s="1506"/>
      <c r="AD332" s="1507"/>
      <c r="AE332" s="1508">
        <v>10937184</v>
      </c>
      <c r="AF332" s="1519">
        <f t="shared" si="54"/>
        <v>4.6740102564102566</v>
      </c>
      <c r="AG332" s="1224">
        <v>2340000</v>
      </c>
      <c r="AH332" s="1521">
        <f t="shared" si="55"/>
        <v>10937184</v>
      </c>
      <c r="AI332" s="1142">
        <f t="shared" si="66"/>
        <v>315</v>
      </c>
      <c r="AJ332" s="1143"/>
      <c r="AK332" s="1144"/>
      <c r="AL332" s="1130"/>
      <c r="AM332" s="1146"/>
      <c r="AN332" s="1147"/>
      <c r="AO332" s="1146"/>
      <c r="AP332" s="1146"/>
      <c r="AQ332" s="1146"/>
      <c r="AR332" s="1146"/>
      <c r="AS332" s="1146"/>
      <c r="AT332" s="1146"/>
      <c r="AU332" s="1146"/>
      <c r="AV332" s="1146"/>
      <c r="AW332" s="1146"/>
      <c r="AX332" s="1146"/>
    </row>
    <row r="333" spans="1:50" s="1148" customFormat="1" ht="39.75" customHeight="1">
      <c r="A333" s="1132">
        <f>_xlfn.AGGREGATE(4,7,A$17:A332)+1</f>
        <v>316</v>
      </c>
      <c r="B333" s="378" t="s">
        <v>2123</v>
      </c>
      <c r="C333" s="1497"/>
      <c r="D333" s="1498"/>
      <c r="E333" s="1058" t="str">
        <f>VLOOKUP(B333,TH.T6!B245:J575,9,FALSE)</f>
        <v>Nhân viên phòng Thanh tra GD - Quan hệ DN</v>
      </c>
      <c r="F333" s="1499"/>
      <c r="G333" s="1500"/>
      <c r="H333" s="1501"/>
      <c r="I333" s="1502"/>
      <c r="J333" s="1503"/>
      <c r="K333" s="1500"/>
      <c r="L333" s="1501"/>
      <c r="M333" s="1502"/>
      <c r="N333" s="1503"/>
      <c r="O333" s="1500"/>
      <c r="P333" s="1504"/>
      <c r="Q333" s="1505"/>
      <c r="R333" s="1505"/>
      <c r="S333" s="1505"/>
      <c r="T333" s="1505"/>
      <c r="U333" s="1505"/>
      <c r="V333" s="1505"/>
      <c r="W333" s="1505"/>
      <c r="X333" s="1505"/>
      <c r="Y333" s="1505"/>
      <c r="Z333" s="1505"/>
      <c r="AA333" s="1506"/>
      <c r="AB333" s="1506"/>
      <c r="AC333" s="1506"/>
      <c r="AD333" s="1507"/>
      <c r="AE333" s="1508">
        <v>10188581.983896941</v>
      </c>
      <c r="AF333" s="1519">
        <f t="shared" si="54"/>
        <v>4.3540948649132227</v>
      </c>
      <c r="AG333" s="1224">
        <v>2340000</v>
      </c>
      <c r="AH333" s="1521">
        <f t="shared" si="55"/>
        <v>10188581.983896941</v>
      </c>
      <c r="AI333" s="1142">
        <f t="shared" si="66"/>
        <v>316</v>
      </c>
      <c r="AJ333" s="1143"/>
      <c r="AK333" s="1144"/>
      <c r="AL333" s="1130"/>
      <c r="AM333" s="1146"/>
      <c r="AN333" s="1147"/>
      <c r="AO333" s="1146"/>
      <c r="AP333" s="1146"/>
      <c r="AQ333" s="1146"/>
      <c r="AR333" s="1146"/>
      <c r="AS333" s="1146"/>
      <c r="AT333" s="1146"/>
      <c r="AU333" s="1146"/>
      <c r="AV333" s="1146"/>
      <c r="AW333" s="1146"/>
      <c r="AX333" s="1146"/>
    </row>
    <row r="334" spans="1:50" s="1148" customFormat="1" ht="29.25" customHeight="1">
      <c r="A334" s="1132">
        <f>_xlfn.AGGREGATE(4,7,A$17:A333)+1</f>
        <v>317</v>
      </c>
      <c r="B334" s="378" t="s">
        <v>2125</v>
      </c>
      <c r="C334" s="1497"/>
      <c r="D334" s="1498"/>
      <c r="E334" s="1058" t="str">
        <f>VLOOKUP(B334,TH.T6!B246:J576,9,FALSE)</f>
        <v>NV Phòng Tuyển sinh - Đào tạo</v>
      </c>
      <c r="F334" s="1499"/>
      <c r="G334" s="1500"/>
      <c r="H334" s="1501"/>
      <c r="I334" s="1502"/>
      <c r="J334" s="1503"/>
      <c r="K334" s="1500"/>
      <c r="L334" s="1501"/>
      <c r="M334" s="1502"/>
      <c r="N334" s="1503"/>
      <c r="O334" s="1500"/>
      <c r="P334" s="1504"/>
      <c r="Q334" s="1505"/>
      <c r="R334" s="1505"/>
      <c r="S334" s="1505"/>
      <c r="T334" s="1505"/>
      <c r="U334" s="1505"/>
      <c r="V334" s="1505"/>
      <c r="W334" s="1505"/>
      <c r="X334" s="1505"/>
      <c r="Y334" s="1505"/>
      <c r="Z334" s="1505"/>
      <c r="AA334" s="1506"/>
      <c r="AB334" s="1506"/>
      <c r="AC334" s="1506"/>
      <c r="AD334" s="1507"/>
      <c r="AE334" s="1508">
        <v>14461669.42995169</v>
      </c>
      <c r="AF334" s="1519">
        <f t="shared" si="54"/>
        <v>6.1802006110904655</v>
      </c>
      <c r="AG334" s="1224">
        <v>2340000</v>
      </c>
      <c r="AH334" s="1521">
        <f t="shared" si="55"/>
        <v>14461669.42995169</v>
      </c>
      <c r="AI334" s="1142">
        <f t="shared" si="66"/>
        <v>317</v>
      </c>
      <c r="AJ334" s="1143"/>
      <c r="AK334" s="1144"/>
      <c r="AL334" s="1130"/>
      <c r="AM334" s="1146"/>
      <c r="AN334" s="1147"/>
      <c r="AO334" s="1146"/>
      <c r="AP334" s="1146"/>
      <c r="AQ334" s="1146"/>
      <c r="AR334" s="1146"/>
      <c r="AS334" s="1146"/>
      <c r="AT334" s="1146"/>
      <c r="AU334" s="1146"/>
      <c r="AV334" s="1146"/>
      <c r="AW334" s="1146"/>
      <c r="AX334" s="1146"/>
    </row>
    <row r="335" spans="1:50" s="1148" customFormat="1" ht="29.25" customHeight="1">
      <c r="A335" s="1132">
        <f>_xlfn.AGGREGATE(4,7,A$17:A334)+1</f>
        <v>318</v>
      </c>
      <c r="B335" s="378" t="s">
        <v>2128</v>
      </c>
      <c r="C335" s="1497"/>
      <c r="D335" s="1498"/>
      <c r="E335" s="1058" t="str">
        <f>VLOOKUP(B335,TH.T6!B247:J577,9,FALSE)</f>
        <v>NV phòng TS - Đào tạo</v>
      </c>
      <c r="F335" s="1499"/>
      <c r="G335" s="1500"/>
      <c r="H335" s="1501"/>
      <c r="I335" s="1502"/>
      <c r="J335" s="1503"/>
      <c r="K335" s="1500"/>
      <c r="L335" s="1501"/>
      <c r="M335" s="1502"/>
      <c r="N335" s="1503"/>
      <c r="O335" s="1500"/>
      <c r="P335" s="1504"/>
      <c r="Q335" s="1505"/>
      <c r="R335" s="1505"/>
      <c r="S335" s="1505"/>
      <c r="T335" s="1505"/>
      <c r="U335" s="1505"/>
      <c r="V335" s="1505"/>
      <c r="W335" s="1505"/>
      <c r="X335" s="1505"/>
      <c r="Y335" s="1505"/>
      <c r="Z335" s="1505"/>
      <c r="AA335" s="1506"/>
      <c r="AB335" s="1506"/>
      <c r="AC335" s="1506"/>
      <c r="AD335" s="1507"/>
      <c r="AE335" s="1508">
        <v>12012205.692307692</v>
      </c>
      <c r="AF335" s="1519">
        <f t="shared" si="54"/>
        <v>5.1334212360289282</v>
      </c>
      <c r="AG335" s="1224">
        <v>2340000</v>
      </c>
      <c r="AH335" s="1521">
        <f t="shared" si="55"/>
        <v>12012205.692307692</v>
      </c>
      <c r="AI335" s="1142">
        <f t="shared" si="66"/>
        <v>318</v>
      </c>
      <c r="AJ335" s="1143"/>
      <c r="AK335" s="1144"/>
      <c r="AL335" s="1130"/>
      <c r="AM335" s="1146"/>
      <c r="AN335" s="1147"/>
      <c r="AO335" s="1146"/>
      <c r="AP335" s="1146"/>
      <c r="AQ335" s="1146"/>
      <c r="AR335" s="1146"/>
      <c r="AS335" s="1146"/>
      <c r="AT335" s="1146"/>
      <c r="AU335" s="1146"/>
      <c r="AV335" s="1146"/>
      <c r="AW335" s="1146"/>
      <c r="AX335" s="1146"/>
    </row>
    <row r="336" spans="1:50" s="1148" customFormat="1" ht="29.25" customHeight="1">
      <c r="A336" s="1132">
        <f>_xlfn.AGGREGATE(4,7,A$17:A335)+1</f>
        <v>319</v>
      </c>
      <c r="B336" s="378" t="s">
        <v>2131</v>
      </c>
      <c r="C336" s="1497"/>
      <c r="D336" s="1498"/>
      <c r="E336" s="1058" t="str">
        <f>VLOOKUP(B336,TH.T6!B248:J578,9,FALSE)</f>
        <v>NV phòng TS - Đào tạo</v>
      </c>
      <c r="F336" s="1499"/>
      <c r="G336" s="1500"/>
      <c r="H336" s="1501"/>
      <c r="I336" s="1502"/>
      <c r="J336" s="1503"/>
      <c r="K336" s="1500"/>
      <c r="L336" s="1501"/>
      <c r="M336" s="1502"/>
      <c r="N336" s="1503"/>
      <c r="O336" s="1500"/>
      <c r="P336" s="1504"/>
      <c r="Q336" s="1505"/>
      <c r="R336" s="1505"/>
      <c r="S336" s="1505"/>
      <c r="T336" s="1505"/>
      <c r="U336" s="1505"/>
      <c r="V336" s="1505"/>
      <c r="W336" s="1505"/>
      <c r="X336" s="1505"/>
      <c r="Y336" s="1505"/>
      <c r="Z336" s="1505"/>
      <c r="AA336" s="1506"/>
      <c r="AB336" s="1506"/>
      <c r="AC336" s="1506"/>
      <c r="AD336" s="1507"/>
      <c r="AE336" s="1508">
        <v>15398373.555555556</v>
      </c>
      <c r="AF336" s="1519">
        <f t="shared" si="54"/>
        <v>6.5805015194681866</v>
      </c>
      <c r="AG336" s="1224">
        <v>2340000</v>
      </c>
      <c r="AH336" s="1521">
        <f t="shared" si="55"/>
        <v>15398373.555555556</v>
      </c>
      <c r="AI336" s="1142">
        <f t="shared" si="66"/>
        <v>319</v>
      </c>
      <c r="AJ336" s="1143"/>
      <c r="AK336" s="1144"/>
      <c r="AL336" s="1130"/>
      <c r="AM336" s="1146"/>
      <c r="AN336" s="1147"/>
      <c r="AO336" s="1146"/>
      <c r="AP336" s="1146"/>
      <c r="AQ336" s="1146"/>
      <c r="AR336" s="1146"/>
      <c r="AS336" s="1146"/>
      <c r="AT336" s="1146"/>
      <c r="AU336" s="1146"/>
      <c r="AV336" s="1146"/>
      <c r="AW336" s="1146"/>
      <c r="AX336" s="1146"/>
    </row>
    <row r="337" spans="1:50" s="1148" customFormat="1" ht="29.25" customHeight="1">
      <c r="A337" s="1132">
        <f>_xlfn.AGGREGATE(4,7,A$17:A336)+1</f>
        <v>320</v>
      </c>
      <c r="B337" s="378" t="s">
        <v>2134</v>
      </c>
      <c r="C337" s="1497"/>
      <c r="D337" s="1498"/>
      <c r="E337" s="1058" t="str">
        <f>VLOOKUP(B337,TH.T6!B249:J579,9,FALSE)</f>
        <v>NV phòng TS - Đào tạo</v>
      </c>
      <c r="F337" s="1499"/>
      <c r="G337" s="1500"/>
      <c r="H337" s="1501"/>
      <c r="I337" s="1502"/>
      <c r="J337" s="1503"/>
      <c r="K337" s="1500"/>
      <c r="L337" s="1501"/>
      <c r="M337" s="1502"/>
      <c r="N337" s="1503"/>
      <c r="O337" s="1500"/>
      <c r="P337" s="1504"/>
      <c r="Q337" s="1505"/>
      <c r="R337" s="1505"/>
      <c r="S337" s="1505"/>
      <c r="T337" s="1505"/>
      <c r="U337" s="1505"/>
      <c r="V337" s="1505"/>
      <c r="W337" s="1505"/>
      <c r="X337" s="1505"/>
      <c r="Y337" s="1505"/>
      <c r="Z337" s="1505"/>
      <c r="AA337" s="1506"/>
      <c r="AB337" s="1506"/>
      <c r="AC337" s="1506"/>
      <c r="AD337" s="1507"/>
      <c r="AE337" s="1508">
        <v>16933933</v>
      </c>
      <c r="AF337" s="1519">
        <f t="shared" si="54"/>
        <v>7.2367235042735043</v>
      </c>
      <c r="AG337" s="1224">
        <v>2340000</v>
      </c>
      <c r="AH337" s="1521">
        <f t="shared" si="55"/>
        <v>16933933</v>
      </c>
      <c r="AI337" s="1142">
        <f t="shared" si="66"/>
        <v>320</v>
      </c>
      <c r="AJ337" s="1143"/>
      <c r="AK337" s="1144"/>
      <c r="AL337" s="1130"/>
      <c r="AM337" s="1146"/>
      <c r="AN337" s="1147"/>
      <c r="AO337" s="1146"/>
      <c r="AP337" s="1146"/>
      <c r="AQ337" s="1146"/>
      <c r="AR337" s="1146"/>
      <c r="AS337" s="1146"/>
      <c r="AT337" s="1146"/>
      <c r="AU337" s="1146"/>
      <c r="AV337" s="1146"/>
      <c r="AW337" s="1146"/>
      <c r="AX337" s="1146"/>
    </row>
    <row r="338" spans="1:50" s="1148" customFormat="1" ht="29.25" customHeight="1">
      <c r="A338" s="1132">
        <f>_xlfn.AGGREGATE(4,7,A$17:A337)+1</f>
        <v>321</v>
      </c>
      <c r="B338" s="378" t="s">
        <v>2137</v>
      </c>
      <c r="C338" s="1497"/>
      <c r="D338" s="1498"/>
      <c r="E338" s="1058" t="str">
        <f>VLOOKUP(B338,TH.T6!B250:J580,9,FALSE)</f>
        <v>NV phòng TS - Đào tạo</v>
      </c>
      <c r="F338" s="1499"/>
      <c r="G338" s="1500"/>
      <c r="H338" s="1501"/>
      <c r="I338" s="1502"/>
      <c r="J338" s="1503"/>
      <c r="K338" s="1500"/>
      <c r="L338" s="1501"/>
      <c r="M338" s="1502"/>
      <c r="N338" s="1503"/>
      <c r="O338" s="1500"/>
      <c r="P338" s="1504"/>
      <c r="Q338" s="1505"/>
      <c r="R338" s="1505"/>
      <c r="S338" s="1505"/>
      <c r="T338" s="1505"/>
      <c r="U338" s="1505"/>
      <c r="V338" s="1505"/>
      <c r="W338" s="1505"/>
      <c r="X338" s="1505"/>
      <c r="Y338" s="1505"/>
      <c r="Z338" s="1505"/>
      <c r="AA338" s="1506"/>
      <c r="AB338" s="1506"/>
      <c r="AC338" s="1506"/>
      <c r="AD338" s="1507"/>
      <c r="AE338" s="1508">
        <v>10590539.333333332</v>
      </c>
      <c r="AF338" s="1519">
        <f t="shared" ref="AF338:AF349" si="67">AE338/AG338</f>
        <v>4.525871509971509</v>
      </c>
      <c r="AG338" s="1224">
        <v>2340000</v>
      </c>
      <c r="AH338" s="1521">
        <f t="shared" ref="AH338:AH349" si="68">AF338*AG338</f>
        <v>10590539.33333333</v>
      </c>
      <c r="AI338" s="1142">
        <f t="shared" si="66"/>
        <v>321</v>
      </c>
      <c r="AJ338" s="1143"/>
      <c r="AK338" s="1144"/>
      <c r="AL338" s="1130"/>
      <c r="AM338" s="1146"/>
      <c r="AN338" s="1147"/>
      <c r="AO338" s="1146"/>
      <c r="AP338" s="1146"/>
      <c r="AQ338" s="1146"/>
      <c r="AR338" s="1146"/>
      <c r="AS338" s="1146"/>
      <c r="AT338" s="1146"/>
      <c r="AU338" s="1146"/>
      <c r="AV338" s="1146"/>
      <c r="AW338" s="1146"/>
      <c r="AX338" s="1146"/>
    </row>
    <row r="339" spans="1:50" s="1148" customFormat="1" ht="29.25" customHeight="1">
      <c r="A339" s="1132">
        <f>_xlfn.AGGREGATE(4,7,A$17:A338)+1</f>
        <v>322</v>
      </c>
      <c r="B339" s="378" t="s">
        <v>2353</v>
      </c>
      <c r="C339" s="1497"/>
      <c r="D339" s="1498"/>
      <c r="E339" s="1058" t="s">
        <v>2376</v>
      </c>
      <c r="F339" s="1499"/>
      <c r="G339" s="1500"/>
      <c r="H339" s="1501"/>
      <c r="I339" s="1502"/>
      <c r="J339" s="1503"/>
      <c r="K339" s="1500"/>
      <c r="L339" s="1501"/>
      <c r="M339" s="1502"/>
      <c r="N339" s="1503"/>
      <c r="O339" s="1500"/>
      <c r="P339" s="1504"/>
      <c r="Q339" s="1505"/>
      <c r="R339" s="1505"/>
      <c r="S339" s="1505"/>
      <c r="T339" s="1505"/>
      <c r="U339" s="1505"/>
      <c r="V339" s="1505"/>
      <c r="W339" s="1505"/>
      <c r="X339" s="1505"/>
      <c r="Y339" s="1505"/>
      <c r="Z339" s="1505"/>
      <c r="AA339" s="1506"/>
      <c r="AB339" s="1506"/>
      <c r="AC339" s="1506"/>
      <c r="AD339" s="1507"/>
      <c r="AE339" s="1508">
        <v>7778502.6433791649</v>
      </c>
      <c r="AF339" s="1519">
        <f t="shared" si="67"/>
        <v>3.3241464287945148</v>
      </c>
      <c r="AG339" s="1224">
        <v>2340000</v>
      </c>
      <c r="AH339" s="1521">
        <f t="shared" si="68"/>
        <v>7778502.6433791649</v>
      </c>
      <c r="AI339" s="1142">
        <f t="shared" si="66"/>
        <v>322</v>
      </c>
      <c r="AJ339" s="1143"/>
      <c r="AK339" s="1144"/>
      <c r="AL339" s="1130"/>
      <c r="AM339" s="1146"/>
      <c r="AN339" s="1147"/>
      <c r="AO339" s="1146"/>
      <c r="AP339" s="1146"/>
      <c r="AQ339" s="1146"/>
      <c r="AR339" s="1146"/>
      <c r="AS339" s="1146"/>
      <c r="AT339" s="1146"/>
      <c r="AU339" s="1146"/>
      <c r="AV339" s="1146"/>
      <c r="AW339" s="1146"/>
      <c r="AX339" s="1146"/>
    </row>
    <row r="340" spans="1:50" s="1148" customFormat="1" ht="29.25" customHeight="1">
      <c r="A340" s="1132">
        <f>_xlfn.AGGREGATE(4,7,A$17:A339)+1</f>
        <v>323</v>
      </c>
      <c r="B340" s="378" t="s">
        <v>2138</v>
      </c>
      <c r="C340" s="1497"/>
      <c r="D340" s="1498"/>
      <c r="E340" s="1058" t="str">
        <f>VLOOKUP(B340,TH.T6!B252:J582,9,FALSE)</f>
        <v>NV TT Điều hành và QLDL</v>
      </c>
      <c r="F340" s="1499"/>
      <c r="G340" s="1500"/>
      <c r="H340" s="1501"/>
      <c r="I340" s="1502"/>
      <c r="J340" s="1503"/>
      <c r="K340" s="1500"/>
      <c r="L340" s="1501"/>
      <c r="M340" s="1502"/>
      <c r="N340" s="1503"/>
      <c r="O340" s="1500"/>
      <c r="P340" s="1504"/>
      <c r="Q340" s="1505"/>
      <c r="R340" s="1505"/>
      <c r="S340" s="1505"/>
      <c r="T340" s="1505"/>
      <c r="U340" s="1505"/>
      <c r="V340" s="1505"/>
      <c r="W340" s="1505"/>
      <c r="X340" s="1505"/>
      <c r="Y340" s="1505"/>
      <c r="Z340" s="1505"/>
      <c r="AA340" s="1506"/>
      <c r="AB340" s="1506"/>
      <c r="AC340" s="1506"/>
      <c r="AD340" s="1507"/>
      <c r="AE340" s="1508">
        <v>5534903.2424749164</v>
      </c>
      <c r="AF340" s="1519">
        <f t="shared" si="67"/>
        <v>2.3653432660149214</v>
      </c>
      <c r="AG340" s="1224">
        <v>2340000</v>
      </c>
      <c r="AH340" s="1521">
        <f t="shared" si="68"/>
        <v>5534903.2424749164</v>
      </c>
      <c r="AI340" s="1142">
        <f t="shared" si="66"/>
        <v>323</v>
      </c>
      <c r="AJ340" s="1143"/>
      <c r="AK340" s="1144"/>
      <c r="AL340" s="1130"/>
      <c r="AM340" s="1146"/>
      <c r="AN340" s="1147"/>
      <c r="AO340" s="1146"/>
      <c r="AP340" s="1146"/>
      <c r="AQ340" s="1146"/>
      <c r="AR340" s="1146"/>
      <c r="AS340" s="1146"/>
      <c r="AT340" s="1146"/>
      <c r="AU340" s="1146"/>
      <c r="AV340" s="1146"/>
      <c r="AW340" s="1146"/>
      <c r="AX340" s="1146"/>
    </row>
    <row r="341" spans="1:50" s="1148" customFormat="1" ht="29.25" customHeight="1">
      <c r="A341" s="1132">
        <f>_xlfn.AGGREGATE(4,7,A$17:A340)+1</f>
        <v>324</v>
      </c>
      <c r="B341" s="378" t="s">
        <v>2142</v>
      </c>
      <c r="C341" s="1497"/>
      <c r="D341" s="1498"/>
      <c r="E341" s="1058" t="str">
        <f>VLOOKUP(B341,TH.T6!B253:J583,9,FALSE)</f>
        <v>NV TT Điều hành và QLDL</v>
      </c>
      <c r="F341" s="1499"/>
      <c r="G341" s="1500"/>
      <c r="H341" s="1501"/>
      <c r="I341" s="1502"/>
      <c r="J341" s="1503"/>
      <c r="K341" s="1500"/>
      <c r="L341" s="1501"/>
      <c r="M341" s="1502"/>
      <c r="N341" s="1503"/>
      <c r="O341" s="1500"/>
      <c r="P341" s="1504"/>
      <c r="Q341" s="1505"/>
      <c r="R341" s="1505"/>
      <c r="S341" s="1505"/>
      <c r="T341" s="1505"/>
      <c r="U341" s="1505"/>
      <c r="V341" s="1505"/>
      <c r="W341" s="1505"/>
      <c r="X341" s="1505"/>
      <c r="Y341" s="1505"/>
      <c r="Z341" s="1505"/>
      <c r="AA341" s="1506"/>
      <c r="AB341" s="1506"/>
      <c r="AC341" s="1506"/>
      <c r="AD341" s="1507"/>
      <c r="AE341" s="1508">
        <v>12878805.333333332</v>
      </c>
      <c r="AF341" s="1519">
        <f t="shared" si="67"/>
        <v>5.5037629629629627</v>
      </c>
      <c r="AG341" s="1224">
        <v>2340000</v>
      </c>
      <c r="AH341" s="1521">
        <f t="shared" si="68"/>
        <v>12878805.333333332</v>
      </c>
      <c r="AI341" s="1142">
        <f t="shared" si="66"/>
        <v>324</v>
      </c>
      <c r="AJ341" s="1143"/>
      <c r="AK341" s="1144"/>
      <c r="AL341" s="1130"/>
      <c r="AM341" s="1146"/>
      <c r="AN341" s="1147"/>
      <c r="AO341" s="1146"/>
      <c r="AP341" s="1146"/>
      <c r="AQ341" s="1146"/>
      <c r="AR341" s="1146"/>
      <c r="AS341" s="1146"/>
      <c r="AT341" s="1146"/>
      <c r="AU341" s="1146"/>
      <c r="AV341" s="1146"/>
      <c r="AW341" s="1146"/>
      <c r="AX341" s="1146"/>
    </row>
    <row r="342" spans="1:50" s="1148" customFormat="1" ht="29.25" customHeight="1">
      <c r="A342" s="1132">
        <f>_xlfn.AGGREGATE(4,7,A$17:A341)+1</f>
        <v>325</v>
      </c>
      <c r="B342" s="378" t="s">
        <v>2143</v>
      </c>
      <c r="C342" s="1497"/>
      <c r="D342" s="1498"/>
      <c r="E342" s="1058" t="str">
        <f>VLOOKUP(B342,TH.T6!B254:J584,9,FALSE)</f>
        <v>NV TT Điều hành và QLDL</v>
      </c>
      <c r="F342" s="1499"/>
      <c r="G342" s="1500"/>
      <c r="H342" s="1501"/>
      <c r="I342" s="1502"/>
      <c r="J342" s="1503"/>
      <c r="K342" s="1500"/>
      <c r="L342" s="1501"/>
      <c r="M342" s="1502"/>
      <c r="N342" s="1503"/>
      <c r="O342" s="1500"/>
      <c r="P342" s="1504"/>
      <c r="Q342" s="1505"/>
      <c r="R342" s="1505"/>
      <c r="S342" s="1505"/>
      <c r="T342" s="1505"/>
      <c r="U342" s="1505"/>
      <c r="V342" s="1505"/>
      <c r="W342" s="1505"/>
      <c r="X342" s="1505"/>
      <c r="Y342" s="1505"/>
      <c r="Z342" s="1505"/>
      <c r="AA342" s="1506"/>
      <c r="AB342" s="1506"/>
      <c r="AC342" s="1506"/>
      <c r="AD342" s="1507"/>
      <c r="AE342" s="1508">
        <v>7550581.6425120775</v>
      </c>
      <c r="AF342" s="1519">
        <f t="shared" si="67"/>
        <v>3.2267442916718281</v>
      </c>
      <c r="AG342" s="1224">
        <v>2340000</v>
      </c>
      <c r="AH342" s="1521">
        <f t="shared" si="68"/>
        <v>7550581.6425120775</v>
      </c>
      <c r="AI342" s="1142">
        <f t="shared" si="66"/>
        <v>325</v>
      </c>
      <c r="AJ342" s="1143"/>
      <c r="AK342" s="1144"/>
      <c r="AL342" s="1130"/>
      <c r="AM342" s="1146"/>
      <c r="AN342" s="1147"/>
      <c r="AO342" s="1146"/>
      <c r="AP342" s="1146"/>
      <c r="AQ342" s="1146"/>
      <c r="AR342" s="1146"/>
      <c r="AS342" s="1146"/>
      <c r="AT342" s="1146"/>
      <c r="AU342" s="1146"/>
      <c r="AV342" s="1146"/>
      <c r="AW342" s="1146"/>
      <c r="AX342" s="1146"/>
    </row>
    <row r="343" spans="1:50" s="1148" customFormat="1" ht="29.25" customHeight="1">
      <c r="A343" s="1132">
        <f>_xlfn.AGGREGATE(4,7,A$17:A342)+1</f>
        <v>326</v>
      </c>
      <c r="B343" s="588" t="s">
        <v>2144</v>
      </c>
      <c r="C343" s="1536"/>
      <c r="D343" s="1537"/>
      <c r="E343" s="579" t="str">
        <f>VLOOKUP(B343,TH.T6!B255:J585,9,FALSE)</f>
        <v>NV phòng Khảo thí và ĐBCL</v>
      </c>
      <c r="F343" s="1538"/>
      <c r="G343" s="1539"/>
      <c r="H343" s="1540"/>
      <c r="I343" s="1541"/>
      <c r="J343" s="1542"/>
      <c r="K343" s="1539"/>
      <c r="L343" s="1540"/>
      <c r="M343" s="1541"/>
      <c r="N343" s="1542"/>
      <c r="O343" s="1539"/>
      <c r="P343" s="1543"/>
      <c r="Q343" s="1544"/>
      <c r="R343" s="1544"/>
      <c r="S343" s="1544"/>
      <c r="T343" s="1544"/>
      <c r="U343" s="1544"/>
      <c r="V343" s="1544"/>
      <c r="W343" s="1544"/>
      <c r="X343" s="1544"/>
      <c r="Y343" s="1544"/>
      <c r="Z343" s="1544"/>
      <c r="AA343" s="1545"/>
      <c r="AB343" s="1545"/>
      <c r="AC343" s="1545"/>
      <c r="AD343" s="1546"/>
      <c r="AE343" s="1547">
        <v>10796561.370370369</v>
      </c>
      <c r="AF343" s="1548">
        <f t="shared" si="67"/>
        <v>4.613915115542893</v>
      </c>
      <c r="AG343" s="1359">
        <v>2340000</v>
      </c>
      <c r="AH343" s="1549">
        <f t="shared" si="68"/>
        <v>10796561.370370369</v>
      </c>
      <c r="AI343" s="1221">
        <f t="shared" si="66"/>
        <v>326</v>
      </c>
      <c r="AJ343" s="1350" t="s">
        <v>2378</v>
      </c>
      <c r="AK343" s="1144"/>
      <c r="AL343" s="1130"/>
      <c r="AM343" s="1146"/>
      <c r="AN343" s="1147"/>
      <c r="AO343" s="1146"/>
      <c r="AP343" s="1146"/>
      <c r="AQ343" s="1146"/>
      <c r="AR343" s="1146"/>
      <c r="AS343" s="1146"/>
      <c r="AT343" s="1146"/>
      <c r="AU343" s="1146"/>
      <c r="AV343" s="1146"/>
      <c r="AW343" s="1146"/>
      <c r="AX343" s="1146"/>
    </row>
    <row r="344" spans="1:50" s="1148" customFormat="1" ht="29.25" customHeight="1">
      <c r="A344" s="1132">
        <f>_xlfn.AGGREGATE(4,7,A$17:A343)+1</f>
        <v>327</v>
      </c>
      <c r="B344" s="378" t="s">
        <v>2147</v>
      </c>
      <c r="C344" s="1497"/>
      <c r="D344" s="1498"/>
      <c r="E344" s="1058" t="str">
        <f>VLOOKUP(B344,TH.T6!B256:J586,9,FALSE)</f>
        <v>Khoa Động lực</v>
      </c>
      <c r="F344" s="1499"/>
      <c r="G344" s="1500"/>
      <c r="H344" s="1501"/>
      <c r="I344" s="1502"/>
      <c r="J344" s="1503"/>
      <c r="K344" s="1500"/>
      <c r="L344" s="1501"/>
      <c r="M344" s="1502"/>
      <c r="N344" s="1503"/>
      <c r="O344" s="1500"/>
      <c r="P344" s="1504"/>
      <c r="Q344" s="1505"/>
      <c r="R344" s="1505"/>
      <c r="S344" s="1505"/>
      <c r="T344" s="1505"/>
      <c r="U344" s="1505"/>
      <c r="V344" s="1505"/>
      <c r="W344" s="1505"/>
      <c r="X344" s="1505"/>
      <c r="Y344" s="1505"/>
      <c r="Z344" s="1505"/>
      <c r="AA344" s="1506"/>
      <c r="AB344" s="1506"/>
      <c r="AC344" s="1506"/>
      <c r="AD344" s="1507"/>
      <c r="AE344" s="1508">
        <v>18576743.074074075</v>
      </c>
      <c r="AF344" s="1519">
        <f t="shared" si="67"/>
        <v>7.9387790914846477</v>
      </c>
      <c r="AG344" s="1224">
        <v>2340000</v>
      </c>
      <c r="AH344" s="1521">
        <f t="shared" si="68"/>
        <v>18576743.074074075</v>
      </c>
      <c r="AI344" s="1142">
        <f t="shared" si="66"/>
        <v>327</v>
      </c>
      <c r="AJ344" s="1143"/>
      <c r="AK344" s="1144"/>
      <c r="AL344" s="1130"/>
      <c r="AM344" s="1146"/>
      <c r="AN344" s="1147"/>
      <c r="AO344" s="1146"/>
      <c r="AP344" s="1146"/>
      <c r="AQ344" s="1146"/>
      <c r="AR344" s="1146"/>
      <c r="AS344" s="1146"/>
      <c r="AT344" s="1146"/>
      <c r="AU344" s="1146"/>
      <c r="AV344" s="1146"/>
      <c r="AW344" s="1146"/>
      <c r="AX344" s="1146"/>
    </row>
    <row r="345" spans="1:50" s="1148" customFormat="1" ht="29.25" customHeight="1">
      <c r="A345" s="1132">
        <f>_xlfn.AGGREGATE(4,7,A$17:A344)+1</f>
        <v>328</v>
      </c>
      <c r="B345" s="378" t="s">
        <v>2149</v>
      </c>
      <c r="C345" s="1497"/>
      <c r="D345" s="1498"/>
      <c r="E345" s="1058" t="s">
        <v>2384</v>
      </c>
      <c r="F345" s="1499"/>
      <c r="G345" s="1500"/>
      <c r="H345" s="1501"/>
      <c r="I345" s="1502"/>
      <c r="J345" s="1503"/>
      <c r="K345" s="1500"/>
      <c r="L345" s="1501"/>
      <c r="M345" s="1502"/>
      <c r="N345" s="1503"/>
      <c r="O345" s="1500"/>
      <c r="P345" s="1504"/>
      <c r="Q345" s="1505"/>
      <c r="R345" s="1505"/>
      <c r="S345" s="1505"/>
      <c r="T345" s="1505"/>
      <c r="U345" s="1505"/>
      <c r="V345" s="1505"/>
      <c r="W345" s="1505"/>
      <c r="X345" s="1505"/>
      <c r="Y345" s="1505"/>
      <c r="Z345" s="1505"/>
      <c r="AA345" s="1506"/>
      <c r="AB345" s="1506"/>
      <c r="AC345" s="1506"/>
      <c r="AD345" s="1507"/>
      <c r="AE345" s="1508">
        <v>10966590</v>
      </c>
      <c r="AF345" s="1519">
        <f t="shared" si="67"/>
        <v>4.686576923076923</v>
      </c>
      <c r="AG345" s="1224">
        <v>2340000</v>
      </c>
      <c r="AH345" s="1521">
        <f t="shared" si="68"/>
        <v>10966590</v>
      </c>
      <c r="AI345" s="1142">
        <f t="shared" si="66"/>
        <v>328</v>
      </c>
      <c r="AJ345" s="1143"/>
      <c r="AK345" s="1144"/>
      <c r="AL345" s="1130"/>
      <c r="AM345" s="1146"/>
      <c r="AN345" s="1147"/>
      <c r="AO345" s="1146"/>
      <c r="AP345" s="1146"/>
      <c r="AQ345" s="1146"/>
      <c r="AR345" s="1146"/>
      <c r="AS345" s="1146"/>
      <c r="AT345" s="1146"/>
      <c r="AU345" s="1146"/>
      <c r="AV345" s="1146"/>
      <c r="AW345" s="1146"/>
      <c r="AX345" s="1146"/>
    </row>
    <row r="346" spans="1:50" s="1148" customFormat="1" ht="29.25" customHeight="1">
      <c r="A346" s="1132">
        <f>_xlfn.AGGREGATE(4,7,A$17:A345)+1</f>
        <v>329</v>
      </c>
      <c r="B346" s="378" t="s">
        <v>2151</v>
      </c>
      <c r="C346" s="1497"/>
      <c r="D346" s="1498"/>
      <c r="E346" s="1058" t="s">
        <v>2384</v>
      </c>
      <c r="F346" s="1499"/>
      <c r="G346" s="1500"/>
      <c r="H346" s="1501"/>
      <c r="I346" s="1502"/>
      <c r="J346" s="1503"/>
      <c r="K346" s="1500"/>
      <c r="L346" s="1501"/>
      <c r="M346" s="1502"/>
      <c r="N346" s="1503"/>
      <c r="O346" s="1500"/>
      <c r="P346" s="1504"/>
      <c r="Q346" s="1505"/>
      <c r="R346" s="1505"/>
      <c r="S346" s="1505"/>
      <c r="T346" s="1505"/>
      <c r="U346" s="1505"/>
      <c r="V346" s="1505"/>
      <c r="W346" s="1505"/>
      <c r="X346" s="1505"/>
      <c r="Y346" s="1505"/>
      <c r="Z346" s="1505"/>
      <c r="AA346" s="1506"/>
      <c r="AB346" s="1506"/>
      <c r="AC346" s="1506"/>
      <c r="AD346" s="1507"/>
      <c r="AE346" s="1508">
        <v>6712533.333333334</v>
      </c>
      <c r="AF346" s="1519">
        <f t="shared" si="67"/>
        <v>2.8686039886039887</v>
      </c>
      <c r="AG346" s="1224">
        <v>2340000</v>
      </c>
      <c r="AH346" s="1521">
        <f t="shared" si="68"/>
        <v>6712533.333333334</v>
      </c>
      <c r="AI346" s="1142">
        <f t="shared" si="66"/>
        <v>329</v>
      </c>
      <c r="AJ346" s="1143"/>
      <c r="AK346" s="1144"/>
      <c r="AL346" s="1130"/>
      <c r="AM346" s="1146"/>
      <c r="AN346" s="1147"/>
      <c r="AO346" s="1146"/>
      <c r="AP346" s="1146"/>
      <c r="AQ346" s="1146"/>
      <c r="AR346" s="1146"/>
      <c r="AS346" s="1146"/>
      <c r="AT346" s="1146"/>
      <c r="AU346" s="1146"/>
      <c r="AV346" s="1146"/>
      <c r="AW346" s="1146"/>
      <c r="AX346" s="1146"/>
    </row>
    <row r="347" spans="1:50" s="1148" customFormat="1" ht="24" customHeight="1">
      <c r="A347" s="1132">
        <f>_xlfn.AGGREGATE(4,7,A$17:A346)+1</f>
        <v>330</v>
      </c>
      <c r="B347" s="378" t="s">
        <v>2152</v>
      </c>
      <c r="C347" s="1497"/>
      <c r="D347" s="1498"/>
      <c r="E347" s="1058" t="str">
        <f>VLOOKUP(B347,TH.T6!B259:J589,9,FALSE)</f>
        <v xml:space="preserve">NV Thư viện  </v>
      </c>
      <c r="F347" s="1499"/>
      <c r="G347" s="1500"/>
      <c r="H347" s="1501"/>
      <c r="I347" s="1502"/>
      <c r="J347" s="1503"/>
      <c r="K347" s="1500"/>
      <c r="L347" s="1501"/>
      <c r="M347" s="1502"/>
      <c r="N347" s="1503"/>
      <c r="O347" s="1500"/>
      <c r="P347" s="1504"/>
      <c r="Q347" s="1505"/>
      <c r="R347" s="1505"/>
      <c r="S347" s="1505"/>
      <c r="T347" s="1505"/>
      <c r="U347" s="1505"/>
      <c r="V347" s="1505"/>
      <c r="W347" s="1505"/>
      <c r="X347" s="1505"/>
      <c r="Y347" s="1505"/>
      <c r="Z347" s="1505"/>
      <c r="AA347" s="1506"/>
      <c r="AB347" s="1506"/>
      <c r="AC347" s="1506"/>
      <c r="AD347" s="1507"/>
      <c r="AE347" s="1508">
        <v>11903612.518518519</v>
      </c>
      <c r="AF347" s="1519">
        <f t="shared" si="67"/>
        <v>5.0870138968027856</v>
      </c>
      <c r="AG347" s="1224">
        <v>2340000</v>
      </c>
      <c r="AH347" s="1521">
        <f t="shared" si="68"/>
        <v>11903612.518518519</v>
      </c>
      <c r="AI347" s="1142">
        <f t="shared" si="66"/>
        <v>330</v>
      </c>
      <c r="AJ347" s="1143"/>
      <c r="AK347" s="1144"/>
      <c r="AL347" s="1130"/>
      <c r="AM347" s="1146"/>
      <c r="AN347" s="1147"/>
      <c r="AO347" s="1146"/>
      <c r="AP347" s="1146"/>
      <c r="AQ347" s="1146"/>
      <c r="AR347" s="1146"/>
      <c r="AS347" s="1146"/>
      <c r="AT347" s="1146"/>
      <c r="AU347" s="1146"/>
      <c r="AV347" s="1146"/>
      <c r="AW347" s="1146"/>
      <c r="AX347" s="1146"/>
    </row>
    <row r="348" spans="1:50" s="1148" customFormat="1" ht="24" customHeight="1">
      <c r="A348" s="1132">
        <f>_xlfn.AGGREGATE(4,7,A$17:A347)+1</f>
        <v>331</v>
      </c>
      <c r="B348" s="378" t="s">
        <v>2155</v>
      </c>
      <c r="C348" s="1497"/>
      <c r="D348" s="1498"/>
      <c r="E348" s="1058" t="str">
        <f>VLOOKUP(B348,TH.T6!B260:J590,9,FALSE)</f>
        <v xml:space="preserve">NV Thư viện  </v>
      </c>
      <c r="F348" s="1499"/>
      <c r="G348" s="1500"/>
      <c r="H348" s="1501"/>
      <c r="I348" s="1502"/>
      <c r="J348" s="1503"/>
      <c r="K348" s="1500"/>
      <c r="L348" s="1501"/>
      <c r="M348" s="1502"/>
      <c r="N348" s="1503"/>
      <c r="O348" s="1500"/>
      <c r="P348" s="1504"/>
      <c r="Q348" s="1505"/>
      <c r="R348" s="1505"/>
      <c r="S348" s="1505"/>
      <c r="T348" s="1505"/>
      <c r="U348" s="1505"/>
      <c r="V348" s="1505"/>
      <c r="W348" s="1505"/>
      <c r="X348" s="1505"/>
      <c r="Y348" s="1505"/>
      <c r="Z348" s="1505"/>
      <c r="AA348" s="1506"/>
      <c r="AB348" s="1506"/>
      <c r="AC348" s="1506"/>
      <c r="AD348" s="1507"/>
      <c r="AE348" s="1508">
        <v>10065739.92995169</v>
      </c>
      <c r="AF348" s="1519">
        <f t="shared" si="67"/>
        <v>4.3015982606631153</v>
      </c>
      <c r="AG348" s="1224">
        <v>2340000</v>
      </c>
      <c r="AH348" s="1521">
        <f t="shared" si="68"/>
        <v>10065739.92995169</v>
      </c>
      <c r="AI348" s="1142">
        <f t="shared" si="66"/>
        <v>331</v>
      </c>
      <c r="AJ348" s="1143"/>
      <c r="AK348" s="1144"/>
      <c r="AL348" s="1130"/>
      <c r="AM348" s="1146"/>
      <c r="AN348" s="1147"/>
      <c r="AO348" s="1146"/>
      <c r="AP348" s="1146"/>
      <c r="AQ348" s="1146"/>
      <c r="AR348" s="1146"/>
      <c r="AS348" s="1146"/>
      <c r="AT348" s="1146"/>
      <c r="AU348" s="1146"/>
      <c r="AV348" s="1146"/>
      <c r="AW348" s="1146"/>
      <c r="AX348" s="1146"/>
    </row>
    <row r="349" spans="1:50" s="1148" customFormat="1" ht="24" customHeight="1">
      <c r="A349" s="1132">
        <f>_xlfn.AGGREGATE(4,7,A$17:A348)+1</f>
        <v>332</v>
      </c>
      <c r="B349" s="378" t="s">
        <v>2156</v>
      </c>
      <c r="C349" s="1497"/>
      <c r="D349" s="1498"/>
      <c r="E349" s="1058" t="str">
        <f>VLOOKUP(B349,TH.T6!B261:J591,9,FALSE)</f>
        <v xml:space="preserve">NV Thư viện  </v>
      </c>
      <c r="F349" s="1499"/>
      <c r="G349" s="1500"/>
      <c r="H349" s="1501"/>
      <c r="I349" s="1502"/>
      <c r="J349" s="1503"/>
      <c r="K349" s="1500"/>
      <c r="L349" s="1501"/>
      <c r="M349" s="1502"/>
      <c r="N349" s="1503"/>
      <c r="O349" s="1500"/>
      <c r="P349" s="1504"/>
      <c r="Q349" s="1505"/>
      <c r="R349" s="1505"/>
      <c r="S349" s="1505"/>
      <c r="T349" s="1505"/>
      <c r="U349" s="1505"/>
      <c r="V349" s="1505"/>
      <c r="W349" s="1505"/>
      <c r="X349" s="1505"/>
      <c r="Y349" s="1505"/>
      <c r="Z349" s="1505"/>
      <c r="AA349" s="1506"/>
      <c r="AB349" s="1506"/>
      <c r="AC349" s="1506"/>
      <c r="AD349" s="1507"/>
      <c r="AE349" s="1508">
        <v>11900639.588319089</v>
      </c>
      <c r="AF349" s="1519">
        <f t="shared" si="67"/>
        <v>5.0857434138115769</v>
      </c>
      <c r="AG349" s="1517">
        <v>2340000</v>
      </c>
      <c r="AH349" s="1521">
        <f t="shared" si="68"/>
        <v>11900639.588319089</v>
      </c>
      <c r="AI349" s="1142">
        <f t="shared" ref="AI349" si="69">A349</f>
        <v>332</v>
      </c>
      <c r="AJ349" s="1535"/>
      <c r="AK349" s="1144"/>
      <c r="AL349" s="1130"/>
      <c r="AM349" s="1146"/>
      <c r="AN349" s="1147"/>
      <c r="AO349" s="1146"/>
      <c r="AP349" s="1146"/>
      <c r="AQ349" s="1146"/>
      <c r="AR349" s="1146"/>
      <c r="AS349" s="1146"/>
      <c r="AT349" s="1146"/>
      <c r="AU349" s="1146"/>
      <c r="AV349" s="1146"/>
      <c r="AW349" s="1146"/>
      <c r="AX349" s="1146"/>
    </row>
    <row r="350" spans="1:50" s="1248" customFormat="1" ht="21.75" customHeight="1">
      <c r="A350" s="1237"/>
      <c r="B350" s="1238" t="s">
        <v>1109</v>
      </c>
      <c r="C350" s="1239"/>
      <c r="D350" s="1240"/>
      <c r="E350" s="1240"/>
      <c r="F350" s="1241">
        <f>SUM(F18:F284)</f>
        <v>1016.2970000000004</v>
      </c>
      <c r="G350" s="1241">
        <f>SUM(G18:G284)</f>
        <v>2.7600000000000002</v>
      </c>
      <c r="H350" s="1241"/>
      <c r="I350" s="1241">
        <f>SUM(I18:I284)</f>
        <v>25.099999999999998</v>
      </c>
      <c r="J350" s="1241"/>
      <c r="K350" s="1241"/>
      <c r="L350" s="1241"/>
      <c r="M350" s="1241"/>
      <c r="N350" s="1241"/>
      <c r="O350" s="1241"/>
      <c r="P350" s="1241"/>
      <c r="Q350" s="1241"/>
      <c r="R350" s="1241"/>
      <c r="S350" s="1241"/>
      <c r="T350" s="1241"/>
      <c r="U350" s="1241"/>
      <c r="V350" s="1241"/>
      <c r="W350" s="1241"/>
      <c r="X350" s="1241"/>
      <c r="Y350" s="1241"/>
      <c r="Z350" s="1241"/>
      <c r="AA350" s="1242">
        <f>SUM(AA18:AA284)</f>
        <v>5896.5</v>
      </c>
      <c r="AB350" s="1243">
        <f>SUM(AB18:AB284)</f>
        <v>1995</v>
      </c>
      <c r="AC350" s="1243"/>
      <c r="AD350" s="1243"/>
      <c r="AE350" s="1242">
        <f>SUM(AE18:AE349)</f>
        <v>4305137274.1136494</v>
      </c>
      <c r="AF350" s="1522">
        <f>SUM(AF18:AF349)</f>
        <v>1839.8022538947228</v>
      </c>
      <c r="AG350" s="1244"/>
      <c r="AH350" s="1244">
        <f>SUM(AH18:AH349)</f>
        <v>4308323652.1136494</v>
      </c>
      <c r="AI350" s="1245"/>
      <c r="AJ350" s="1240"/>
      <c r="AK350" s="1246"/>
      <c r="AL350" s="1247"/>
      <c r="AN350" s="1249"/>
    </row>
    <row r="351" spans="1:50" ht="2.25" customHeight="1">
      <c r="F351" s="1124"/>
      <c r="G351" s="1403"/>
      <c r="H351" s="1403"/>
      <c r="AA351" s="1124"/>
      <c r="AB351" s="1124"/>
      <c r="AC351" s="1124"/>
      <c r="AD351" s="1124"/>
      <c r="AE351" s="1404"/>
      <c r="AF351" s="1404"/>
      <c r="AG351" s="1404"/>
      <c r="AH351" s="1404"/>
    </row>
    <row r="352" spans="1:50" s="1120" customFormat="1" ht="21.75" customHeight="1">
      <c r="B352" s="1250" t="s">
        <v>2377</v>
      </c>
      <c r="C352" s="1121"/>
      <c r="D352" s="1121"/>
      <c r="E352" s="1121"/>
      <c r="F352" s="1405"/>
      <c r="G352" s="1405"/>
      <c r="H352" s="1405"/>
      <c r="I352" s="1405"/>
      <c r="J352" s="1405"/>
      <c r="K352" s="1405"/>
      <c r="L352" s="1405"/>
      <c r="M352" s="1405"/>
      <c r="N352" s="1405"/>
      <c r="O352" s="1405"/>
      <c r="P352" s="1405"/>
      <c r="Q352" s="1405"/>
      <c r="R352" s="1467">
        <f>COUNTIF($R$18:$R$284,"A1")</f>
        <v>34</v>
      </c>
      <c r="S352" s="1468"/>
      <c r="T352" s="1467">
        <f>COUNTIF(T18:T284,"A1")</f>
        <v>36</v>
      </c>
      <c r="U352" s="1468"/>
      <c r="V352" s="1467">
        <f>COUNTIF($V$18:$V$284,"A1")</f>
        <v>42</v>
      </c>
      <c r="W352" s="1405"/>
      <c r="X352" s="1405"/>
      <c r="Y352" s="1405"/>
      <c r="Z352" s="1405"/>
      <c r="AA352" s="1387"/>
      <c r="AB352" s="1387"/>
      <c r="AC352" s="1387"/>
      <c r="AD352" s="1387"/>
      <c r="AE352" s="1406"/>
      <c r="AF352" s="1406"/>
      <c r="AG352" s="1406"/>
      <c r="AH352" s="1406"/>
      <c r="AJ352" s="1407"/>
      <c r="AK352" s="1125"/>
      <c r="AL352" s="1126"/>
      <c r="AN352" s="1127"/>
    </row>
    <row r="353" spans="1:40" s="1120" customFormat="1" ht="18" customHeight="1">
      <c r="B353" s="1408"/>
      <c r="C353" s="1121"/>
      <c r="D353" s="1121"/>
      <c r="E353" s="1121"/>
      <c r="F353" s="1405"/>
      <c r="G353" s="1405"/>
      <c r="H353" s="1405"/>
      <c r="I353" s="1405"/>
      <c r="J353" s="1405"/>
      <c r="K353" s="1405"/>
      <c r="L353" s="1405"/>
      <c r="M353" s="1405"/>
      <c r="N353" s="1405"/>
      <c r="O353" s="1405"/>
      <c r="P353" s="1405"/>
      <c r="Q353" s="1405"/>
      <c r="R353" s="1467">
        <f>COUNTIF($R$18:$R$284,"A2")</f>
        <v>34</v>
      </c>
      <c r="S353" s="1468"/>
      <c r="T353" s="1467">
        <f>COUNTIF(T19:T350,"A2")</f>
        <v>26</v>
      </c>
      <c r="U353" s="1468"/>
      <c r="V353" s="1467">
        <f>COUNTIF($V$18:$V$284,"A2")</f>
        <v>50</v>
      </c>
      <c r="W353" s="1405"/>
      <c r="X353" s="1405"/>
      <c r="Y353" s="1405"/>
      <c r="Z353" s="1405"/>
      <c r="AA353" s="1387"/>
      <c r="AB353" s="1727" t="s">
        <v>2385</v>
      </c>
      <c r="AC353" s="1727"/>
      <c r="AD353" s="1727"/>
      <c r="AE353" s="1727"/>
      <c r="AF353" s="1727"/>
      <c r="AG353" s="1727"/>
      <c r="AH353" s="1727"/>
      <c r="AI353" s="1727"/>
      <c r="AJ353" s="1727"/>
      <c r="AK353" s="1125"/>
      <c r="AL353" s="1126"/>
      <c r="AN353" s="1127"/>
    </row>
    <row r="354" spans="1:40">
      <c r="F354" s="1124"/>
      <c r="G354" s="1403"/>
      <c r="H354" s="1403"/>
      <c r="R354" s="1467">
        <f>COUNTIF($R$18:$R$284,"A3")</f>
        <v>121</v>
      </c>
      <c r="S354" s="1469"/>
      <c r="T354" s="1467">
        <f>COUNTIF(T20:T351,"A3")</f>
        <v>20</v>
      </c>
      <c r="U354" s="1469"/>
      <c r="V354" s="1467">
        <f>COUNTIF($V$18:$V$284,"A3")</f>
        <v>94</v>
      </c>
      <c r="AA354" s="1124"/>
      <c r="AB354" s="1121" t="s">
        <v>2303</v>
      </c>
      <c r="AC354" s="1121"/>
      <c r="AD354" s="1121"/>
      <c r="AE354" s="1121"/>
      <c r="AF354" s="1121"/>
      <c r="AG354" s="1704" t="s">
        <v>2303</v>
      </c>
      <c r="AH354" s="1704"/>
      <c r="AI354" s="1704"/>
      <c r="AJ354" s="1704"/>
    </row>
    <row r="355" spans="1:40" s="1120" customFormat="1">
      <c r="A355" s="1704" t="s">
        <v>859</v>
      </c>
      <c r="B355" s="1704"/>
      <c r="C355" s="1121"/>
      <c r="D355" s="1121"/>
      <c r="E355" s="1704" t="s">
        <v>1191</v>
      </c>
      <c r="F355" s="1704"/>
      <c r="G355" s="1704"/>
      <c r="H355" s="1704"/>
      <c r="I355" s="1704"/>
      <c r="J355" s="1704"/>
      <c r="K355" s="1704"/>
      <c r="L355" s="1704"/>
      <c r="M355" s="1704"/>
      <c r="N355" s="1704"/>
      <c r="O355" s="1704"/>
      <c r="P355" s="1704"/>
      <c r="Q355" s="1704"/>
      <c r="R355" s="1704"/>
      <c r="S355" s="1704"/>
      <c r="T355" s="1704"/>
      <c r="U355" s="1704"/>
      <c r="V355" s="1704"/>
      <c r="W355" s="1704"/>
      <c r="X355" s="1704"/>
      <c r="Y355" s="1704"/>
      <c r="Z355" s="1704"/>
      <c r="AA355" s="1704"/>
      <c r="AB355" s="1704"/>
      <c r="AC355" s="1704"/>
      <c r="AD355" s="1704"/>
      <c r="AE355" s="1704"/>
      <c r="AF355" s="1704"/>
      <c r="AG355" s="1704" t="s">
        <v>2304</v>
      </c>
      <c r="AH355" s="1704"/>
      <c r="AI355" s="1704"/>
      <c r="AJ355" s="1704"/>
      <c r="AK355" s="1125"/>
      <c r="AL355" s="1126"/>
      <c r="AN355" s="1127"/>
    </row>
    <row r="356" spans="1:40" s="1120" customFormat="1" ht="11.25" customHeight="1">
      <c r="A356" s="1365"/>
      <c r="B356" s="1365"/>
      <c r="C356" s="1121"/>
      <c r="D356" s="1121"/>
      <c r="E356" s="1121"/>
      <c r="F356" s="1121"/>
      <c r="G356" s="1121"/>
      <c r="H356" s="1121"/>
      <c r="I356" s="1365"/>
      <c r="J356" s="1365"/>
      <c r="K356" s="1365"/>
      <c r="L356" s="1365"/>
      <c r="M356" s="1365"/>
      <c r="N356" s="1365"/>
      <c r="O356" s="1365"/>
      <c r="P356" s="1365"/>
      <c r="Q356" s="1365"/>
      <c r="R356" s="1470"/>
      <c r="S356" s="1470"/>
      <c r="T356" s="1467">
        <f>COUNTIF(T22:T353,"A DN")</f>
        <v>173</v>
      </c>
      <c r="U356" s="1470"/>
      <c r="V356" s="1470"/>
      <c r="W356" s="1365"/>
      <c r="X356" s="1365"/>
      <c r="Y356" s="1365"/>
      <c r="Z356" s="1365"/>
      <c r="AA356" s="1365"/>
      <c r="AB356" s="1121"/>
      <c r="AC356" s="1121"/>
      <c r="AD356" s="1121"/>
      <c r="AE356" s="1704"/>
      <c r="AF356" s="1704"/>
      <c r="AG356" s="1704"/>
      <c r="AH356" s="1704"/>
      <c r="AI356" s="1704"/>
      <c r="AJ356" s="1704"/>
      <c r="AK356" s="1125"/>
      <c r="AL356" s="1126"/>
      <c r="AN356" s="1127"/>
    </row>
    <row r="357" spans="1:40" s="1120" customFormat="1" ht="10.5" customHeight="1">
      <c r="A357" s="1365"/>
      <c r="B357" s="1365"/>
      <c r="C357" s="1121"/>
      <c r="D357" s="1121"/>
      <c r="E357" s="1121"/>
      <c r="F357" s="1121"/>
      <c r="G357" s="1121"/>
      <c r="H357" s="1121"/>
      <c r="I357" s="1365"/>
      <c r="J357" s="1365"/>
      <c r="K357" s="1365"/>
      <c r="L357" s="1365"/>
      <c r="M357" s="1365"/>
      <c r="N357" s="1365"/>
      <c r="O357" s="1365"/>
      <c r="P357" s="1365"/>
      <c r="Q357" s="1365"/>
      <c r="R357" s="1470"/>
      <c r="S357" s="1470"/>
      <c r="T357" s="1470"/>
      <c r="U357" s="1470"/>
      <c r="V357" s="1470"/>
      <c r="W357" s="1365"/>
      <c r="X357" s="1365"/>
      <c r="Y357" s="1365"/>
      <c r="Z357" s="1365"/>
      <c r="AA357" s="1365"/>
      <c r="AB357" s="1121"/>
      <c r="AC357" s="1121"/>
      <c r="AD357" s="1121"/>
      <c r="AE357" s="1365"/>
      <c r="AF357" s="1365"/>
      <c r="AG357" s="1365"/>
      <c r="AH357" s="1365"/>
      <c r="AJ357" s="1267"/>
      <c r="AK357" s="1125"/>
      <c r="AL357" s="1126"/>
      <c r="AN357" s="1127"/>
    </row>
    <row r="358" spans="1:40" s="1120" customFormat="1" ht="13.5" customHeight="1">
      <c r="G358" s="1411"/>
      <c r="H358" s="1411"/>
      <c r="AA358" s="1365"/>
      <c r="AB358" s="1387"/>
      <c r="AC358" s="1387"/>
      <c r="AD358" s="1387"/>
      <c r="AE358" s="1387"/>
      <c r="AF358" s="1387"/>
      <c r="AG358" s="1387"/>
      <c r="AH358" s="1387"/>
      <c r="AJ358" s="1124"/>
      <c r="AK358" s="1125"/>
      <c r="AL358" s="1126"/>
      <c r="AN358" s="1127"/>
    </row>
    <row r="359" spans="1:40" s="1120" customFormat="1" ht="13.5" customHeight="1">
      <c r="G359" s="1411"/>
      <c r="H359" s="1411"/>
      <c r="AA359" s="1365"/>
      <c r="AB359" s="1387"/>
      <c r="AC359" s="1387"/>
      <c r="AD359" s="1387"/>
      <c r="AE359" s="1387"/>
      <c r="AF359" s="1387"/>
      <c r="AG359" s="1387"/>
      <c r="AH359" s="1387"/>
      <c r="AJ359" s="1409"/>
      <c r="AK359" s="1125"/>
      <c r="AL359" s="1126"/>
      <c r="AN359" s="1127"/>
    </row>
    <row r="360" spans="1:40" s="1120" customFormat="1" ht="13.5" customHeight="1">
      <c r="G360" s="1411"/>
      <c r="H360" s="1411"/>
      <c r="AA360" s="1365"/>
      <c r="AB360" s="1387"/>
      <c r="AC360" s="1387"/>
      <c r="AD360" s="1387"/>
      <c r="AE360" s="1410"/>
      <c r="AF360" s="1410"/>
      <c r="AG360" s="1410"/>
      <c r="AH360" s="1410"/>
      <c r="AJ360" s="1124"/>
      <c r="AK360" s="1125"/>
      <c r="AL360" s="1126"/>
      <c r="AN360" s="1127"/>
    </row>
    <row r="361" spans="1:40" s="1120" customFormat="1" ht="13.5" customHeight="1">
      <c r="G361" s="1411"/>
      <c r="H361" s="1411"/>
      <c r="I361" s="1387"/>
      <c r="J361" s="1387"/>
      <c r="K361" s="1387"/>
      <c r="L361" s="1387"/>
      <c r="M361" s="1387"/>
      <c r="N361" s="1387"/>
      <c r="O361" s="1387"/>
      <c r="P361" s="1387"/>
      <c r="Q361" s="1387"/>
      <c r="R361" s="1387"/>
      <c r="S361" s="1387"/>
      <c r="T361" s="1387"/>
      <c r="U361" s="1387"/>
      <c r="V361" s="1387"/>
      <c r="W361" s="1387"/>
      <c r="X361" s="1387"/>
      <c r="Y361" s="1387"/>
      <c r="Z361" s="1387"/>
      <c r="AA361" s="1387"/>
      <c r="AB361" s="1387"/>
      <c r="AC361" s="1387"/>
      <c r="AD361" s="1387"/>
      <c r="AE361" s="1387"/>
      <c r="AF361" s="1387"/>
      <c r="AG361" s="1387"/>
      <c r="AH361" s="1387"/>
      <c r="AJ361" s="1409"/>
      <c r="AK361" s="1125"/>
      <c r="AL361" s="1126"/>
      <c r="AN361" s="1127"/>
    </row>
    <row r="362" spans="1:40" s="1120" customFormat="1" ht="13.5" customHeight="1">
      <c r="G362" s="1735"/>
      <c r="H362" s="1735"/>
      <c r="I362" s="1387"/>
      <c r="J362" s="1387"/>
      <c r="K362" s="1387"/>
      <c r="L362" s="1387"/>
      <c r="M362" s="1387"/>
      <c r="N362" s="1387"/>
      <c r="O362" s="1387"/>
      <c r="P362" s="1387"/>
      <c r="Q362" s="1387"/>
      <c r="R362" s="1387"/>
      <c r="S362" s="1387"/>
      <c r="T362" s="1387"/>
      <c r="U362" s="1387"/>
      <c r="V362" s="1387"/>
      <c r="W362" s="1387"/>
      <c r="X362" s="1387"/>
      <c r="Y362" s="1387"/>
      <c r="Z362" s="1387"/>
      <c r="AA362" s="1387"/>
      <c r="AB362" s="1387"/>
      <c r="AC362" s="1387"/>
      <c r="AD362" s="1387"/>
      <c r="AE362" s="1387"/>
      <c r="AF362" s="1387"/>
      <c r="AG362" s="1387"/>
      <c r="AH362" s="1387"/>
      <c r="AJ362" s="1124"/>
      <c r="AK362" s="1125"/>
      <c r="AL362" s="1126"/>
      <c r="AN362" s="1127"/>
    </row>
    <row r="363" spans="1:40" s="1120" customFormat="1">
      <c r="A363" s="1704" t="s">
        <v>1827</v>
      </c>
      <c r="B363" s="1704"/>
      <c r="C363" s="1121"/>
      <c r="D363" s="1121"/>
      <c r="E363" s="1704" t="s">
        <v>1445</v>
      </c>
      <c r="F363" s="1704"/>
      <c r="G363" s="1704"/>
      <c r="H363" s="1704"/>
      <c r="I363" s="1704"/>
      <c r="J363" s="1704"/>
      <c r="K363" s="1704"/>
      <c r="L363" s="1704"/>
      <c r="M363" s="1704"/>
      <c r="N363" s="1704"/>
      <c r="O363" s="1704"/>
      <c r="P363" s="1704"/>
      <c r="Q363" s="1704"/>
      <c r="R363" s="1704"/>
      <c r="S363" s="1704"/>
      <c r="T363" s="1704"/>
      <c r="U363" s="1704"/>
      <c r="V363" s="1704"/>
      <c r="W363" s="1704"/>
      <c r="X363" s="1704"/>
      <c r="Y363" s="1704"/>
      <c r="Z363" s="1704"/>
      <c r="AA363" s="1704"/>
      <c r="AB363" s="1704"/>
      <c r="AC363" s="1704"/>
      <c r="AD363" s="1704"/>
      <c r="AE363" s="1704"/>
      <c r="AF363" s="1704"/>
      <c r="AG363" s="1704" t="s">
        <v>1447</v>
      </c>
      <c r="AH363" s="1704"/>
      <c r="AI363" s="1704"/>
      <c r="AJ363" s="1704"/>
      <c r="AK363" s="1125"/>
      <c r="AL363" s="1126"/>
      <c r="AN363" s="1127"/>
    </row>
    <row r="364" spans="1:40" ht="15.75">
      <c r="A364" s="1412"/>
    </row>
    <row r="365" spans="1:40" ht="15.75" customHeight="1">
      <c r="A365" s="1412"/>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838" priority="135" stopIfTrue="1" operator="equal">
      <formula>"KXL"</formula>
    </cfRule>
    <cfRule type="cellIs" dxfId="837" priority="136" stopIfTrue="1" operator="equal">
      <formula>"A DN"</formula>
    </cfRule>
    <cfRule type="cellIs" dxfId="836" priority="137" stopIfTrue="1" operator="equal">
      <formula>"C"</formula>
    </cfRule>
    <cfRule type="cellIs" dxfId="835" priority="138" stopIfTrue="1" operator="equal">
      <formula>"B"</formula>
    </cfRule>
  </conditionalFormatting>
  <conditionalFormatting sqref="B276">
    <cfRule type="cellIs" dxfId="834" priority="131" stopIfTrue="1" operator="equal">
      <formula>"KXL"</formula>
    </cfRule>
    <cfRule type="cellIs" dxfId="833" priority="132" stopIfTrue="1" operator="equal">
      <formula>"A DN"</formula>
    </cfRule>
    <cfRule type="cellIs" dxfId="832" priority="133" stopIfTrue="1" operator="equal">
      <formula>"C"</formula>
    </cfRule>
    <cfRule type="cellIs" dxfId="831" priority="134" stopIfTrue="1" operator="equal">
      <formula>"B"</formula>
    </cfRule>
  </conditionalFormatting>
  <conditionalFormatting sqref="B56 F56:G56 AL56:JG56 AL69:JG69 AL121:JG121 I56">
    <cfRule type="cellIs" dxfId="830" priority="128" stopIfTrue="1" operator="equal">
      <formula>"C"</formula>
    </cfRule>
    <cfRule type="cellIs" dxfId="829" priority="129" stopIfTrue="1" operator="equal">
      <formula>"B"</formula>
    </cfRule>
    <cfRule type="cellIs" dxfId="828" priority="130" stopIfTrue="1" operator="equal">
      <formula>"A DN"</formula>
    </cfRule>
  </conditionalFormatting>
  <conditionalFormatting sqref="B69 F69:G69 I69">
    <cfRule type="cellIs" dxfId="827" priority="125" stopIfTrue="1" operator="equal">
      <formula>"C"</formula>
    </cfRule>
    <cfRule type="cellIs" dxfId="826" priority="126" stopIfTrue="1" operator="equal">
      <formula>"B"</formula>
    </cfRule>
    <cfRule type="cellIs" dxfId="825" priority="127" stopIfTrue="1" operator="equal">
      <formula>"A DN"</formula>
    </cfRule>
  </conditionalFormatting>
  <conditionalFormatting sqref="B121 F121:G121 I121">
    <cfRule type="cellIs" dxfId="824" priority="122" stopIfTrue="1" operator="equal">
      <formula>"C"</formula>
    </cfRule>
    <cfRule type="cellIs" dxfId="823" priority="123" stopIfTrue="1" operator="equal">
      <formula>"B"</formula>
    </cfRule>
    <cfRule type="cellIs" dxfId="822" priority="124" stopIfTrue="1" operator="equal">
      <formula>"A DN"</formula>
    </cfRule>
  </conditionalFormatting>
  <conditionalFormatting sqref="D121">
    <cfRule type="cellIs" dxfId="821" priority="118" stopIfTrue="1" operator="equal">
      <formula>"KXL"</formula>
    </cfRule>
    <cfRule type="cellIs" dxfId="820" priority="119" stopIfTrue="1" operator="equal">
      <formula>"A DN"</formula>
    </cfRule>
    <cfRule type="cellIs" dxfId="819" priority="120" stopIfTrue="1" operator="equal">
      <formula>"C"</formula>
    </cfRule>
    <cfRule type="cellIs" dxfId="818" priority="121" stopIfTrue="1" operator="equal">
      <formula>"B"</formula>
    </cfRule>
  </conditionalFormatting>
  <conditionalFormatting sqref="C23:D23 I23 F23:G23">
    <cfRule type="cellIs" dxfId="817" priority="114" stopIfTrue="1" operator="equal">
      <formula>"KXL"</formula>
    </cfRule>
    <cfRule type="cellIs" dxfId="816" priority="115" stopIfTrue="1" operator="equal">
      <formula>"A DN"</formula>
    </cfRule>
    <cfRule type="cellIs" dxfId="815" priority="116" stopIfTrue="1" operator="equal">
      <formula>"C"</formula>
    </cfRule>
    <cfRule type="cellIs" dxfId="814" priority="117" stopIfTrue="1" operator="equal">
      <formula>"B"</formula>
    </cfRule>
  </conditionalFormatting>
  <conditionalFormatting sqref="C42:D42 I42:I43 C43 F42:G43">
    <cfRule type="cellIs" dxfId="813" priority="110" stopIfTrue="1" operator="equal">
      <formula>"KXL"</formula>
    </cfRule>
    <cfRule type="cellIs" dxfId="812" priority="111" stopIfTrue="1" operator="equal">
      <formula>"A DN"</formula>
    </cfRule>
    <cfRule type="cellIs" dxfId="811" priority="112" stopIfTrue="1" operator="equal">
      <formula>"C"</formula>
    </cfRule>
    <cfRule type="cellIs" dxfId="810" priority="113" stopIfTrue="1" operator="equal">
      <formula>"B"</formula>
    </cfRule>
  </conditionalFormatting>
  <conditionalFormatting sqref="AI89">
    <cfRule type="cellIs" dxfId="809" priority="106" stopIfTrue="1" operator="equal">
      <formula>"KXL"</formula>
    </cfRule>
    <cfRule type="cellIs" dxfId="808" priority="107" stopIfTrue="1" operator="equal">
      <formula>"A DN"</formula>
    </cfRule>
    <cfRule type="cellIs" dxfId="807" priority="108" stopIfTrue="1" operator="equal">
      <formula>"C"</formula>
    </cfRule>
    <cfRule type="cellIs" dxfId="806" priority="109" stopIfTrue="1" operator="equal">
      <formula>"B"</formula>
    </cfRule>
  </conditionalFormatting>
  <conditionalFormatting sqref="AL89:JG89 C89:D89 F89:G89">
    <cfRule type="cellIs" dxfId="805" priority="102" stopIfTrue="1" operator="equal">
      <formula>"KXL"</formula>
    </cfRule>
    <cfRule type="cellIs" dxfId="804" priority="103" stopIfTrue="1" operator="equal">
      <formula>"A DN"</formula>
    </cfRule>
    <cfRule type="cellIs" dxfId="803" priority="104" stopIfTrue="1" operator="equal">
      <formula>"C"</formula>
    </cfRule>
    <cfRule type="cellIs" dxfId="802" priority="105" stopIfTrue="1" operator="equal">
      <formula>"B"</formula>
    </cfRule>
  </conditionalFormatting>
  <conditionalFormatting sqref="J276:K349 J44:K55 J57:K68 J122:K263 J24:K41 J70:K88 K264:K275 J18:K22 M57:M68 M24:M41 M18:M22 M44:M55 M122:M349 M70:M89">
    <cfRule type="cellIs" dxfId="801" priority="98" stopIfTrue="1" operator="equal">
      <formula>"KXL"</formula>
    </cfRule>
    <cfRule type="cellIs" dxfId="800" priority="99" stopIfTrue="1" operator="equal">
      <formula>"A DN"</formula>
    </cfRule>
    <cfRule type="cellIs" dxfId="799" priority="100" stopIfTrue="1" operator="equal">
      <formula>"C"</formula>
    </cfRule>
    <cfRule type="cellIs" dxfId="798" priority="101" stopIfTrue="1" operator="equal">
      <formula>"B"</formula>
    </cfRule>
  </conditionalFormatting>
  <conditionalFormatting sqref="J56:K56 M56">
    <cfRule type="cellIs" dxfId="797" priority="95" stopIfTrue="1" operator="equal">
      <formula>"C"</formula>
    </cfRule>
    <cfRule type="cellIs" dxfId="796" priority="96" stopIfTrue="1" operator="equal">
      <formula>"B"</formula>
    </cfRule>
    <cfRule type="cellIs" dxfId="795" priority="97" stopIfTrue="1" operator="equal">
      <formula>"A DN"</formula>
    </cfRule>
  </conditionalFormatting>
  <conditionalFormatting sqref="J69:K69 M69">
    <cfRule type="cellIs" dxfId="794" priority="92" stopIfTrue="1" operator="equal">
      <formula>"C"</formula>
    </cfRule>
    <cfRule type="cellIs" dxfId="793" priority="93" stopIfTrue="1" operator="equal">
      <formula>"B"</formula>
    </cfRule>
    <cfRule type="cellIs" dxfId="792" priority="94" stopIfTrue="1" operator="equal">
      <formula>"A DN"</formula>
    </cfRule>
  </conditionalFormatting>
  <conditionalFormatting sqref="J121:K121 M121">
    <cfRule type="cellIs" dxfId="791" priority="89" stopIfTrue="1" operator="equal">
      <formula>"C"</formula>
    </cfRule>
    <cfRule type="cellIs" dxfId="790" priority="90" stopIfTrue="1" operator="equal">
      <formula>"B"</formula>
    </cfRule>
    <cfRule type="cellIs" dxfId="789" priority="91" stopIfTrue="1" operator="equal">
      <formula>"A DN"</formula>
    </cfRule>
  </conditionalFormatting>
  <conditionalFormatting sqref="J23:K23 M23">
    <cfRule type="cellIs" dxfId="788" priority="85" stopIfTrue="1" operator="equal">
      <formula>"KXL"</formula>
    </cfRule>
    <cfRule type="cellIs" dxfId="787" priority="86" stopIfTrue="1" operator="equal">
      <formula>"A DN"</formula>
    </cfRule>
    <cfRule type="cellIs" dxfId="786" priority="87" stopIfTrue="1" operator="equal">
      <formula>"C"</formula>
    </cfRule>
    <cfRule type="cellIs" dxfId="785" priority="88" stopIfTrue="1" operator="equal">
      <formula>"B"</formula>
    </cfRule>
  </conditionalFormatting>
  <conditionalFormatting sqref="M42:M43 J42:K43">
    <cfRule type="cellIs" dxfId="784" priority="81" stopIfTrue="1" operator="equal">
      <formula>"KXL"</formula>
    </cfRule>
    <cfRule type="cellIs" dxfId="783" priority="82" stopIfTrue="1" operator="equal">
      <formula>"A DN"</formula>
    </cfRule>
    <cfRule type="cellIs" dxfId="782" priority="83" stopIfTrue="1" operator="equal">
      <formula>"C"</formula>
    </cfRule>
    <cfRule type="cellIs" dxfId="781" priority="84" stopIfTrue="1" operator="equal">
      <formula>"B"</formula>
    </cfRule>
  </conditionalFormatting>
  <conditionalFormatting sqref="J89:K89">
    <cfRule type="cellIs" dxfId="780" priority="77" stopIfTrue="1" operator="equal">
      <formula>"KXL"</formula>
    </cfRule>
    <cfRule type="cellIs" dxfId="779" priority="78" stopIfTrue="1" operator="equal">
      <formula>"A DN"</formula>
    </cfRule>
    <cfRule type="cellIs" dxfId="778" priority="79" stopIfTrue="1" operator="equal">
      <formula>"C"</formula>
    </cfRule>
    <cfRule type="cellIs" dxfId="777" priority="80" stopIfTrue="1" operator="equal">
      <formula>"B"</formula>
    </cfRule>
  </conditionalFormatting>
  <conditionalFormatting sqref="N276:O349 N44:O55 N57:O68 N122:O263 N24:O41 N70:O88 O264:O275 N18:O22 Q57:Q68 Q24:Q41 Q18:Q22 Q44:Q55 Q122:Q349 Q70:Q89">
    <cfRule type="cellIs" dxfId="776" priority="73" stopIfTrue="1" operator="equal">
      <formula>"KXL"</formula>
    </cfRule>
    <cfRule type="cellIs" dxfId="775" priority="74" stopIfTrue="1" operator="equal">
      <formula>"A DN"</formula>
    </cfRule>
    <cfRule type="cellIs" dxfId="774" priority="75" stopIfTrue="1" operator="equal">
      <formula>"C"</formula>
    </cfRule>
    <cfRule type="cellIs" dxfId="773" priority="76" stopIfTrue="1" operator="equal">
      <formula>"B"</formula>
    </cfRule>
  </conditionalFormatting>
  <conditionalFormatting sqref="N56:O56 Q56">
    <cfRule type="cellIs" dxfId="772" priority="70" stopIfTrue="1" operator="equal">
      <formula>"C"</formula>
    </cfRule>
    <cfRule type="cellIs" dxfId="771" priority="71" stopIfTrue="1" operator="equal">
      <formula>"B"</formula>
    </cfRule>
    <cfRule type="cellIs" dxfId="770" priority="72" stopIfTrue="1" operator="equal">
      <formula>"A DN"</formula>
    </cfRule>
  </conditionalFormatting>
  <conditionalFormatting sqref="N69:O69 Q69">
    <cfRule type="cellIs" dxfId="769" priority="67" stopIfTrue="1" operator="equal">
      <formula>"C"</formula>
    </cfRule>
    <cfRule type="cellIs" dxfId="768" priority="68" stopIfTrue="1" operator="equal">
      <formula>"B"</formula>
    </cfRule>
    <cfRule type="cellIs" dxfId="767" priority="69" stopIfTrue="1" operator="equal">
      <formula>"A DN"</formula>
    </cfRule>
  </conditionalFormatting>
  <conditionalFormatting sqref="N121:O121 Q121">
    <cfRule type="cellIs" dxfId="766" priority="64" stopIfTrue="1" operator="equal">
      <formula>"C"</formula>
    </cfRule>
    <cfRule type="cellIs" dxfId="765" priority="65" stopIfTrue="1" operator="equal">
      <formula>"B"</formula>
    </cfRule>
    <cfRule type="cellIs" dxfId="764" priority="66" stopIfTrue="1" operator="equal">
      <formula>"A DN"</formula>
    </cfRule>
  </conditionalFormatting>
  <conditionalFormatting sqref="N23:O23 Q23">
    <cfRule type="cellIs" dxfId="763" priority="60" stopIfTrue="1" operator="equal">
      <formula>"KXL"</formula>
    </cfRule>
    <cfRule type="cellIs" dxfId="762" priority="61" stopIfTrue="1" operator="equal">
      <formula>"A DN"</formula>
    </cfRule>
    <cfRule type="cellIs" dxfId="761" priority="62" stopIfTrue="1" operator="equal">
      <formula>"C"</formula>
    </cfRule>
    <cfRule type="cellIs" dxfId="760" priority="63" stopIfTrue="1" operator="equal">
      <formula>"B"</formula>
    </cfRule>
  </conditionalFormatting>
  <conditionalFormatting sqref="Q42:Q43 N42:O43">
    <cfRule type="cellIs" dxfId="759" priority="56" stopIfTrue="1" operator="equal">
      <formula>"KXL"</formula>
    </cfRule>
    <cfRule type="cellIs" dxfId="758" priority="57" stopIfTrue="1" operator="equal">
      <formula>"A DN"</formula>
    </cfRule>
    <cfRule type="cellIs" dxfId="757" priority="58" stopIfTrue="1" operator="equal">
      <formula>"C"</formula>
    </cfRule>
    <cfRule type="cellIs" dxfId="756" priority="59" stopIfTrue="1" operator="equal">
      <formula>"B"</formula>
    </cfRule>
  </conditionalFormatting>
  <conditionalFormatting sqref="N89:O89">
    <cfRule type="cellIs" dxfId="755" priority="52" stopIfTrue="1" operator="equal">
      <formula>"KXL"</formula>
    </cfRule>
    <cfRule type="cellIs" dxfId="754" priority="53" stopIfTrue="1" operator="equal">
      <formula>"A DN"</formula>
    </cfRule>
    <cfRule type="cellIs" dxfId="753" priority="54" stopIfTrue="1" operator="equal">
      <formula>"C"</formula>
    </cfRule>
    <cfRule type="cellIs" dxfId="752" priority="55" stopIfTrue="1" operator="equal">
      <formula>"B"</formula>
    </cfRule>
  </conditionalFormatting>
  <conditionalFormatting sqref="R18:V349">
    <cfRule type="cellIs" dxfId="751" priority="37" operator="equal">
      <formula>"A DN"</formula>
    </cfRule>
    <cfRule type="cellIs" dxfId="750" priority="38" operator="equal">
      <formula>"KXL"</formula>
    </cfRule>
    <cfRule type="cellIs" dxfId="749" priority="39" operator="equal">
      <formula>"D"</formula>
    </cfRule>
    <cfRule type="cellIs" dxfId="748" priority="40" operator="equal">
      <formula>"C2"</formula>
    </cfRule>
    <cfRule type="cellIs" dxfId="747" priority="41" operator="equal">
      <formula>"C1"</formula>
    </cfRule>
    <cfRule type="cellIs" dxfId="746" priority="42" operator="equal">
      <formula>"B2"</formula>
    </cfRule>
    <cfRule type="cellIs" dxfId="745" priority="43" operator="equal">
      <formula>"B1"</formula>
    </cfRule>
  </conditionalFormatting>
  <conditionalFormatting sqref="B288:B300">
    <cfRule type="cellIs" dxfId="744" priority="25" stopIfTrue="1" operator="equal">
      <formula>"KXL"</formula>
    </cfRule>
    <cfRule type="cellIs" dxfId="743" priority="26" stopIfTrue="1" operator="equal">
      <formula>"A DN"</formula>
    </cfRule>
    <cfRule type="cellIs" dxfId="742" priority="27" stopIfTrue="1" operator="equal">
      <formula>"C"</formula>
    </cfRule>
    <cfRule type="cellIs" dxfId="741" priority="28" stopIfTrue="1" operator="equal">
      <formula>"B"</formula>
    </cfRule>
  </conditionalFormatting>
  <conditionalFormatting sqref="B305:B315">
    <cfRule type="cellIs" dxfId="740" priority="29" stopIfTrue="1" operator="equal">
      <formula>"KXL"</formula>
    </cfRule>
    <cfRule type="cellIs" dxfId="739" priority="30" stopIfTrue="1" operator="equal">
      <formula>"A DN"</formula>
    </cfRule>
    <cfRule type="cellIs" dxfId="738" priority="31" stopIfTrue="1" operator="equal">
      <formula>"C"</formula>
    </cfRule>
    <cfRule type="cellIs" dxfId="737" priority="32" stopIfTrue="1" operator="equal">
      <formula>"B"</formula>
    </cfRule>
  </conditionalFormatting>
  <conditionalFormatting sqref="E14">
    <cfRule type="cellIs" dxfId="736" priority="21" stopIfTrue="1" operator="equal">
      <formula>"KXL"</formula>
    </cfRule>
    <cfRule type="cellIs" dxfId="735" priority="22" stopIfTrue="1" operator="equal">
      <formula>"A DN"</formula>
    </cfRule>
    <cfRule type="cellIs" dxfId="734" priority="23" stopIfTrue="1" operator="equal">
      <formula>"C"</formula>
    </cfRule>
    <cfRule type="cellIs" dxfId="733" priority="24" stopIfTrue="1" operator="equal">
      <formula>"B"</formula>
    </cfRule>
  </conditionalFormatting>
  <conditionalFormatting sqref="AK6:IW7">
    <cfRule type="cellIs" dxfId="732" priority="17" stopIfTrue="1" operator="equal">
      <formula>"KXL"</formula>
    </cfRule>
    <cfRule type="cellIs" dxfId="731" priority="18" stopIfTrue="1" operator="equal">
      <formula>"A DN"</formula>
    </cfRule>
    <cfRule type="cellIs" dxfId="730" priority="19" stopIfTrue="1" operator="equal">
      <formula>"C"</formula>
    </cfRule>
    <cfRule type="cellIs" dxfId="729" priority="20" stopIfTrue="1" operator="equal">
      <formula>"B"</formula>
    </cfRule>
  </conditionalFormatting>
  <conditionalFormatting sqref="A6:A7">
    <cfRule type="cellIs" dxfId="728" priority="13" stopIfTrue="1" operator="equal">
      <formula>"KXL"</formula>
    </cfRule>
    <cfRule type="cellIs" dxfId="727" priority="14" stopIfTrue="1" operator="equal">
      <formula>"A DN"</formula>
    </cfRule>
    <cfRule type="cellIs" dxfId="726" priority="15" stopIfTrue="1" operator="equal">
      <formula>"C"</formula>
    </cfRule>
    <cfRule type="cellIs" dxfId="725" priority="16" stopIfTrue="1" operator="equal">
      <formula>"B"</formula>
    </cfRule>
  </conditionalFormatting>
  <conditionalFormatting sqref="AH5">
    <cfRule type="cellIs" dxfId="724" priority="1" stopIfTrue="1" operator="equal">
      <formula>"KXL"</formula>
    </cfRule>
    <cfRule type="cellIs" dxfId="723" priority="2" stopIfTrue="1" operator="equal">
      <formula>"A DN"</formula>
    </cfRule>
    <cfRule type="cellIs" dxfId="722" priority="3" stopIfTrue="1" operator="equal">
      <formula>"C"</formula>
    </cfRule>
    <cfRule type="cellIs" dxfId="721" priority="4" stopIfTrue="1" operator="equal">
      <formula>"B"</formula>
    </cfRule>
  </conditionalFormatting>
  <conditionalFormatting sqref="AH4">
    <cfRule type="cellIs" dxfId="720" priority="9" stopIfTrue="1" operator="equal">
      <formula>"KXL"</formula>
    </cfRule>
    <cfRule type="cellIs" dxfId="719" priority="10" stopIfTrue="1" operator="equal">
      <formula>"A DN"</formula>
    </cfRule>
    <cfRule type="cellIs" dxfId="718" priority="11" stopIfTrue="1" operator="equal">
      <formula>"C"</formula>
    </cfRule>
    <cfRule type="cellIs" dxfId="717" priority="12" stopIfTrue="1" operator="equal">
      <formula>"B"</formula>
    </cfRule>
  </conditionalFormatting>
  <conditionalFormatting sqref="AH5">
    <cfRule type="cellIs" dxfId="716" priority="5" stopIfTrue="1" operator="equal">
      <formula>"KXL"</formula>
    </cfRule>
    <cfRule type="cellIs" dxfId="715" priority="6" stopIfTrue="1" operator="equal">
      <formula>"A DN"</formula>
    </cfRule>
    <cfRule type="cellIs" dxfId="714" priority="7" stopIfTrue="1" operator="equal">
      <formula>"C"</formula>
    </cfRule>
    <cfRule type="cellIs" dxfId="713" priority="8" stopIfTrue="1" operator="equal">
      <formula>"B"</formula>
    </cfRule>
  </conditionalFormatting>
  <dataValidations disablePrompts="1" count="1">
    <dataValidation type="list" allowBlank="1" showInputMessage="1" showErrorMessage="1" sqref="AN22">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693" t="s">
        <v>492</v>
      </c>
      <c r="B1" s="1693"/>
      <c r="C1" s="1693"/>
      <c r="D1" s="1693"/>
      <c r="E1" s="1693"/>
      <c r="F1" s="1693"/>
      <c r="G1" s="1693"/>
      <c r="H1" s="1693"/>
      <c r="I1" s="1693"/>
      <c r="J1" s="1693"/>
      <c r="K1" s="1092"/>
      <c r="L1" s="1092"/>
      <c r="M1" s="1092"/>
      <c r="O1" s="723"/>
      <c r="P1" s="723"/>
      <c r="Q1" s="723"/>
      <c r="R1" s="723"/>
      <c r="S1" s="723"/>
      <c r="T1" s="724"/>
      <c r="U1" s="1691" t="s">
        <v>849</v>
      </c>
      <c r="V1" s="1691"/>
      <c r="W1" s="1691"/>
      <c r="X1" s="1691"/>
      <c r="Y1" s="1691"/>
      <c r="Z1" s="1691"/>
      <c r="AA1" s="1691"/>
      <c r="AB1" s="1691"/>
      <c r="AC1" s="723"/>
      <c r="AD1" s="723"/>
      <c r="AE1" s="723"/>
      <c r="AF1" s="723"/>
    </row>
    <row r="2" spans="1:32" s="722" customFormat="1" ht="14.25">
      <c r="A2" s="1691" t="s">
        <v>1563</v>
      </c>
      <c r="B2" s="1691"/>
      <c r="C2" s="1691"/>
      <c r="D2" s="1691"/>
      <c r="E2" s="1691"/>
      <c r="F2" s="1691"/>
      <c r="G2" s="1691"/>
      <c r="H2" s="1691"/>
      <c r="I2" s="1691"/>
      <c r="J2" s="1691"/>
      <c r="K2" s="1091"/>
      <c r="L2" s="1091"/>
      <c r="M2" s="1091"/>
      <c r="O2" s="723"/>
      <c r="P2" s="723"/>
      <c r="Q2" s="723"/>
      <c r="R2" s="723"/>
      <c r="S2" s="723"/>
      <c r="T2" s="723"/>
      <c r="U2" s="723"/>
      <c r="V2" s="723"/>
      <c r="W2" s="723"/>
      <c r="X2" s="1691" t="s">
        <v>2179</v>
      </c>
      <c r="Y2" s="1691"/>
      <c r="Z2" s="1691"/>
      <c r="AA2" s="1691"/>
      <c r="AB2" s="1691"/>
      <c r="AC2" s="723"/>
      <c r="AF2" s="723"/>
    </row>
    <row r="3" spans="1:32" s="722" customFormat="1" ht="15" customHeight="1">
      <c r="A3" s="1691" t="s">
        <v>1564</v>
      </c>
      <c r="B3" s="1691"/>
      <c r="C3" s="1691"/>
      <c r="D3" s="1691"/>
      <c r="E3" s="1691"/>
      <c r="F3" s="1691"/>
      <c r="G3" s="1691"/>
      <c r="H3" s="1691"/>
      <c r="I3" s="1691"/>
      <c r="J3" s="1691"/>
      <c r="K3" s="1691"/>
      <c r="L3" s="1691"/>
      <c r="M3" s="1691"/>
      <c r="O3" s="723"/>
      <c r="P3" s="723"/>
      <c r="Q3" s="723"/>
      <c r="R3" s="723"/>
      <c r="S3" s="723"/>
      <c r="T3" s="723"/>
      <c r="U3" s="723"/>
      <c r="V3" s="723"/>
      <c r="W3" s="723"/>
      <c r="X3" s="723"/>
      <c r="Y3" s="723"/>
      <c r="Z3" s="1691" t="s">
        <v>2180</v>
      </c>
      <c r="AA3" s="1691"/>
      <c r="AB3" s="1691"/>
      <c r="AC3" s="723"/>
      <c r="AD3" s="723"/>
      <c r="AE3" s="723"/>
      <c r="AF3" s="723"/>
    </row>
    <row r="4" spans="1:32" s="722" customFormat="1" ht="16.5" customHeight="1">
      <c r="A4" s="1691"/>
      <c r="B4" s="1691"/>
      <c r="C4" s="1691"/>
      <c r="D4" s="1691"/>
      <c r="E4" s="1691"/>
      <c r="F4" s="1691"/>
      <c r="G4" s="1691"/>
      <c r="H4" s="1691"/>
      <c r="I4" s="1691"/>
      <c r="J4" s="1691"/>
      <c r="K4" s="1691"/>
      <c r="L4" s="1691"/>
      <c r="M4" s="1691"/>
      <c r="N4" s="726"/>
      <c r="O4" s="727"/>
      <c r="P4" s="1092"/>
      <c r="Q4" s="1092"/>
      <c r="R4" s="1092"/>
      <c r="S4" s="727"/>
      <c r="T4" s="728"/>
      <c r="U4" s="727"/>
      <c r="V4" s="729"/>
      <c r="W4" s="729"/>
      <c r="X4" s="727"/>
      <c r="Y4" s="727"/>
      <c r="Z4" s="1693" t="s">
        <v>2181</v>
      </c>
      <c r="AA4" s="1693"/>
      <c r="AB4" s="1693"/>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92"/>
      <c r="Q5" s="1092"/>
      <c r="R5" s="1092"/>
      <c r="S5" s="727"/>
      <c r="T5" s="728"/>
      <c r="U5" s="727"/>
      <c r="V5" s="729"/>
      <c r="W5" s="729"/>
      <c r="X5" s="727"/>
      <c r="Y5" s="727"/>
      <c r="Z5" s="1693" t="s">
        <v>2182</v>
      </c>
      <c r="AA5" s="1693"/>
      <c r="AB5" s="1693"/>
      <c r="AC5" s="732"/>
      <c r="AD5" s="732"/>
      <c r="AE5" s="732"/>
      <c r="AF5" s="732"/>
    </row>
    <row r="6" spans="1:32" s="722" customFormat="1" ht="18.75" customHeight="1">
      <c r="A6" s="1690" t="s">
        <v>2183</v>
      </c>
      <c r="B6" s="1690"/>
      <c r="C6" s="1690"/>
      <c r="D6" s="1690"/>
      <c r="E6" s="1690"/>
      <c r="F6" s="1690"/>
      <c r="G6" s="1690"/>
      <c r="H6" s="1690"/>
      <c r="I6" s="1690"/>
      <c r="J6" s="1690"/>
      <c r="K6" s="1690"/>
      <c r="L6" s="1690"/>
      <c r="M6" s="1690"/>
      <c r="N6" s="1690"/>
      <c r="O6" s="1690"/>
      <c r="P6" s="1690"/>
      <c r="Q6" s="1690"/>
      <c r="R6" s="1690"/>
      <c r="S6" s="1690"/>
      <c r="T6" s="1690"/>
      <c r="U6" s="1690"/>
      <c r="V6" s="1690"/>
      <c r="W6" s="1690"/>
      <c r="X6" s="1690"/>
      <c r="Y6" s="1690"/>
      <c r="Z6" s="1690"/>
      <c r="AA6" s="1690"/>
      <c r="AB6" s="1690"/>
      <c r="AC6" s="733"/>
      <c r="AD6" s="733"/>
      <c r="AE6" s="733"/>
      <c r="AF6" s="733"/>
    </row>
    <row r="7" spans="1:32" s="722" customFormat="1" ht="18" customHeight="1">
      <c r="A7" s="1690" t="s">
        <v>2259</v>
      </c>
      <c r="B7" s="1690"/>
      <c r="C7" s="1690"/>
      <c r="D7" s="1690"/>
      <c r="E7" s="1690"/>
      <c r="F7" s="1690"/>
      <c r="G7" s="1690"/>
      <c r="H7" s="1690"/>
      <c r="I7" s="1690"/>
      <c r="J7" s="1690"/>
      <c r="K7" s="1690"/>
      <c r="L7" s="1690"/>
      <c r="M7" s="1690"/>
      <c r="N7" s="1690"/>
      <c r="O7" s="1690"/>
      <c r="P7" s="1690"/>
      <c r="Q7" s="1690"/>
      <c r="R7" s="1690"/>
      <c r="S7" s="1690"/>
      <c r="T7" s="1690"/>
      <c r="U7" s="1690"/>
      <c r="V7" s="1690"/>
      <c r="W7" s="1690"/>
      <c r="X7" s="1690"/>
      <c r="Y7" s="1690"/>
      <c r="Z7" s="1690"/>
      <c r="AA7" s="1690"/>
      <c r="AB7" s="1690"/>
      <c r="AC7" s="733"/>
      <c r="AD7" s="733"/>
      <c r="AE7" s="733"/>
      <c r="AF7" s="733"/>
    </row>
    <row r="8" spans="1:32" s="521" customFormat="1" ht="16.5" customHeight="1">
      <c r="A8" s="520" t="s">
        <v>2013</v>
      </c>
      <c r="C8" s="522">
        <v>1490000</v>
      </c>
      <c r="D8" s="523"/>
      <c r="E8" s="523"/>
      <c r="F8" s="1098"/>
      <c r="G8" s="525">
        <v>1800000</v>
      </c>
      <c r="H8" s="525"/>
      <c r="I8" s="526"/>
      <c r="J8" s="526"/>
      <c r="K8" s="527"/>
      <c r="L8" s="528"/>
      <c r="M8" s="526"/>
      <c r="N8" s="529"/>
      <c r="O8" s="1684"/>
      <c r="P8" s="1684"/>
      <c r="Q8" s="1684"/>
      <c r="R8" s="1684"/>
      <c r="S8" s="1684"/>
      <c r="T8" s="530"/>
      <c r="U8" s="531"/>
      <c r="V8" s="608"/>
      <c r="W8" s="1088" t="s">
        <v>1181</v>
      </c>
      <c r="X8" s="1088"/>
      <c r="Y8" s="1088"/>
      <c r="Z8" s="1088"/>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7" customHeight="1">
      <c r="A10" s="1095" t="s">
        <v>853</v>
      </c>
      <c r="B10" s="1702" t="s">
        <v>854</v>
      </c>
      <c r="C10" s="1702"/>
      <c r="D10" s="93" t="s">
        <v>1598</v>
      </c>
      <c r="E10" s="437" t="s">
        <v>50</v>
      </c>
      <c r="F10" s="719" t="s">
        <v>2176</v>
      </c>
      <c r="G10" s="228" t="s">
        <v>1138</v>
      </c>
      <c r="H10" s="45" t="s">
        <v>1139</v>
      </c>
      <c r="I10" s="45" t="s">
        <v>1140</v>
      </c>
      <c r="J10" s="719" t="s">
        <v>2176</v>
      </c>
      <c r="K10" s="83" t="s">
        <v>855</v>
      </c>
      <c r="L10" s="364" t="s">
        <v>1141</v>
      </c>
      <c r="M10" s="1089" t="s">
        <v>860</v>
      </c>
      <c r="N10" s="1089" t="s">
        <v>1186</v>
      </c>
      <c r="O10" s="1089" t="s">
        <v>861</v>
      </c>
      <c r="P10" s="1089" t="s">
        <v>857</v>
      </c>
      <c r="Q10" s="1089" t="s">
        <v>1187</v>
      </c>
      <c r="R10" s="470" t="s">
        <v>1247</v>
      </c>
      <c r="S10" s="98" t="s">
        <v>1188</v>
      </c>
      <c r="T10" s="399" t="s">
        <v>1184</v>
      </c>
      <c r="U10" s="1089" t="s">
        <v>1189</v>
      </c>
      <c r="V10" s="610" t="s">
        <v>1190</v>
      </c>
      <c r="W10" s="1089" t="s">
        <v>1100</v>
      </c>
      <c r="X10" s="718" t="s">
        <v>2172</v>
      </c>
      <c r="Y10" s="718" t="s">
        <v>2173</v>
      </c>
      <c r="Z10" s="718" t="s">
        <v>2174</v>
      </c>
      <c r="AA10" s="1695" t="s">
        <v>2175</v>
      </c>
      <c r="AB10" s="1696"/>
      <c r="AC10" s="454"/>
      <c r="AF10" s="159"/>
    </row>
    <row r="11" spans="1:32" s="113" customFormat="1" ht="15" customHeight="1">
      <c r="A11" s="1086" t="s">
        <v>858</v>
      </c>
      <c r="B11" s="1679" t="s">
        <v>525</v>
      </c>
      <c r="C11" s="1679"/>
      <c r="D11" s="1086"/>
      <c r="E11" s="438"/>
      <c r="F11" s="1086" t="s">
        <v>786</v>
      </c>
      <c r="G11" s="1086" t="s">
        <v>1113</v>
      </c>
      <c r="H11" s="1086" t="s">
        <v>1114</v>
      </c>
      <c r="I11" s="1086" t="s">
        <v>1115</v>
      </c>
      <c r="J11" s="1090" t="s">
        <v>786</v>
      </c>
      <c r="K11" s="77" t="s">
        <v>1112</v>
      </c>
      <c r="L11" s="365" t="s">
        <v>1117</v>
      </c>
      <c r="M11" s="1086" t="s">
        <v>1113</v>
      </c>
      <c r="N11" s="1086" t="s">
        <v>1114</v>
      </c>
      <c r="O11" s="1086" t="s">
        <v>1115</v>
      </c>
      <c r="P11" s="1086" t="s">
        <v>1116</v>
      </c>
      <c r="Q11" s="1086" t="s">
        <v>1117</v>
      </c>
      <c r="R11" s="471" t="s">
        <v>1125</v>
      </c>
      <c r="S11" s="1086" t="s">
        <v>1118</v>
      </c>
      <c r="T11" s="400" t="s">
        <v>1127</v>
      </c>
      <c r="U11" s="1086">
        <v>10</v>
      </c>
      <c r="V11" s="611" t="s">
        <v>2022</v>
      </c>
      <c r="W11" s="1086">
        <v>11</v>
      </c>
      <c r="X11" s="1090">
        <v>1</v>
      </c>
      <c r="Y11" s="1090">
        <v>2</v>
      </c>
      <c r="Z11" s="1090" t="s">
        <v>2177</v>
      </c>
      <c r="AA11" s="1688" t="s">
        <v>2178</v>
      </c>
      <c r="AB11" s="1689"/>
      <c r="AC11" s="455"/>
      <c r="AF11" s="160"/>
    </row>
    <row r="12" spans="1:32" hidden="1">
      <c r="A12" s="1694" t="s">
        <v>492</v>
      </c>
      <c r="B12" s="1694"/>
      <c r="C12" s="1694"/>
      <c r="D12" s="1694"/>
      <c r="E12" s="1694"/>
      <c r="F12" s="1694"/>
      <c r="G12" s="1694"/>
      <c r="H12" s="1694"/>
      <c r="I12" s="1694"/>
      <c r="J12" s="1694"/>
      <c r="K12" s="1694"/>
      <c r="L12" s="1694"/>
      <c r="M12" s="1694"/>
      <c r="O12" s="19"/>
      <c r="P12" s="19"/>
      <c r="Q12" s="19"/>
      <c r="R12" s="467"/>
      <c r="S12" s="1678" t="s">
        <v>849</v>
      </c>
      <c r="T12" s="1678"/>
      <c r="U12" s="1678"/>
      <c r="V12" s="1678"/>
      <c r="W12" s="1678"/>
      <c r="X12" s="1678"/>
      <c r="Y12" s="1678"/>
      <c r="Z12" s="1678"/>
      <c r="AA12" s="1678"/>
      <c r="AB12" s="1678"/>
    </row>
    <row r="13" spans="1:32" ht="15" hidden="1" customHeight="1">
      <c r="A13" s="1678" t="s">
        <v>1563</v>
      </c>
      <c r="B13" s="1678"/>
      <c r="C13" s="1678"/>
      <c r="D13" s="1678"/>
      <c r="E13" s="1678"/>
      <c r="F13" s="1678"/>
      <c r="G13" s="1678"/>
      <c r="H13" s="1678"/>
      <c r="I13" s="1678"/>
      <c r="J13" s="1678"/>
      <c r="K13" s="1678"/>
      <c r="L13" s="1678"/>
      <c r="M13" s="1678"/>
      <c r="O13" s="19"/>
      <c r="P13" s="19"/>
      <c r="Q13" s="19"/>
      <c r="R13" s="467"/>
      <c r="S13" s="1678" t="s">
        <v>851</v>
      </c>
      <c r="T13" s="1678"/>
      <c r="U13" s="1678"/>
      <c r="V13" s="1678"/>
      <c r="W13" s="1678"/>
      <c r="X13" s="1678"/>
      <c r="Y13" s="1678"/>
      <c r="Z13" s="1678"/>
      <c r="AA13" s="1678"/>
      <c r="AB13" s="1678"/>
    </row>
    <row r="14" spans="1:32" ht="16.5" hidden="1" customHeight="1">
      <c r="A14" s="1678" t="s">
        <v>1564</v>
      </c>
      <c r="B14" s="1678"/>
      <c r="C14" s="1678"/>
      <c r="D14" s="1678"/>
      <c r="E14" s="1678"/>
      <c r="F14" s="1678"/>
      <c r="G14" s="1678"/>
      <c r="H14" s="1678"/>
      <c r="I14" s="1678"/>
      <c r="J14" s="1678"/>
      <c r="K14" s="1678"/>
      <c r="L14" s="1678"/>
      <c r="M14" s="1678"/>
      <c r="N14" s="104"/>
      <c r="O14" s="1093"/>
      <c r="P14" s="1093"/>
      <c r="Q14" s="17"/>
      <c r="R14" s="468"/>
      <c r="S14" s="17"/>
      <c r="T14" s="397"/>
      <c r="U14" s="17"/>
      <c r="V14" s="607"/>
      <c r="W14" s="17"/>
      <c r="X14" s="17"/>
      <c r="Y14" s="17"/>
      <c r="Z14" s="17"/>
      <c r="AA14" s="16"/>
    </row>
    <row r="15" spans="1:32" ht="9" hidden="1" customHeight="1">
      <c r="A15" s="1096"/>
      <c r="B15" s="1096"/>
      <c r="C15" s="1096"/>
      <c r="D15" s="1096"/>
      <c r="E15" s="1096"/>
      <c r="F15" s="1096"/>
      <c r="G15" s="1096"/>
      <c r="H15" s="1096"/>
      <c r="I15" s="1096"/>
      <c r="J15" s="1096"/>
      <c r="K15" s="1096"/>
      <c r="L15" s="1096"/>
      <c r="M15" s="1096"/>
      <c r="N15" s="104"/>
      <c r="O15" s="1093"/>
      <c r="P15" s="1093"/>
      <c r="Q15" s="17"/>
      <c r="R15" s="468"/>
      <c r="S15" s="17"/>
      <c r="T15" s="397"/>
      <c r="U15" s="17"/>
      <c r="V15" s="607"/>
      <c r="W15" s="17"/>
      <c r="X15" s="17"/>
      <c r="Y15" s="17"/>
      <c r="Z15" s="17"/>
      <c r="AA15" s="16"/>
    </row>
    <row r="16" spans="1:32" ht="18.75" hidden="1" customHeight="1">
      <c r="A16" s="1682" t="s">
        <v>2257</v>
      </c>
      <c r="B16" s="1682"/>
      <c r="C16" s="1682"/>
      <c r="D16" s="1682"/>
      <c r="E16" s="1682"/>
      <c r="F16" s="1682"/>
      <c r="G16" s="1682"/>
      <c r="H16" s="1682"/>
      <c r="I16" s="1682"/>
      <c r="J16" s="1682"/>
      <c r="K16" s="1682"/>
      <c r="L16" s="1682"/>
      <c r="M16" s="1682"/>
      <c r="N16" s="1682"/>
      <c r="O16" s="1682"/>
      <c r="P16" s="1682"/>
      <c r="Q16" s="1682"/>
      <c r="R16" s="1682"/>
      <c r="S16" s="1682"/>
      <c r="T16" s="1682"/>
      <c r="U16" s="1682"/>
      <c r="V16" s="1682"/>
      <c r="W16" s="1682"/>
      <c r="X16" s="1682"/>
      <c r="Y16" s="1682"/>
      <c r="Z16" s="1682"/>
      <c r="AA16" s="1682"/>
      <c r="AB16" s="1682"/>
    </row>
    <row r="17" spans="1:42" ht="18.75" hidden="1" customHeight="1">
      <c r="A17" s="1682" t="s">
        <v>1600</v>
      </c>
      <c r="B17" s="1682"/>
      <c r="C17" s="1682"/>
      <c r="D17" s="1682"/>
      <c r="E17" s="1682"/>
      <c r="F17" s="1682"/>
      <c r="G17" s="1682"/>
      <c r="H17" s="1682"/>
      <c r="I17" s="1682"/>
      <c r="J17" s="1682"/>
      <c r="K17" s="1682"/>
      <c r="L17" s="1682"/>
      <c r="M17" s="1682"/>
      <c r="N17" s="1682"/>
      <c r="O17" s="1682"/>
      <c r="P17" s="1682"/>
      <c r="Q17" s="1682"/>
      <c r="R17" s="1682"/>
      <c r="S17" s="1682"/>
      <c r="T17" s="1682"/>
      <c r="U17" s="1682"/>
      <c r="V17" s="1682"/>
      <c r="W17" s="1682"/>
      <c r="X17" s="1682"/>
      <c r="Y17" s="1682"/>
      <c r="Z17" s="1682"/>
      <c r="AA17" s="1682"/>
      <c r="AB17" s="1682"/>
    </row>
    <row r="18" spans="1:42" ht="54" hidden="1" customHeight="1">
      <c r="A18" s="1683" t="s">
        <v>2007</v>
      </c>
      <c r="B18" s="1683"/>
      <c r="C18" s="1683"/>
      <c r="D18" s="1683"/>
      <c r="E18" s="1683"/>
      <c r="F18" s="1683"/>
      <c r="G18" s="1683"/>
      <c r="H18" s="1683"/>
      <c r="I18" s="1683"/>
      <c r="J18" s="1683"/>
      <c r="K18" s="1683"/>
      <c r="L18" s="1683"/>
      <c r="M18" s="1683"/>
      <c r="N18" s="1683"/>
      <c r="O18" s="1683"/>
      <c r="P18" s="1683"/>
      <c r="Q18" s="1683"/>
      <c r="R18" s="1683"/>
      <c r="S18" s="1683"/>
      <c r="T18" s="1683"/>
      <c r="U18" s="1683"/>
      <c r="V18" s="1683"/>
      <c r="W18" s="1683"/>
      <c r="X18" s="1683"/>
      <c r="Y18" s="1683"/>
      <c r="Z18" s="1683"/>
      <c r="AA18" s="1683"/>
      <c r="AB18" s="1683"/>
    </row>
    <row r="19" spans="1:42" s="521" customFormat="1" ht="16.5" hidden="1" customHeight="1">
      <c r="A19" s="520" t="s">
        <v>2013</v>
      </c>
      <c r="C19" s="522">
        <v>1490000</v>
      </c>
      <c r="D19" s="523"/>
      <c r="E19" s="523"/>
      <c r="F19" s="1098"/>
      <c r="G19" s="525">
        <v>1800000</v>
      </c>
      <c r="H19" s="525"/>
      <c r="I19" s="526"/>
      <c r="J19" s="526"/>
      <c r="K19" s="527"/>
      <c r="L19" s="528"/>
      <c r="M19" s="526"/>
      <c r="N19" s="529"/>
      <c r="O19" s="1684"/>
      <c r="P19" s="1684"/>
      <c r="Q19" s="1684"/>
      <c r="R19" s="1684"/>
      <c r="S19" s="1684"/>
      <c r="T19" s="530"/>
      <c r="U19" s="531"/>
      <c r="V19" s="608"/>
      <c r="W19" s="1088" t="s">
        <v>1181</v>
      </c>
      <c r="X19" s="1088"/>
      <c r="Y19" s="1088"/>
      <c r="Z19" s="1088"/>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89" t="s">
        <v>853</v>
      </c>
      <c r="B21" s="1685" t="s">
        <v>854</v>
      </c>
      <c r="C21" s="1685"/>
      <c r="D21" s="93" t="s">
        <v>1598</v>
      </c>
      <c r="E21" s="437" t="s">
        <v>50</v>
      </c>
      <c r="F21" s="45" t="s">
        <v>1137</v>
      </c>
      <c r="G21" s="228" t="s">
        <v>1138</v>
      </c>
      <c r="H21" s="45" t="s">
        <v>1139</v>
      </c>
      <c r="I21" s="45" t="s">
        <v>1140</v>
      </c>
      <c r="J21" s="45"/>
      <c r="K21" s="83" t="s">
        <v>855</v>
      </c>
      <c r="L21" s="364" t="s">
        <v>1141</v>
      </c>
      <c r="M21" s="1089" t="s">
        <v>860</v>
      </c>
      <c r="N21" s="1089" t="s">
        <v>1186</v>
      </c>
      <c r="O21" s="1089" t="s">
        <v>861</v>
      </c>
      <c r="P21" s="1089" t="s">
        <v>857</v>
      </c>
      <c r="Q21" s="1089" t="s">
        <v>1187</v>
      </c>
      <c r="R21" s="470" t="s">
        <v>1247</v>
      </c>
      <c r="S21" s="98" t="s">
        <v>1188</v>
      </c>
      <c r="T21" s="399" t="s">
        <v>1184</v>
      </c>
      <c r="U21" s="1089" t="s">
        <v>1189</v>
      </c>
      <c r="V21" s="610" t="s">
        <v>1190</v>
      </c>
      <c r="W21" s="1089" t="s">
        <v>1100</v>
      </c>
      <c r="X21" s="459"/>
      <c r="Y21" s="459"/>
      <c r="Z21" s="459"/>
      <c r="AA21" s="1686" t="s">
        <v>40</v>
      </c>
      <c r="AB21" s="1687"/>
      <c r="AC21" s="454"/>
      <c r="AF21" s="159"/>
    </row>
    <row r="22" spans="1:42" s="113" customFormat="1" ht="15" hidden="1" customHeight="1">
      <c r="A22" s="1086" t="s">
        <v>1110</v>
      </c>
      <c r="B22" s="1679" t="s">
        <v>1111</v>
      </c>
      <c r="C22" s="1679"/>
      <c r="D22" s="1086"/>
      <c r="E22" s="438"/>
      <c r="F22" s="1086" t="s">
        <v>1112</v>
      </c>
      <c r="G22" s="1086" t="s">
        <v>1113</v>
      </c>
      <c r="H22" s="1086" t="s">
        <v>1114</v>
      </c>
      <c r="I22" s="1086" t="s">
        <v>1115</v>
      </c>
      <c r="J22" s="1086"/>
      <c r="K22" s="77" t="s">
        <v>1112</v>
      </c>
      <c r="L22" s="365" t="s">
        <v>1117</v>
      </c>
      <c r="M22" s="1086" t="s">
        <v>1113</v>
      </c>
      <c r="N22" s="1086" t="s">
        <v>1114</v>
      </c>
      <c r="O22" s="1086" t="s">
        <v>1115</v>
      </c>
      <c r="P22" s="1086" t="s">
        <v>1116</v>
      </c>
      <c r="Q22" s="1086" t="s">
        <v>1117</v>
      </c>
      <c r="R22" s="471" t="s">
        <v>1125</v>
      </c>
      <c r="S22" s="1086" t="s">
        <v>1118</v>
      </c>
      <c r="T22" s="400" t="s">
        <v>1127</v>
      </c>
      <c r="U22" s="1086">
        <v>10</v>
      </c>
      <c r="V22" s="611" t="s">
        <v>2022</v>
      </c>
      <c r="W22" s="1086">
        <v>11</v>
      </c>
      <c r="X22" s="1090"/>
      <c r="Y22" s="1090"/>
      <c r="Z22" s="1090"/>
      <c r="AA22" s="1688">
        <v>12</v>
      </c>
      <c r="AB22" s="1689"/>
      <c r="AC22" s="455"/>
      <c r="AF22" s="160"/>
    </row>
    <row r="23" spans="1:42" s="387" customFormat="1" ht="24.75" customHeight="1">
      <c r="A23" s="394">
        <f>_xlfn.AGGREGATE(4,7,A$22:A22)+1</f>
        <v>1</v>
      </c>
      <c r="B23" s="1054" t="s">
        <v>1433</v>
      </c>
      <c r="C23" s="1055" t="s">
        <v>1434</v>
      </c>
      <c r="D23" s="411" t="s">
        <v>1613</v>
      </c>
      <c r="E23" s="496" t="s">
        <v>1435</v>
      </c>
      <c r="F23" s="1112">
        <v>5.76</v>
      </c>
      <c r="G23" s="1113">
        <v>0</v>
      </c>
      <c r="H23" s="1114">
        <f t="shared" ref="H23:H86" si="0">F23+(F23*G23)</f>
        <v>5.76</v>
      </c>
      <c r="I23" s="1114">
        <v>0.9</v>
      </c>
      <c r="J23" s="1056" t="str">
        <f>VLOOKUP(B23,TH.T5!B23:F352,5,FALSE)</f>
        <v>Hiệu trưởng</v>
      </c>
      <c r="K23" s="384">
        <f t="shared" ref="K23:K86" si="1">H23+I23</f>
        <v>6.66</v>
      </c>
      <c r="L23" s="377">
        <f t="shared" ref="L23:L86" si="2">K23*$G$19</f>
        <v>11988000</v>
      </c>
      <c r="M23" s="381" t="str">
        <f>VLOOKUP(B23,'[24]Gui chi Quynh'!$B$11:$E$400,4,FALSE)</f>
        <v>A1</v>
      </c>
      <c r="N23" s="512">
        <f t="shared" ref="N23:N86" si="3">IF(M23="A1",L23*1.6,IF(M23="A2",L23*1.4,IF(M23="A3",L23*1.2,IF(M23="A4",L23*1,IF(M23="B1",L23*0.7,IF(M23="B2",L23*0.5,IF(M23="C1",L23*0.3,IF(M23="C2",L23*0.2,0))))))))</f>
        <v>19180800</v>
      </c>
      <c r="O23" s="698">
        <v>20</v>
      </c>
      <c r="P23" s="458">
        <f>IFERROR(INDEX('[17]CN BC'!$J$10:$J$276,MATCH(B23,'[17]CN BC'!$H$10:$H$276,0)),"")</f>
        <v>29</v>
      </c>
      <c r="Q23" s="512">
        <f t="shared" ref="Q23:Q86" si="4">IF(P23&gt;=O23,N23,N23/O23*P23)</f>
        <v>19180800</v>
      </c>
      <c r="R23" s="478"/>
      <c r="S23" s="377">
        <f>R23*$G$19*1.6</f>
        <v>0</v>
      </c>
      <c r="T23" s="385"/>
      <c r="U23" s="377">
        <f t="shared" ref="U23:U86" si="5">T23*$G$19*1</f>
        <v>0</v>
      </c>
      <c r="V23" s="612">
        <f t="shared" ref="V23:V86" si="6">IF(OR(M23="A DN",M23="KXL", M23=""),"0",ROUND(K23*0.01*$G$19+R23*1%*$G$19+T23*1%*$G$19,))</f>
        <v>119880</v>
      </c>
      <c r="W23" s="386">
        <f>(Q23+S23+U23)</f>
        <v>19180800</v>
      </c>
      <c r="X23" s="1079">
        <f>W23/Y23</f>
        <v>10.656000000000001</v>
      </c>
      <c r="Y23" s="1116">
        <v>1800000</v>
      </c>
      <c r="Z23" s="1117">
        <f>X23*Y23</f>
        <v>19180800</v>
      </c>
      <c r="AA23" s="593">
        <f t="shared" ref="AA23:AA86" si="7">A23</f>
        <v>1</v>
      </c>
      <c r="AB23" s="1118">
        <f>IFERROR(INDEX('[17]CN BC'!$M$10:$M$276,MATCH(B23,'[17]CN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8" t="str">
        <f>VLOOKUP(B24,TH.T5!B24:F353,5,FALSE)</f>
        <v>Phó Hiệu trưởng</v>
      </c>
      <c r="K24" s="384">
        <f t="shared" si="1"/>
        <v>6.0286000000000008</v>
      </c>
      <c r="L24" s="377">
        <f t="shared" si="2"/>
        <v>10851480.000000002</v>
      </c>
      <c r="M24" s="381" t="str">
        <f>VLOOKUP(B24,'[24]Gui chi Quynh'!$B$11:$E$400,4,FALSE)</f>
        <v>A1</v>
      </c>
      <c r="N24" s="512">
        <f t="shared" si="3"/>
        <v>17362368.000000004</v>
      </c>
      <c r="O24" s="381">
        <v>20</v>
      </c>
      <c r="P24" s="458">
        <f>IFERROR(INDEX('[17]CN BC'!$J$10:$J$276,MATCH(B24,'[17]CN BC'!$H$10:$H$276,0)),"")</f>
        <v>26</v>
      </c>
      <c r="Q24" s="512">
        <f t="shared" si="4"/>
        <v>17362368.000000004</v>
      </c>
      <c r="R24" s="478"/>
      <c r="S24" s="377">
        <f>R24*$G$19*1.6</f>
        <v>0</v>
      </c>
      <c r="T24" s="401"/>
      <c r="U24" s="377">
        <f t="shared" si="5"/>
        <v>0</v>
      </c>
      <c r="V24" s="612">
        <f t="shared" si="6"/>
        <v>108515</v>
      </c>
      <c r="W24" s="386">
        <f>(Q24+S24+U24)</f>
        <v>17362368.000000004</v>
      </c>
      <c r="X24" s="1080">
        <f t="shared" ref="X24:X87" si="8">W24/Y24</f>
        <v>9.6457600000000028</v>
      </c>
      <c r="Y24" s="1116">
        <v>1800000</v>
      </c>
      <c r="Z24" s="1117">
        <f t="shared" ref="Z24:Z87" si="9">X24*Y24</f>
        <v>17362368.000000004</v>
      </c>
      <c r="AA24" s="593">
        <f t="shared" si="7"/>
        <v>2</v>
      </c>
      <c r="AB24" s="511">
        <f>IFERROR(INDEX('[17]CN BC'!$M$10:$M$276,MATCH(B24,'[17]CN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8" t="str">
        <f>VLOOKUP(B25,TH.T5!B25:F354,5,FALSE)</f>
        <v>Phó Hiệu trưởng</v>
      </c>
      <c r="K25" s="384">
        <f t="shared" si="1"/>
        <v>6.0784000000000002</v>
      </c>
      <c r="L25" s="377">
        <f t="shared" si="2"/>
        <v>10941120</v>
      </c>
      <c r="M25" s="381" t="str">
        <f>VLOOKUP(B25,'[24]Gui chi Quynh'!$B$11:$E$400,4,FALSE)</f>
        <v>A1</v>
      </c>
      <c r="N25" s="512">
        <f t="shared" si="3"/>
        <v>17505792</v>
      </c>
      <c r="O25" s="381">
        <v>20</v>
      </c>
      <c r="P25" s="458">
        <f>IFERROR(INDEX('[17]CN BC'!$J$10:$J$276,MATCH(B25,'[17]CN BC'!$H$10:$H$276,0)),"")</f>
        <v>26</v>
      </c>
      <c r="Q25" s="512">
        <f t="shared" si="4"/>
        <v>17505792</v>
      </c>
      <c r="R25" s="478"/>
      <c r="S25" s="377">
        <f>R25*$G$19*1.6</f>
        <v>0</v>
      </c>
      <c r="T25" s="385"/>
      <c r="U25" s="377">
        <f t="shared" si="5"/>
        <v>0</v>
      </c>
      <c r="V25" s="377">
        <f t="shared" si="6"/>
        <v>109411</v>
      </c>
      <c r="W25" s="386">
        <f t="shared" ref="W25:W88" si="10">(Q25+S25+U25)</f>
        <v>17505792</v>
      </c>
      <c r="X25" s="1080">
        <f t="shared" si="8"/>
        <v>9.7254400000000008</v>
      </c>
      <c r="Y25" s="1116">
        <v>1800000</v>
      </c>
      <c r="Z25" s="1117">
        <f t="shared" si="9"/>
        <v>17505792</v>
      </c>
      <c r="AA25" s="593">
        <f t="shared" si="7"/>
        <v>3</v>
      </c>
      <c r="AB25" s="511">
        <f>IFERROR(INDEX('[17]CN BC'!$M$10:$M$276,MATCH(B25,'[17]CN BC'!$H$10:$H$276,0)),"")</f>
        <v>0</v>
      </c>
      <c r="AC25" s="147" t="str">
        <f>VLOOKUP(B25,TH.T4!B23:AC353,28,FALSE)</f>
        <v>BGH</v>
      </c>
      <c r="AD25" s="618"/>
      <c r="AE25" s="619"/>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8" t="str">
        <f>VLOOKUP(B26,TH.T5!B26:F355,5,FALSE)</f>
        <v>Phó Hiệu trưởng</v>
      </c>
      <c r="K26" s="384">
        <f t="shared" si="1"/>
        <v>5.3500000000000005</v>
      </c>
      <c r="L26" s="377">
        <f t="shared" si="2"/>
        <v>9630000.0000000019</v>
      </c>
      <c r="M26" s="381" t="str">
        <f>VLOOKUP(B26,'[24]Gui chi Quynh'!$B$11:$E$400,4,FALSE)</f>
        <v>A1</v>
      </c>
      <c r="N26" s="512">
        <f t="shared" si="3"/>
        <v>15408000.000000004</v>
      </c>
      <c r="O26" s="381">
        <v>20</v>
      </c>
      <c r="P26" s="458">
        <f>IFERROR(INDEX('[17]CN BC'!$J$10:$J$276,MATCH(B26,'[17]CN BC'!$H$10:$H$276,0)),"")</f>
        <v>27</v>
      </c>
      <c r="Q26" s="512">
        <f t="shared" si="4"/>
        <v>15408000.000000004</v>
      </c>
      <c r="R26" s="478"/>
      <c r="S26" s="377">
        <f t="shared" ref="S26:S34" si="11">R26*$G$19*1</f>
        <v>0</v>
      </c>
      <c r="T26" s="385"/>
      <c r="U26" s="377">
        <f t="shared" si="5"/>
        <v>0</v>
      </c>
      <c r="V26" s="612">
        <f t="shared" si="6"/>
        <v>96300</v>
      </c>
      <c r="W26" s="386">
        <f t="shared" si="10"/>
        <v>15408000.000000004</v>
      </c>
      <c r="X26" s="1080">
        <f t="shared" si="8"/>
        <v>8.5600000000000023</v>
      </c>
      <c r="Y26" s="1116">
        <v>1800000</v>
      </c>
      <c r="Z26" s="1117">
        <f t="shared" si="9"/>
        <v>15408000.000000004</v>
      </c>
      <c r="AA26" s="593">
        <f t="shared" si="7"/>
        <v>4</v>
      </c>
      <c r="AB26" s="511">
        <f>IFERROR(INDEX('[17]CN BC'!$M$10:$M$276,MATCH(B26,'[17]CN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8" t="str">
        <f>VLOOKUP(B27,TH.T5!B27:F356,5,FALSE)</f>
        <v>Trưởng phòng TC - HC - TH</v>
      </c>
      <c r="K27" s="384">
        <f t="shared" si="1"/>
        <v>5.6790000000000003</v>
      </c>
      <c r="L27" s="377">
        <f t="shared" si="2"/>
        <v>10222200</v>
      </c>
      <c r="M27" s="381" t="str">
        <f>VLOOKUP(B27,'[24]Gui chi Quynh'!$B$11:$E$400,4,FALSE)</f>
        <v>A1</v>
      </c>
      <c r="N27" s="512">
        <f t="shared" si="3"/>
        <v>16355520</v>
      </c>
      <c r="O27" s="381">
        <v>20</v>
      </c>
      <c r="P27" s="458">
        <f>IFERROR(INDEX('[17]CN BC'!$J$10:$J$276,MATCH(B27,'[17]CN BC'!$H$10:$H$276,0)),"")</f>
        <v>28</v>
      </c>
      <c r="Q27" s="512">
        <f t="shared" si="4"/>
        <v>16355520</v>
      </c>
      <c r="R27" s="408"/>
      <c r="S27" s="377">
        <f t="shared" si="11"/>
        <v>0</v>
      </c>
      <c r="T27" s="401"/>
      <c r="U27" s="377">
        <f t="shared" si="5"/>
        <v>0</v>
      </c>
      <c r="V27" s="612">
        <f t="shared" si="6"/>
        <v>102222</v>
      </c>
      <c r="W27" s="386">
        <f t="shared" si="10"/>
        <v>16355520</v>
      </c>
      <c r="X27" s="1080">
        <f t="shared" si="8"/>
        <v>9.0863999999999994</v>
      </c>
      <c r="Y27" s="1116">
        <v>1800000</v>
      </c>
      <c r="Z27" s="1117">
        <f t="shared" si="9"/>
        <v>16355519.999999998</v>
      </c>
      <c r="AA27" s="593">
        <f t="shared" si="7"/>
        <v>5</v>
      </c>
      <c r="AB27" s="511">
        <f>IFERROR(INDEX('[17]CN BC'!$M$10:$M$276,MATCH(B27,'[17]CN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8" t="str">
        <f>VLOOKUP(B28,TH.T5!B28:F357,5,FALSE)</f>
        <v>Phó Trưởng phòng Tổ chức - Hành chính - TH</v>
      </c>
      <c r="K28" s="384">
        <f t="shared" si="1"/>
        <v>3.68</v>
      </c>
      <c r="L28" s="377">
        <f t="shared" si="2"/>
        <v>6624000</v>
      </c>
      <c r="M28" s="381" t="str">
        <f>VLOOKUP(B28,'[24]Gui chi Quynh'!$B$11:$E$400,4,FALSE)</f>
        <v>A2</v>
      </c>
      <c r="N28" s="512">
        <f t="shared" si="3"/>
        <v>9273600</v>
      </c>
      <c r="O28" s="381">
        <v>20</v>
      </c>
      <c r="P28" s="458">
        <f>IFERROR(INDEX('[17]CN BC'!$J$10:$J$276,MATCH(B28,'[17]CN BC'!$H$10:$H$276,0)),"")</f>
        <v>23.5</v>
      </c>
      <c r="Q28" s="512">
        <f t="shared" si="4"/>
        <v>9273600</v>
      </c>
      <c r="R28" s="408"/>
      <c r="S28" s="377">
        <f t="shared" si="11"/>
        <v>0</v>
      </c>
      <c r="T28" s="385"/>
      <c r="U28" s="377">
        <f t="shared" si="5"/>
        <v>0</v>
      </c>
      <c r="V28" s="612">
        <f t="shared" si="6"/>
        <v>66240</v>
      </c>
      <c r="W28" s="386">
        <f t="shared" si="10"/>
        <v>9273600</v>
      </c>
      <c r="X28" s="1080">
        <f t="shared" si="8"/>
        <v>5.1520000000000001</v>
      </c>
      <c r="Y28" s="1116">
        <v>1800000</v>
      </c>
      <c r="Z28" s="1117">
        <f t="shared" si="9"/>
        <v>9273600</v>
      </c>
      <c r="AA28" s="593">
        <f t="shared" si="7"/>
        <v>6</v>
      </c>
      <c r="AB28" s="511">
        <f>IFERROR(INDEX('[17]CN BC'!$M$10:$M$276,MATCH(B28,'[17]CN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8" t="str">
        <f>VLOOKUP(B29,TH.T5!B29:F358,5,FALSE)</f>
        <v>Phó Trưởng phòng Tổ chức - Hành chính - TH</v>
      </c>
      <c r="K29" s="384">
        <f t="shared" si="1"/>
        <v>3.35</v>
      </c>
      <c r="L29" s="377">
        <f t="shared" si="2"/>
        <v>6030000</v>
      </c>
      <c r="M29" s="381" t="str">
        <f>VLOOKUP(B29,'[24]Gui chi Quynh'!$B$11:$E$400,4,FALSE)</f>
        <v>A2</v>
      </c>
      <c r="N29" s="512">
        <f t="shared" si="3"/>
        <v>8442000</v>
      </c>
      <c r="O29" s="381">
        <v>20</v>
      </c>
      <c r="P29" s="458">
        <f>IFERROR(INDEX('[17]CN BC'!$J$10:$J$276,MATCH(B29,'[17]CN BC'!$H$10:$H$276,0)),"")</f>
        <v>24.5</v>
      </c>
      <c r="Q29" s="512">
        <f t="shared" si="4"/>
        <v>8442000</v>
      </c>
      <c r="R29" s="478"/>
      <c r="S29" s="377">
        <f t="shared" si="11"/>
        <v>0</v>
      </c>
      <c r="T29" s="385"/>
      <c r="U29" s="377">
        <f t="shared" si="5"/>
        <v>0</v>
      </c>
      <c r="V29" s="612">
        <f t="shared" si="6"/>
        <v>60300</v>
      </c>
      <c r="W29" s="386">
        <f t="shared" si="10"/>
        <v>8442000</v>
      </c>
      <c r="X29" s="1080">
        <f t="shared" si="8"/>
        <v>4.6900000000000004</v>
      </c>
      <c r="Y29" s="1116">
        <v>1800000</v>
      </c>
      <c r="Z29" s="1117">
        <f t="shared" si="9"/>
        <v>8442000</v>
      </c>
      <c r="AA29" s="593">
        <f t="shared" si="7"/>
        <v>7</v>
      </c>
      <c r="AB29" s="511">
        <f>IFERROR(INDEX('[17]CN BC'!$M$10:$M$276,MATCH(B29,'[17]CN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8" t="str">
        <f>VLOOKUP(B30,TH.T5!B30:F359,5,FALSE)</f>
        <v>NV Phòng Tổ chức - Hành chính - Tổng hợp</v>
      </c>
      <c r="K30" s="384">
        <f t="shared" si="1"/>
        <v>3.99</v>
      </c>
      <c r="L30" s="377">
        <f t="shared" si="2"/>
        <v>7182000</v>
      </c>
      <c r="M30" s="381" t="str">
        <f>VLOOKUP(B30,'[24]Gui chi Quynh'!$B$11:$E$400,4,FALSE)</f>
        <v>A2</v>
      </c>
      <c r="N30" s="512">
        <f t="shared" si="3"/>
        <v>10054800</v>
      </c>
      <c r="O30" s="381">
        <v>20</v>
      </c>
      <c r="P30" s="458">
        <f>IFERROR(INDEX('[17]CN BC'!$J$10:$J$276,MATCH(B30,'[17]CN BC'!$H$10:$H$276,0)),"")</f>
        <v>22</v>
      </c>
      <c r="Q30" s="512">
        <f t="shared" si="4"/>
        <v>10054800</v>
      </c>
      <c r="R30" s="478"/>
      <c r="S30" s="377">
        <f t="shared" si="11"/>
        <v>0</v>
      </c>
      <c r="T30" s="385"/>
      <c r="U30" s="377">
        <f t="shared" si="5"/>
        <v>0</v>
      </c>
      <c r="V30" s="612">
        <f t="shared" si="6"/>
        <v>71820</v>
      </c>
      <c r="W30" s="386">
        <f t="shared" si="10"/>
        <v>10054800</v>
      </c>
      <c r="X30" s="1080">
        <f t="shared" si="8"/>
        <v>5.5860000000000003</v>
      </c>
      <c r="Y30" s="1116">
        <v>1800000</v>
      </c>
      <c r="Z30" s="1117">
        <f t="shared" si="9"/>
        <v>10054800</v>
      </c>
      <c r="AA30" s="593">
        <f t="shared" si="7"/>
        <v>8</v>
      </c>
      <c r="AB30" s="511">
        <f>IFERROR(INDEX('[17]CN BC'!$M$10:$M$276,MATCH(B30,'[17]CN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8" t="str">
        <f>VLOOKUP(B31,TH.T5!B31:F360,5,FALSE)</f>
        <v>NV Phòng Tổ chức - Hành chính - Tổng hợp</v>
      </c>
      <c r="K31" s="384">
        <f t="shared" si="1"/>
        <v>3.99</v>
      </c>
      <c r="L31" s="377">
        <f t="shared" si="2"/>
        <v>7182000</v>
      </c>
      <c r="M31" s="381" t="str">
        <f>VLOOKUP(B31,'[24]Gui chi Quynh'!$B$11:$E$400,4,FALSE)</f>
        <v>A3</v>
      </c>
      <c r="N31" s="512">
        <f t="shared" si="3"/>
        <v>8618400</v>
      </c>
      <c r="O31" s="381">
        <v>20</v>
      </c>
      <c r="P31" s="458">
        <f>IFERROR(INDEX('[17]CN BC'!$J$10:$J$276,MATCH(B31,'[17]CN BC'!$H$10:$H$276,0)),"")</f>
        <v>22</v>
      </c>
      <c r="Q31" s="512">
        <f t="shared" si="4"/>
        <v>8618400</v>
      </c>
      <c r="R31" s="478"/>
      <c r="S31" s="377">
        <f t="shared" si="11"/>
        <v>0</v>
      </c>
      <c r="T31" s="385"/>
      <c r="U31" s="377">
        <f t="shared" si="5"/>
        <v>0</v>
      </c>
      <c r="V31" s="612">
        <f t="shared" si="6"/>
        <v>71820</v>
      </c>
      <c r="W31" s="386">
        <f t="shared" si="10"/>
        <v>8618400</v>
      </c>
      <c r="X31" s="1080">
        <f t="shared" si="8"/>
        <v>4.7880000000000003</v>
      </c>
      <c r="Y31" s="1116">
        <v>1800000</v>
      </c>
      <c r="Z31" s="1117">
        <f t="shared" si="9"/>
        <v>8618400</v>
      </c>
      <c r="AA31" s="593">
        <f t="shared" si="7"/>
        <v>9</v>
      </c>
      <c r="AB31" s="511">
        <f>IFERROR(INDEX('[17]CN BC'!$M$10:$M$276,MATCH(B31,'[17]CN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8" t="str">
        <f>VLOOKUP(B32,TH.T5!B32:F361,5,FALSE)</f>
        <v>NV Phòng Tổ chức - Hành chính - Tổng hợp</v>
      </c>
      <c r="K32" s="384">
        <f t="shared" si="1"/>
        <v>3.46</v>
      </c>
      <c r="L32" s="377">
        <f t="shared" si="2"/>
        <v>6228000</v>
      </c>
      <c r="M32" s="381" t="str">
        <f>VLOOKUP(B32,'[24]Gui chi Quynh'!$B$11:$E$400,4,FALSE)</f>
        <v>A3</v>
      </c>
      <c r="N32" s="512">
        <f t="shared" si="3"/>
        <v>7473600</v>
      </c>
      <c r="O32" s="381">
        <v>20</v>
      </c>
      <c r="P32" s="458">
        <f>IFERROR(INDEX('[17]CN BC'!$J$10:$J$276,MATCH(B32,'[17]CN BC'!$H$10:$H$276,0)),"")</f>
        <v>21.5</v>
      </c>
      <c r="Q32" s="512">
        <f t="shared" si="4"/>
        <v>7473600</v>
      </c>
      <c r="R32" s="478"/>
      <c r="S32" s="377">
        <f t="shared" si="11"/>
        <v>0</v>
      </c>
      <c r="T32" s="385"/>
      <c r="U32" s="377">
        <f t="shared" si="5"/>
        <v>0</v>
      </c>
      <c r="V32" s="612">
        <f t="shared" si="6"/>
        <v>62280</v>
      </c>
      <c r="W32" s="386">
        <f t="shared" si="10"/>
        <v>7473600</v>
      </c>
      <c r="X32" s="1080">
        <f t="shared" si="8"/>
        <v>4.1520000000000001</v>
      </c>
      <c r="Y32" s="1116">
        <v>1800000</v>
      </c>
      <c r="Z32" s="1117">
        <f t="shared" si="9"/>
        <v>7473600</v>
      </c>
      <c r="AA32" s="593">
        <f t="shared" si="7"/>
        <v>10</v>
      </c>
      <c r="AB32" s="511">
        <f>IFERROR(INDEX('[17]CN BC'!$M$10:$M$276,MATCH(B32,'[17]CN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8" t="str">
        <f>VLOOKUP(B33,TH.T5!B33:F362,5,FALSE)</f>
        <v>NV Phòng Tổ chức - Hành chính - Tổng hợp</v>
      </c>
      <c r="K33" s="384">
        <f t="shared" si="1"/>
        <v>3.66</v>
      </c>
      <c r="L33" s="377">
        <f t="shared" si="2"/>
        <v>6588000</v>
      </c>
      <c r="M33" s="381" t="str">
        <f>VLOOKUP(B33,'[24]Gui chi Quynh'!$B$11:$E$400,4,FALSE)</f>
        <v>A3</v>
      </c>
      <c r="N33" s="512">
        <f t="shared" si="3"/>
        <v>7905600</v>
      </c>
      <c r="O33" s="381">
        <v>20</v>
      </c>
      <c r="P33" s="458">
        <f>IFERROR(INDEX('[17]CN BC'!$J$10:$J$276,MATCH(B33,'[17]CN BC'!$H$10:$H$276,0)),"")</f>
        <v>20</v>
      </c>
      <c r="Q33" s="512">
        <f t="shared" si="4"/>
        <v>7905600</v>
      </c>
      <c r="R33" s="408"/>
      <c r="S33" s="377">
        <f t="shared" si="11"/>
        <v>0</v>
      </c>
      <c r="T33" s="401"/>
      <c r="U33" s="377">
        <f t="shared" si="5"/>
        <v>0</v>
      </c>
      <c r="V33" s="612">
        <f t="shared" si="6"/>
        <v>65880</v>
      </c>
      <c r="W33" s="386">
        <f t="shared" si="10"/>
        <v>7905600</v>
      </c>
      <c r="X33" s="1080">
        <f t="shared" si="8"/>
        <v>4.3920000000000003</v>
      </c>
      <c r="Y33" s="1116">
        <v>1800000</v>
      </c>
      <c r="Z33" s="1117">
        <f t="shared" si="9"/>
        <v>7905600.0000000009</v>
      </c>
      <c r="AA33" s="593">
        <f t="shared" si="7"/>
        <v>11</v>
      </c>
      <c r="AB33" s="511">
        <f>IFERROR(INDEX('[17]CN BC'!$M$10:$M$276,MATCH(B33,'[17]CN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8" t="str">
        <f>VLOOKUP(B34,TH.T5!B34:F363,5,FALSE)</f>
        <v>NV Phòng Tổ chức - Hành chính - Tổng hợp</v>
      </c>
      <c r="K34" s="384">
        <f t="shared" si="1"/>
        <v>3.66</v>
      </c>
      <c r="L34" s="377">
        <f t="shared" si="2"/>
        <v>6588000</v>
      </c>
      <c r="M34" s="381" t="str">
        <f>VLOOKUP(B34,'[24]Gui chi Quynh'!$B$11:$E$400,4,FALSE)</f>
        <v>A3</v>
      </c>
      <c r="N34" s="512">
        <f t="shared" si="3"/>
        <v>7905600</v>
      </c>
      <c r="O34" s="381">
        <v>20</v>
      </c>
      <c r="P34" s="458">
        <f>IFERROR(INDEX('[17]CN BC'!$J$10:$J$276,MATCH(B34,'[17]CN BC'!$H$10:$H$276,0)),"")</f>
        <v>21</v>
      </c>
      <c r="Q34" s="512">
        <f t="shared" si="4"/>
        <v>7905600</v>
      </c>
      <c r="R34" s="478"/>
      <c r="S34" s="377">
        <f t="shared" si="11"/>
        <v>0</v>
      </c>
      <c r="T34" s="385"/>
      <c r="U34" s="377">
        <f t="shared" si="5"/>
        <v>0</v>
      </c>
      <c r="V34" s="612">
        <f t="shared" si="6"/>
        <v>65880</v>
      </c>
      <c r="W34" s="386">
        <f t="shared" si="10"/>
        <v>7905600</v>
      </c>
      <c r="X34" s="1080">
        <f t="shared" si="8"/>
        <v>4.3920000000000003</v>
      </c>
      <c r="Y34" s="1116">
        <v>1800000</v>
      </c>
      <c r="Z34" s="1117">
        <f t="shared" si="9"/>
        <v>7905600.0000000009</v>
      </c>
      <c r="AA34" s="593">
        <f t="shared" si="7"/>
        <v>12</v>
      </c>
      <c r="AB34" s="511">
        <f>IFERROR(INDEX('[17]CN BC'!$M$10:$M$276,MATCH(B34,'[17]CN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8" t="str">
        <f>VLOOKUP(B35,TH.T5!B35:F364,5,FALSE)</f>
        <v>NV Phòng Tổ chức - Hành chính - Tổng hợp</v>
      </c>
      <c r="K35" s="384">
        <f t="shared" si="1"/>
        <v>3.66</v>
      </c>
      <c r="L35" s="377">
        <f t="shared" si="2"/>
        <v>6588000</v>
      </c>
      <c r="M35" s="381" t="str">
        <f>VLOOKUP(B35,'[24]Gui chi Quynh'!$B$11:$E$400,4,FALSE)</f>
        <v>A4</v>
      </c>
      <c r="N35" s="512">
        <f t="shared" si="3"/>
        <v>6588000</v>
      </c>
      <c r="O35" s="381">
        <v>20</v>
      </c>
      <c r="P35" s="458">
        <f>IFERROR(INDEX('[17]CN BC'!$J$10:$J$276,MATCH(B35,'[17]CN BC'!$H$10:$H$276,0)),"")</f>
        <v>20</v>
      </c>
      <c r="Q35" s="512">
        <f t="shared" si="4"/>
        <v>6588000</v>
      </c>
      <c r="R35" s="478"/>
      <c r="S35" s="377">
        <f>R35*$G$19*1.4</f>
        <v>0</v>
      </c>
      <c r="T35" s="385"/>
      <c r="U35" s="377">
        <f t="shared" si="5"/>
        <v>0</v>
      </c>
      <c r="V35" s="612">
        <f t="shared" si="6"/>
        <v>65880</v>
      </c>
      <c r="W35" s="386">
        <f t="shared" si="10"/>
        <v>6588000</v>
      </c>
      <c r="X35" s="1080">
        <f t="shared" si="8"/>
        <v>3.66</v>
      </c>
      <c r="Y35" s="1116">
        <v>1800000</v>
      </c>
      <c r="Z35" s="1117">
        <f t="shared" si="9"/>
        <v>6588000</v>
      </c>
      <c r="AA35" s="593">
        <f t="shared" si="7"/>
        <v>13</v>
      </c>
      <c r="AB35" s="511" t="str">
        <f>IFERROR(INDEX('[17]CN BC'!$M$10:$M$276,MATCH(B35,'[17]CN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8" t="str">
        <f>VLOOKUP(B36,TH.T5!B36:F365,5,FALSE)</f>
        <v>NV Phòng Tổ chức - Hành chính - Tổng hợp</v>
      </c>
      <c r="K36" s="384">
        <f t="shared" si="1"/>
        <v>3.33</v>
      </c>
      <c r="L36" s="377">
        <f t="shared" si="2"/>
        <v>5994000</v>
      </c>
      <c r="M36" s="381" t="str">
        <f>VLOOKUP(B36,'[24]Gui chi Quynh'!$B$11:$E$400,4,FALSE)</f>
        <v>A2</v>
      </c>
      <c r="N36" s="512">
        <f t="shared" si="3"/>
        <v>8391600</v>
      </c>
      <c r="O36" s="381">
        <v>20</v>
      </c>
      <c r="P36" s="458">
        <f>IFERROR(INDEX('[17]CN BC'!$J$10:$J$276,MATCH(B36,'[17]CN BC'!$H$10:$H$276,0)),"")</f>
        <v>20.5</v>
      </c>
      <c r="Q36" s="512">
        <f t="shared" si="4"/>
        <v>8391600</v>
      </c>
      <c r="R36" s="478"/>
      <c r="S36" s="377">
        <f t="shared" ref="S36:S46" si="12">R36*$G$19*1</f>
        <v>0</v>
      </c>
      <c r="T36" s="385"/>
      <c r="U36" s="377">
        <f t="shared" si="5"/>
        <v>0</v>
      </c>
      <c r="V36" s="612">
        <f t="shared" si="6"/>
        <v>59940</v>
      </c>
      <c r="W36" s="386">
        <f t="shared" si="10"/>
        <v>8391600</v>
      </c>
      <c r="X36" s="1080">
        <f t="shared" si="8"/>
        <v>4.6619999999999999</v>
      </c>
      <c r="Y36" s="1116">
        <v>1800000</v>
      </c>
      <c r="Z36" s="1117">
        <f t="shared" si="9"/>
        <v>8391600</v>
      </c>
      <c r="AA36" s="593">
        <f t="shared" si="7"/>
        <v>14</v>
      </c>
      <c r="AB36" s="511">
        <f>IFERROR(INDEX('[17]CN BC'!$M$10:$M$276,MATCH(B36,'[17]CN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8" t="str">
        <f>VLOOKUP(B37,TH.T5!B37:F366,5,FALSE)</f>
        <v>NV Phòng Tổ chức - Hành chính - Tổng hợp</v>
      </c>
      <c r="K37" s="384">
        <f t="shared" si="1"/>
        <v>2.61</v>
      </c>
      <c r="L37" s="377">
        <f t="shared" si="2"/>
        <v>4698000</v>
      </c>
      <c r="M37" s="381" t="str">
        <f>VLOOKUP(B37,'[24]Gui chi Quynh'!$B$11:$E$400,4,FALSE)</f>
        <v>A3</v>
      </c>
      <c r="N37" s="512">
        <f t="shared" si="3"/>
        <v>5637600</v>
      </c>
      <c r="O37" s="381">
        <v>20</v>
      </c>
      <c r="P37" s="458">
        <f>IFERROR(INDEX('[17]CN BC'!$J$10:$J$276,MATCH(B37,'[17]CN BC'!$H$10:$H$276,0)),"")</f>
        <v>22.5</v>
      </c>
      <c r="Q37" s="512">
        <f t="shared" si="4"/>
        <v>5637600</v>
      </c>
      <c r="R37" s="478"/>
      <c r="S37" s="377">
        <f t="shared" si="12"/>
        <v>0</v>
      </c>
      <c r="T37" s="385"/>
      <c r="U37" s="377">
        <f t="shared" si="5"/>
        <v>0</v>
      </c>
      <c r="V37" s="612">
        <f t="shared" si="6"/>
        <v>46980</v>
      </c>
      <c r="W37" s="386">
        <f t="shared" si="10"/>
        <v>5637600</v>
      </c>
      <c r="X37" s="1080">
        <f t="shared" si="8"/>
        <v>3.1320000000000001</v>
      </c>
      <c r="Y37" s="1116">
        <v>1800000</v>
      </c>
      <c r="Z37" s="1117">
        <f t="shared" si="9"/>
        <v>5637600</v>
      </c>
      <c r="AA37" s="593">
        <f t="shared" si="7"/>
        <v>15</v>
      </c>
      <c r="AB37" s="511">
        <f>IFERROR(INDEX('[17]CN BC'!$M$10:$M$276,MATCH(B37,'[17]CN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8" t="str">
        <f>VLOOKUP(B38,TH.T5!B38:F367,5,FALSE)</f>
        <v>Trưởng phòng Quản trị - Dịch vụ</v>
      </c>
      <c r="K38" s="384">
        <f t="shared" si="1"/>
        <v>5.6790000000000003</v>
      </c>
      <c r="L38" s="377">
        <f t="shared" si="2"/>
        <v>10222200</v>
      </c>
      <c r="M38" s="381" t="str">
        <f>VLOOKUP(B38,'[24]Gui chi Quynh'!$B$11:$E$400,4,FALSE)</f>
        <v>A1</v>
      </c>
      <c r="N38" s="512">
        <f t="shared" si="3"/>
        <v>16355520</v>
      </c>
      <c r="O38" s="381">
        <v>20</v>
      </c>
      <c r="P38" s="458">
        <f>IFERROR(INDEX('[17]CN BC'!$J$10:$J$276,MATCH(B38,'[17]CN BC'!$H$10:$H$276,0)),"")</f>
        <v>22</v>
      </c>
      <c r="Q38" s="512">
        <f t="shared" si="4"/>
        <v>16355520</v>
      </c>
      <c r="R38" s="408"/>
      <c r="S38" s="377">
        <f t="shared" si="12"/>
        <v>0</v>
      </c>
      <c r="T38" s="401"/>
      <c r="U38" s="377">
        <f t="shared" si="5"/>
        <v>0</v>
      </c>
      <c r="V38" s="612">
        <f t="shared" si="6"/>
        <v>102222</v>
      </c>
      <c r="W38" s="386">
        <f t="shared" si="10"/>
        <v>16355520</v>
      </c>
      <c r="X38" s="1080">
        <f t="shared" si="8"/>
        <v>9.0863999999999994</v>
      </c>
      <c r="Y38" s="1116">
        <v>1800000</v>
      </c>
      <c r="Z38" s="1117">
        <f t="shared" si="9"/>
        <v>16355519.999999998</v>
      </c>
      <c r="AA38" s="593">
        <f t="shared" si="7"/>
        <v>16</v>
      </c>
      <c r="AB38" s="511">
        <f>IFERROR(INDEX('[17]CN BC'!$M$10:$M$276,MATCH(B38,'[17]CN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8" t="str">
        <f>VLOOKUP(B39,TH.T5!B39:F368,5,FALSE)</f>
        <v>Phó TP. Quản trị - 
Dịch vụ</v>
      </c>
      <c r="K39" s="384">
        <f t="shared" si="1"/>
        <v>5.6786000000000003</v>
      </c>
      <c r="L39" s="377">
        <f t="shared" si="2"/>
        <v>10221480</v>
      </c>
      <c r="M39" s="381" t="str">
        <f>VLOOKUP(B39,'[24]Gui chi Quynh'!$B$11:$E$400,4,FALSE)</f>
        <v>A1</v>
      </c>
      <c r="N39" s="512">
        <f t="shared" si="3"/>
        <v>16354368</v>
      </c>
      <c r="O39" s="381">
        <v>20</v>
      </c>
      <c r="P39" s="458">
        <f>IFERROR(INDEX('[17]CN BC'!$J$10:$J$276,MATCH(B39,'[17]CN BC'!$H$10:$H$276,0)),"")</f>
        <v>25</v>
      </c>
      <c r="Q39" s="512">
        <f t="shared" si="4"/>
        <v>16354368</v>
      </c>
      <c r="R39" s="408"/>
      <c r="S39" s="377">
        <f t="shared" si="12"/>
        <v>0</v>
      </c>
      <c r="T39" s="401"/>
      <c r="U39" s="377">
        <f t="shared" si="5"/>
        <v>0</v>
      </c>
      <c r="V39" s="612">
        <f t="shared" si="6"/>
        <v>102215</v>
      </c>
      <c r="W39" s="386">
        <f t="shared" si="10"/>
        <v>16354368</v>
      </c>
      <c r="X39" s="1080">
        <f t="shared" si="8"/>
        <v>9.0857600000000005</v>
      </c>
      <c r="Y39" s="1116">
        <v>1800000</v>
      </c>
      <c r="Z39" s="1117">
        <f t="shared" si="9"/>
        <v>16354368</v>
      </c>
      <c r="AA39" s="593">
        <f t="shared" si="7"/>
        <v>17</v>
      </c>
      <c r="AB39" s="511">
        <f>IFERROR(INDEX('[17]CN BC'!$M$10:$M$276,MATCH(B39,'[17]CN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8" t="str">
        <f>VLOOKUP(B40,TH.T5!B40:F369,5,FALSE)</f>
        <v>NV Phòng Quản trị - Dịch vụ</v>
      </c>
      <c r="K40" s="384">
        <f t="shared" si="1"/>
        <v>3.9</v>
      </c>
      <c r="L40" s="377">
        <f t="shared" si="2"/>
        <v>7020000</v>
      </c>
      <c r="M40" s="381" t="str">
        <f>VLOOKUP(B40,'[24]Gui chi Quynh'!$B$11:$E$400,4,FALSE)</f>
        <v>A1</v>
      </c>
      <c r="N40" s="512">
        <f t="shared" si="3"/>
        <v>11232000</v>
      </c>
      <c r="O40" s="381">
        <v>20</v>
      </c>
      <c r="P40" s="458">
        <f>IFERROR(INDEX('[17]CN BC'!$J$10:$J$276,MATCH(B40,'[17]CN BC'!$H$10:$H$276,0)),"")</f>
        <v>22</v>
      </c>
      <c r="Q40" s="512">
        <f t="shared" si="4"/>
        <v>11232000</v>
      </c>
      <c r="R40" s="408"/>
      <c r="S40" s="377">
        <f t="shared" si="12"/>
        <v>0</v>
      </c>
      <c r="T40" s="401"/>
      <c r="U40" s="377">
        <f t="shared" si="5"/>
        <v>0</v>
      </c>
      <c r="V40" s="612">
        <f t="shared" si="6"/>
        <v>70200</v>
      </c>
      <c r="W40" s="386">
        <f t="shared" si="10"/>
        <v>11232000</v>
      </c>
      <c r="X40" s="1080">
        <f t="shared" si="8"/>
        <v>6.24</v>
      </c>
      <c r="Y40" s="1116">
        <v>1800000</v>
      </c>
      <c r="Z40" s="1117">
        <f t="shared" si="9"/>
        <v>11232000</v>
      </c>
      <c r="AA40" s="593">
        <f t="shared" si="7"/>
        <v>18</v>
      </c>
      <c r="AB40" s="511">
        <f>IFERROR(INDEX('[17]CN BC'!$M$10:$M$276,MATCH(B40,'[17]CN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8" t="str">
        <f>VLOOKUP(B41,TH.T5!B41:F370,5,FALSE)</f>
        <v>NV Phòng Quản trị - Dịch vụ</v>
      </c>
      <c r="K41" s="384">
        <f t="shared" si="1"/>
        <v>3.46</v>
      </c>
      <c r="L41" s="377">
        <f t="shared" si="2"/>
        <v>6228000</v>
      </c>
      <c r="M41" s="381" t="str">
        <f>VLOOKUP(B41,'[24]Gui chi Quynh'!$B$11:$E$400,4,FALSE)</f>
        <v>A3</v>
      </c>
      <c r="N41" s="512">
        <f t="shared" si="3"/>
        <v>7473600</v>
      </c>
      <c r="O41" s="381">
        <v>20</v>
      </c>
      <c r="P41" s="458">
        <f>IFERROR(INDEX('[17]CN BC'!$J$10:$J$276,MATCH(B41,'[17]CN BC'!$H$10:$H$276,0)),"")</f>
        <v>19</v>
      </c>
      <c r="Q41" s="512">
        <f t="shared" si="4"/>
        <v>7099920</v>
      </c>
      <c r="R41" s="478"/>
      <c r="S41" s="377">
        <f t="shared" si="12"/>
        <v>0</v>
      </c>
      <c r="T41" s="385"/>
      <c r="U41" s="377">
        <f t="shared" si="5"/>
        <v>0</v>
      </c>
      <c r="V41" s="612">
        <f t="shared" si="6"/>
        <v>62280</v>
      </c>
      <c r="W41" s="386">
        <f t="shared" si="10"/>
        <v>7099920</v>
      </c>
      <c r="X41" s="1080">
        <f t="shared" si="8"/>
        <v>3.9443999999999999</v>
      </c>
      <c r="Y41" s="1116">
        <v>1800000</v>
      </c>
      <c r="Z41" s="1117">
        <f t="shared" si="9"/>
        <v>7099920</v>
      </c>
      <c r="AA41" s="593">
        <f t="shared" si="7"/>
        <v>19</v>
      </c>
      <c r="AB41" s="511">
        <f>IFERROR(INDEX('[17]CN BC'!$M$10:$M$276,MATCH(B41,'[17]CN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8" t="str">
        <f>VLOOKUP(B42,TH.T5!B42:F371,5,FALSE)</f>
        <v>Nhân viên phòng Quản trị - Dịch vụ</v>
      </c>
      <c r="K42" s="384">
        <f t="shared" si="1"/>
        <v>3.46</v>
      </c>
      <c r="L42" s="377">
        <f t="shared" si="2"/>
        <v>6228000</v>
      </c>
      <c r="M42" s="381" t="str">
        <f>VLOOKUP(B42,'[24]Gui chi Quynh'!$B$11:$E$400,4,FALSE)</f>
        <v>A3</v>
      </c>
      <c r="N42" s="512">
        <f t="shared" si="3"/>
        <v>7473600</v>
      </c>
      <c r="O42" s="381">
        <v>20</v>
      </c>
      <c r="P42" s="458">
        <f>IFERROR(INDEX('[17]CN BC'!$J$10:$J$276,MATCH(B42,'[17]CN BC'!$H$10:$H$276,0)),"")</f>
        <v>18</v>
      </c>
      <c r="Q42" s="512">
        <f t="shared" si="4"/>
        <v>6726240</v>
      </c>
      <c r="R42" s="408"/>
      <c r="S42" s="377">
        <f t="shared" si="12"/>
        <v>0</v>
      </c>
      <c r="T42" s="401"/>
      <c r="U42" s="377">
        <f t="shared" si="5"/>
        <v>0</v>
      </c>
      <c r="V42" s="612">
        <f t="shared" si="6"/>
        <v>62280</v>
      </c>
      <c r="W42" s="386">
        <f t="shared" si="10"/>
        <v>6726240</v>
      </c>
      <c r="X42" s="1080">
        <f t="shared" si="8"/>
        <v>3.7368000000000001</v>
      </c>
      <c r="Y42" s="1116">
        <v>1800000</v>
      </c>
      <c r="Z42" s="1117">
        <f t="shared" si="9"/>
        <v>6726240</v>
      </c>
      <c r="AA42" s="593">
        <f t="shared" si="7"/>
        <v>20</v>
      </c>
      <c r="AB42" s="511" t="str">
        <f>IFERROR(INDEX('[17]CN BC'!$M$10:$M$276,MATCH(B42,'[17]CN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8" t="str">
        <f>VLOOKUP(B43,TH.T5!B43:F372,5,FALSE)</f>
        <v>Nhân viên phòng Quản trị - Dịch vụ</v>
      </c>
      <c r="K43" s="384">
        <f t="shared" si="1"/>
        <v>3.34</v>
      </c>
      <c r="L43" s="377">
        <f t="shared" si="2"/>
        <v>6012000</v>
      </c>
      <c r="M43" s="381" t="str">
        <f>VLOOKUP(B43,'[24]Gui chi Quynh'!$B$11:$E$400,4,FALSE)</f>
        <v>A3</v>
      </c>
      <c r="N43" s="512">
        <f t="shared" si="3"/>
        <v>7214400</v>
      </c>
      <c r="O43" s="381">
        <v>20</v>
      </c>
      <c r="P43" s="458">
        <f>IFERROR(INDEX('[17]CN BC'!$J$10:$J$276,MATCH(B43,'[17]CN BC'!$H$10:$H$276,0)),"")</f>
        <v>20</v>
      </c>
      <c r="Q43" s="512">
        <f t="shared" si="4"/>
        <v>7214400</v>
      </c>
      <c r="R43" s="478"/>
      <c r="S43" s="377">
        <f t="shared" si="12"/>
        <v>0</v>
      </c>
      <c r="T43" s="385"/>
      <c r="U43" s="377">
        <f t="shared" si="5"/>
        <v>0</v>
      </c>
      <c r="V43" s="612">
        <f t="shared" si="6"/>
        <v>60120</v>
      </c>
      <c r="W43" s="386">
        <f t="shared" si="10"/>
        <v>7214400</v>
      </c>
      <c r="X43" s="1080">
        <f t="shared" si="8"/>
        <v>4.008</v>
      </c>
      <c r="Y43" s="1116">
        <v>1800000</v>
      </c>
      <c r="Z43" s="1117">
        <f t="shared" si="9"/>
        <v>7214400</v>
      </c>
      <c r="AA43" s="593">
        <f t="shared" si="7"/>
        <v>21</v>
      </c>
      <c r="AB43" s="511">
        <f>IFERROR(INDEX('[17]CN BC'!$M$10:$M$276,MATCH(B43,'[17]CN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8" t="str">
        <f>VLOOKUP(B44,TH.T5!B44:F373,5,FALSE)</f>
        <v>Nhân viên phòng Quản trị - Dịch vụ</v>
      </c>
      <c r="K44" s="384">
        <f t="shared" si="1"/>
        <v>3.66</v>
      </c>
      <c r="L44" s="377">
        <f t="shared" si="2"/>
        <v>6588000</v>
      </c>
      <c r="M44" s="381" t="str">
        <f>VLOOKUP(B44,'[24]Gui chi Quynh'!$B$11:$E$400,4,FALSE)</f>
        <v>A3</v>
      </c>
      <c r="N44" s="512">
        <f t="shared" si="3"/>
        <v>7905600</v>
      </c>
      <c r="O44" s="381">
        <v>20</v>
      </c>
      <c r="P44" s="458">
        <f>IFERROR(INDEX('[17]CN BC'!$J$10:$J$276,MATCH(B44,'[17]CN BC'!$H$10:$H$276,0)),"")</f>
        <v>22</v>
      </c>
      <c r="Q44" s="512">
        <f t="shared" si="4"/>
        <v>7905600</v>
      </c>
      <c r="R44" s="408"/>
      <c r="S44" s="377">
        <f t="shared" si="12"/>
        <v>0</v>
      </c>
      <c r="T44" s="401"/>
      <c r="U44" s="377">
        <f t="shared" si="5"/>
        <v>0</v>
      </c>
      <c r="V44" s="612">
        <f t="shared" si="6"/>
        <v>65880</v>
      </c>
      <c r="W44" s="386">
        <f t="shared" si="10"/>
        <v>7905600</v>
      </c>
      <c r="X44" s="1080">
        <f t="shared" si="8"/>
        <v>4.3920000000000003</v>
      </c>
      <c r="Y44" s="1116">
        <v>1800000</v>
      </c>
      <c r="Z44" s="1117">
        <f t="shared" si="9"/>
        <v>7905600.0000000009</v>
      </c>
      <c r="AA44" s="593">
        <f t="shared" si="7"/>
        <v>22</v>
      </c>
      <c r="AB44" s="511">
        <f>IFERROR(INDEX('[17]CN BC'!$M$10:$M$276,MATCH(B44,'[17]CN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8" t="str">
        <f>VLOOKUP(B45,TH.T5!B45:F374,5,FALSE)</f>
        <v>Nhân viên TT Đào tạo và QLTB</v>
      </c>
      <c r="K45" s="384">
        <f t="shared" si="1"/>
        <v>3.03</v>
      </c>
      <c r="L45" s="377">
        <f t="shared" si="2"/>
        <v>5454000</v>
      </c>
      <c r="M45" s="381" t="str">
        <f>VLOOKUP(B45,'[24]Gui chi Quynh'!$B$11:$E$400,4,FALSE)</f>
        <v>A2</v>
      </c>
      <c r="N45" s="512">
        <f t="shared" si="3"/>
        <v>7635599.9999999991</v>
      </c>
      <c r="O45" s="381">
        <v>20</v>
      </c>
      <c r="P45" s="458">
        <f>IFERROR(INDEX('[17]CN BC'!$J$10:$J$276,MATCH(B45,'[17]CN BC'!$H$10:$H$276,0)),"")</f>
        <v>21</v>
      </c>
      <c r="Q45" s="512">
        <f t="shared" si="4"/>
        <v>7635599.9999999991</v>
      </c>
      <c r="R45" s="478"/>
      <c r="S45" s="377">
        <f t="shared" si="12"/>
        <v>0</v>
      </c>
      <c r="T45" s="385"/>
      <c r="U45" s="377">
        <f t="shared" si="5"/>
        <v>0</v>
      </c>
      <c r="V45" s="612">
        <f t="shared" si="6"/>
        <v>54540</v>
      </c>
      <c r="W45" s="386">
        <f t="shared" si="10"/>
        <v>7635599.9999999991</v>
      </c>
      <c r="X45" s="1080">
        <f t="shared" si="8"/>
        <v>4.2419999999999991</v>
      </c>
      <c r="Y45" s="1116">
        <v>1800000</v>
      </c>
      <c r="Z45" s="1117">
        <f t="shared" si="9"/>
        <v>7635599.9999999981</v>
      </c>
      <c r="AA45" s="593">
        <f t="shared" si="7"/>
        <v>23</v>
      </c>
      <c r="AB45" s="511">
        <f>IFERROR(INDEX('[17]CN BC'!$M$10:$M$276,MATCH(B45,'[17]CN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8" t="str">
        <f>VLOOKUP(B46,TH.T5!B46:F375,5,FALSE)</f>
        <v>Nhân viên TT Đào tạo và QLTB</v>
      </c>
      <c r="K46" s="384">
        <f t="shared" si="1"/>
        <v>3.34</v>
      </c>
      <c r="L46" s="377">
        <f t="shared" si="2"/>
        <v>6012000</v>
      </c>
      <c r="M46" s="381" t="str">
        <f>VLOOKUP(B46,'[24]Gui chi Quynh'!$B$11:$E$400,4,FALSE)</f>
        <v>A2</v>
      </c>
      <c r="N46" s="512">
        <f t="shared" si="3"/>
        <v>8416800</v>
      </c>
      <c r="O46" s="381">
        <v>20</v>
      </c>
      <c r="P46" s="458">
        <f>IFERROR(INDEX('[17]CN BC'!$J$10:$J$276,MATCH(B46,'[17]CN BC'!$H$10:$H$276,0)),"")</f>
        <v>21</v>
      </c>
      <c r="Q46" s="512">
        <f t="shared" si="4"/>
        <v>8416800</v>
      </c>
      <c r="R46" s="478"/>
      <c r="S46" s="377">
        <f t="shared" si="12"/>
        <v>0</v>
      </c>
      <c r="T46" s="385"/>
      <c r="U46" s="377">
        <f t="shared" si="5"/>
        <v>0</v>
      </c>
      <c r="V46" s="612">
        <f t="shared" si="6"/>
        <v>60120</v>
      </c>
      <c r="W46" s="386">
        <f t="shared" si="10"/>
        <v>8416800</v>
      </c>
      <c r="X46" s="1080">
        <f t="shared" si="8"/>
        <v>4.6760000000000002</v>
      </c>
      <c r="Y46" s="1116">
        <v>1800000</v>
      </c>
      <c r="Z46" s="1117">
        <f t="shared" si="9"/>
        <v>8416800</v>
      </c>
      <c r="AA46" s="593">
        <f t="shared" si="7"/>
        <v>24</v>
      </c>
      <c r="AB46" s="511">
        <f>IFERROR(INDEX('[17]CN BC'!$M$10:$M$276,MATCH(B46,'[17]CN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8" t="str">
        <f>VLOOKUP(B47,TH.T5!B47:F376,5,FALSE)</f>
        <v>Phó Trưởng TT Đào tạo và QLTB</v>
      </c>
      <c r="K47" s="384">
        <f t="shared" si="1"/>
        <v>3.35</v>
      </c>
      <c r="L47" s="377">
        <f t="shared" si="2"/>
        <v>6030000</v>
      </c>
      <c r="M47" s="381" t="str">
        <f>VLOOKUP(B47,'[24]Gui chi Quynh'!$B$11:$E$400,4,FALSE)</f>
        <v>A1</v>
      </c>
      <c r="N47" s="512">
        <f t="shared" si="3"/>
        <v>9648000</v>
      </c>
      <c r="O47" s="381">
        <v>20</v>
      </c>
      <c r="P47" s="458">
        <f>IFERROR(INDEX('[17]CN BC'!$J$10:$J$276,MATCH(B47,'[17]CN BC'!$H$10:$H$276,0)),"")</f>
        <v>30</v>
      </c>
      <c r="Q47" s="512">
        <f t="shared" si="4"/>
        <v>9648000</v>
      </c>
      <c r="R47" s="478"/>
      <c r="S47" s="377">
        <f>R47*$G$19*1.6</f>
        <v>0</v>
      </c>
      <c r="T47" s="385"/>
      <c r="U47" s="377">
        <f t="shared" si="5"/>
        <v>0</v>
      </c>
      <c r="V47" s="612">
        <f t="shared" si="6"/>
        <v>60300</v>
      </c>
      <c r="W47" s="386">
        <f t="shared" si="10"/>
        <v>9648000</v>
      </c>
      <c r="X47" s="1080">
        <f t="shared" si="8"/>
        <v>5.36</v>
      </c>
      <c r="Y47" s="1116">
        <v>1800000</v>
      </c>
      <c r="Z47" s="1117">
        <f t="shared" si="9"/>
        <v>9648000</v>
      </c>
      <c r="AA47" s="593">
        <f t="shared" si="7"/>
        <v>25</v>
      </c>
      <c r="AB47" s="511">
        <f>IFERROR(INDEX('[17]CN BC'!$M$10:$M$276,MATCH(B47,'[17]CN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8" t="str">
        <f>VLOOKUP(B48,TH.T5!B48:F377,5,FALSE)</f>
        <v>Nhân viên TT Đào tạo và QLTB</v>
      </c>
      <c r="K48" s="384">
        <f t="shared" si="1"/>
        <v>2.67</v>
      </c>
      <c r="L48" s="377">
        <f t="shared" si="2"/>
        <v>4806000</v>
      </c>
      <c r="M48" s="381" t="str">
        <f>VLOOKUP(B48,'[24]Gui chi Quynh'!$B$11:$E$400,4,FALSE)</f>
        <v>A2</v>
      </c>
      <c r="N48" s="512">
        <f t="shared" si="3"/>
        <v>6728400</v>
      </c>
      <c r="O48" s="381">
        <v>20</v>
      </c>
      <c r="P48" s="458">
        <f>IFERROR(INDEX('[17]CN BC'!$J$10:$J$276,MATCH(B48,'[17]CN BC'!$H$10:$H$276,0)),"")</f>
        <v>24</v>
      </c>
      <c r="Q48" s="512">
        <f t="shared" si="4"/>
        <v>6728400</v>
      </c>
      <c r="R48" s="478"/>
      <c r="S48" s="377">
        <f>R48*$G$19*1</f>
        <v>0</v>
      </c>
      <c r="T48" s="385"/>
      <c r="U48" s="377">
        <f t="shared" si="5"/>
        <v>0</v>
      </c>
      <c r="V48" s="612">
        <f t="shared" si="6"/>
        <v>48060</v>
      </c>
      <c r="W48" s="386">
        <f t="shared" si="10"/>
        <v>6728400</v>
      </c>
      <c r="X48" s="1080">
        <f t="shared" si="8"/>
        <v>3.738</v>
      </c>
      <c r="Y48" s="1116">
        <v>1800000</v>
      </c>
      <c r="Z48" s="1117">
        <f t="shared" si="9"/>
        <v>6728400</v>
      </c>
      <c r="AA48" s="593">
        <f t="shared" si="7"/>
        <v>26</v>
      </c>
      <c r="AB48" s="511">
        <f>IFERROR(INDEX('[17]CN BC'!$M$10:$M$276,MATCH(B48,'[17]CN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8" t="str">
        <f>VLOOKUP(B49,TH.T5!B49:F378,5,FALSE)</f>
        <v>Nhân viên phòng Quản trị - Dịch vụ</v>
      </c>
      <c r="K49" s="384">
        <f t="shared" si="1"/>
        <v>5.4790000000000001</v>
      </c>
      <c r="L49" s="377">
        <f t="shared" si="2"/>
        <v>9862200</v>
      </c>
      <c r="M49" s="381" t="str">
        <f>VLOOKUP(B49,'[24]Gui chi Quynh'!$B$11:$E$400,4,FALSE)</f>
        <v>A3</v>
      </c>
      <c r="N49" s="512">
        <f t="shared" si="3"/>
        <v>11834640</v>
      </c>
      <c r="O49" s="381">
        <v>20</v>
      </c>
      <c r="P49" s="458">
        <f>IFERROR(INDEX('[17]CN BC'!$J$10:$J$276,MATCH(B49,'[17]CN BC'!$H$10:$H$276,0)),"")</f>
        <v>24</v>
      </c>
      <c r="Q49" s="512">
        <f t="shared" si="4"/>
        <v>11834640</v>
      </c>
      <c r="R49" s="408"/>
      <c r="S49" s="377">
        <f>R49*$G$19*1</f>
        <v>0</v>
      </c>
      <c r="T49" s="401"/>
      <c r="U49" s="377">
        <f t="shared" si="5"/>
        <v>0</v>
      </c>
      <c r="V49" s="612">
        <f t="shared" si="6"/>
        <v>98622</v>
      </c>
      <c r="W49" s="386">
        <f t="shared" si="10"/>
        <v>11834640</v>
      </c>
      <c r="X49" s="1080">
        <f t="shared" si="8"/>
        <v>6.5747999999999998</v>
      </c>
      <c r="Y49" s="1116">
        <v>1800000</v>
      </c>
      <c r="Z49" s="1117">
        <f t="shared" si="9"/>
        <v>11834640</v>
      </c>
      <c r="AA49" s="593">
        <f t="shared" si="7"/>
        <v>27</v>
      </c>
      <c r="AB49" s="511">
        <f>IFERROR(INDEX('[17]CN BC'!$M$10:$M$276,MATCH(B49,'[17]CN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8" t="str">
        <f>VLOOKUP(B50,TH.T5!B50:F379,5,FALSE)</f>
        <v>Nhân viên phòng Quản trị - Dịch vụ</v>
      </c>
      <c r="K50" s="384">
        <f t="shared" si="1"/>
        <v>3.66</v>
      </c>
      <c r="L50" s="377">
        <f t="shared" si="2"/>
        <v>6588000</v>
      </c>
      <c r="M50" s="381" t="str">
        <f>VLOOKUP(B50,'[24]Gui chi Quynh'!$B$11:$E$400,4,FALSE)</f>
        <v>A4</v>
      </c>
      <c r="N50" s="512">
        <f t="shared" si="3"/>
        <v>6588000</v>
      </c>
      <c r="O50" s="381">
        <v>20</v>
      </c>
      <c r="P50" s="458">
        <f>IFERROR(INDEX('[17]CN BC'!$J$10:$J$276,MATCH(B50,'[17]CN BC'!$H$10:$H$276,0)),"")</f>
        <v>25</v>
      </c>
      <c r="Q50" s="512">
        <f t="shared" si="4"/>
        <v>6588000</v>
      </c>
      <c r="R50" s="478"/>
      <c r="S50" s="377">
        <f>R50*$G$19*0.8</f>
        <v>0</v>
      </c>
      <c r="T50" s="385"/>
      <c r="U50" s="377">
        <f t="shared" si="5"/>
        <v>0</v>
      </c>
      <c r="V50" s="377">
        <f t="shared" si="6"/>
        <v>65880</v>
      </c>
      <c r="W50" s="386">
        <f t="shared" si="10"/>
        <v>6588000</v>
      </c>
      <c r="X50" s="1080">
        <f t="shared" si="8"/>
        <v>3.66</v>
      </c>
      <c r="Y50" s="1116">
        <v>1800000</v>
      </c>
      <c r="Z50" s="1117">
        <f t="shared" si="9"/>
        <v>6588000</v>
      </c>
      <c r="AA50" s="593">
        <f t="shared" si="7"/>
        <v>28</v>
      </c>
      <c r="AB50" s="511">
        <f>IFERROR(INDEX('[17]CN BC'!$M$10:$M$276,MATCH(B50,'[17]CN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8" t="str">
        <f>VLOOKUP(B51,TH.T5!B51:F380,5,FALSE)</f>
        <v>Nhân viên phòng Quản trị - Dịch vụ</v>
      </c>
      <c r="K51" s="384">
        <f t="shared" si="1"/>
        <v>4.8159999999999989</v>
      </c>
      <c r="L51" s="377">
        <f t="shared" si="2"/>
        <v>8668799.9999999981</v>
      </c>
      <c r="M51" s="381" t="str">
        <f>VLOOKUP(B51,'[24]Gui chi Quynh'!$B$11:$E$400,4,FALSE)</f>
        <v>A1</v>
      </c>
      <c r="N51" s="512">
        <f t="shared" si="3"/>
        <v>13870079.999999998</v>
      </c>
      <c r="O51" s="381">
        <v>20</v>
      </c>
      <c r="P51" s="458">
        <f>IFERROR(INDEX('[17]CN BC'!$J$10:$J$276,MATCH(B51,'[17]CN BC'!$H$10:$H$276,0)),"")</f>
        <v>25</v>
      </c>
      <c r="Q51" s="512">
        <f t="shared" si="4"/>
        <v>13870079.999999998</v>
      </c>
      <c r="R51" s="478"/>
      <c r="S51" s="377">
        <f>R51*$G$19*0.8</f>
        <v>0</v>
      </c>
      <c r="T51" s="385"/>
      <c r="U51" s="377">
        <f t="shared" si="5"/>
        <v>0</v>
      </c>
      <c r="V51" s="612">
        <f t="shared" si="6"/>
        <v>86688</v>
      </c>
      <c r="W51" s="386">
        <f t="shared" si="10"/>
        <v>13870079.999999998</v>
      </c>
      <c r="X51" s="1080">
        <f t="shared" si="8"/>
        <v>7.7055999999999987</v>
      </c>
      <c r="Y51" s="1116">
        <v>1800000</v>
      </c>
      <c r="Z51" s="1117">
        <f t="shared" si="9"/>
        <v>13870079.999999998</v>
      </c>
      <c r="AA51" s="593">
        <f t="shared" si="7"/>
        <v>29</v>
      </c>
      <c r="AB51" s="511" t="str">
        <f>IFERROR(INDEX('[17]CN BC'!$M$10:$M$276,MATCH(B51,'[17]CN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8" t="str">
        <f>VLOOKUP(B52,TH.T5!B52:F381,5,FALSE)</f>
        <v>Trưởng TT Y tế</v>
      </c>
      <c r="K52" s="384">
        <f t="shared" si="1"/>
        <v>5.1000000000000005</v>
      </c>
      <c r="L52" s="377">
        <f t="shared" si="2"/>
        <v>9180000.0000000019</v>
      </c>
      <c r="M52" s="381" t="str">
        <f>VLOOKUP(B52,'[24]Gui chi Quynh'!$B$11:$E$400,4,FALSE)</f>
        <v>A4</v>
      </c>
      <c r="N52" s="512">
        <f t="shared" si="3"/>
        <v>9180000.0000000019</v>
      </c>
      <c r="O52" s="381">
        <v>20</v>
      </c>
      <c r="P52" s="458">
        <f>IFERROR(INDEX('[17]CN BC'!$J$10:$J$276,MATCH(B52,'[17]CN BC'!$H$10:$H$276,0)),"")</f>
        <v>21</v>
      </c>
      <c r="Q52" s="512">
        <f t="shared" si="4"/>
        <v>9180000.0000000019</v>
      </c>
      <c r="R52" s="408"/>
      <c r="S52" s="377">
        <f>R52*$G$19*1</f>
        <v>0</v>
      </c>
      <c r="T52" s="401"/>
      <c r="U52" s="377">
        <f t="shared" si="5"/>
        <v>0</v>
      </c>
      <c r="V52" s="612">
        <f t="shared" si="6"/>
        <v>91800</v>
      </c>
      <c r="W52" s="386">
        <f t="shared" si="10"/>
        <v>9180000.0000000019</v>
      </c>
      <c r="X52" s="1080">
        <f t="shared" si="8"/>
        <v>5.1000000000000014</v>
      </c>
      <c r="Y52" s="1116">
        <v>1800000</v>
      </c>
      <c r="Z52" s="1117">
        <f t="shared" si="9"/>
        <v>9180000.0000000019</v>
      </c>
      <c r="AA52" s="593">
        <f t="shared" si="7"/>
        <v>30</v>
      </c>
      <c r="AB52" s="511" t="str">
        <f>IFERROR(INDEX('[17]CN BC'!$M$10:$M$276,MATCH(B52,'[17]CN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8" t="str">
        <f>VLOOKUP(B53,TH.T5!B53:F382,5,FALSE)</f>
        <v>Nhân viên Trung tâm Y tế</v>
      </c>
      <c r="K53" s="384">
        <f t="shared" si="1"/>
        <v>3.66</v>
      </c>
      <c r="L53" s="377">
        <f t="shared" si="2"/>
        <v>6588000</v>
      </c>
      <c r="M53" s="381" t="str">
        <f>VLOOKUP(B53,'[24]Gui chi Quynh'!$B$11:$E$400,4,FALSE)</f>
        <v>A2</v>
      </c>
      <c r="N53" s="512">
        <f t="shared" si="3"/>
        <v>9223200</v>
      </c>
      <c r="O53" s="381">
        <v>20</v>
      </c>
      <c r="P53" s="458">
        <f>IFERROR(INDEX('[17]CN BC'!$J$10:$J$276,MATCH(B53,'[17]CN BC'!$H$10:$H$276,0)),"")</f>
        <v>25</v>
      </c>
      <c r="Q53" s="512">
        <f t="shared" si="4"/>
        <v>9223200</v>
      </c>
      <c r="R53" s="408"/>
      <c r="S53" s="377">
        <f>R53*$G$19*1</f>
        <v>0</v>
      </c>
      <c r="T53" s="401"/>
      <c r="U53" s="377">
        <f t="shared" si="5"/>
        <v>0</v>
      </c>
      <c r="V53" s="612">
        <f t="shared" si="6"/>
        <v>65880</v>
      </c>
      <c r="W53" s="386">
        <f t="shared" si="10"/>
        <v>9223200</v>
      </c>
      <c r="X53" s="1080">
        <f t="shared" si="8"/>
        <v>5.1239999999999997</v>
      </c>
      <c r="Y53" s="1116">
        <v>1800000</v>
      </c>
      <c r="Z53" s="1117">
        <f t="shared" si="9"/>
        <v>9223200</v>
      </c>
      <c r="AA53" s="593">
        <f t="shared" si="7"/>
        <v>31</v>
      </c>
      <c r="AB53" s="511">
        <f>IFERROR(INDEX('[17]CN BC'!$M$10:$M$276,MATCH(B53,'[17]CN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8" t="str">
        <f>VLOOKUP(B54,TH.T5!B54:F383,5,FALSE)</f>
        <v>TP. Kế hoạch - Tài chính</v>
      </c>
      <c r="K54" s="384">
        <f t="shared" si="1"/>
        <v>7.2726000000000006</v>
      </c>
      <c r="L54" s="377">
        <f t="shared" si="2"/>
        <v>13090680.000000002</v>
      </c>
      <c r="M54" s="381" t="str">
        <f>VLOOKUP(B54,'[24]Gui chi Quynh'!$B$11:$E$400,4,FALSE)</f>
        <v>A1</v>
      </c>
      <c r="N54" s="512">
        <f t="shared" si="3"/>
        <v>20945088.000000004</v>
      </c>
      <c r="O54" s="381">
        <v>20</v>
      </c>
      <c r="P54" s="458">
        <f>IFERROR(INDEX('[17]CN BC'!$J$10:$J$276,MATCH(B54,'[17]CN BC'!$H$10:$H$276,0)),"")</f>
        <v>25</v>
      </c>
      <c r="Q54" s="512">
        <f t="shared" si="4"/>
        <v>20945088.000000004</v>
      </c>
      <c r="R54" s="408"/>
      <c r="S54" s="377">
        <f>R54*$G$19*1</f>
        <v>0</v>
      </c>
      <c r="T54" s="401"/>
      <c r="U54" s="377">
        <f t="shared" si="5"/>
        <v>0</v>
      </c>
      <c r="V54" s="612">
        <f t="shared" si="6"/>
        <v>130907</v>
      </c>
      <c r="W54" s="386">
        <f t="shared" si="10"/>
        <v>20945088.000000004</v>
      </c>
      <c r="X54" s="1080">
        <f t="shared" si="8"/>
        <v>11.636160000000002</v>
      </c>
      <c r="Y54" s="1116">
        <v>1800000</v>
      </c>
      <c r="Z54" s="1117">
        <f t="shared" si="9"/>
        <v>20945088.000000004</v>
      </c>
      <c r="AA54" s="593">
        <f t="shared" si="7"/>
        <v>32</v>
      </c>
      <c r="AB54" s="511">
        <f>IFERROR(INDEX('[17]CN BC'!$M$10:$M$276,MATCH(B54,'[17]CN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8" t="str">
        <f>VLOOKUP(B55,TH.T5!B55:F384,5,FALSE)</f>
        <v>NV phòng KH-TC</v>
      </c>
      <c r="K55" s="384">
        <f t="shared" si="1"/>
        <v>3.99</v>
      </c>
      <c r="L55" s="377">
        <f t="shared" si="2"/>
        <v>7182000</v>
      </c>
      <c r="M55" s="381" t="str">
        <f>VLOOKUP(B55,'[24]Gui chi Quynh'!$B$11:$E$400,4,FALSE)</f>
        <v>A1</v>
      </c>
      <c r="N55" s="512">
        <f t="shared" si="3"/>
        <v>11491200</v>
      </c>
      <c r="O55" s="381">
        <v>20</v>
      </c>
      <c r="P55" s="458">
        <f>IFERROR(INDEX('[17]CN BC'!$J$10:$J$276,MATCH(B55,'[17]CN BC'!$H$10:$H$276,0)),"")</f>
        <v>25</v>
      </c>
      <c r="Q55" s="512">
        <f t="shared" si="4"/>
        <v>11491200</v>
      </c>
      <c r="R55" s="408"/>
      <c r="S55" s="377">
        <f>R55*$G$19*1</f>
        <v>0</v>
      </c>
      <c r="T55" s="401"/>
      <c r="U55" s="377">
        <f t="shared" si="5"/>
        <v>0</v>
      </c>
      <c r="V55" s="612">
        <f t="shared" si="6"/>
        <v>71820</v>
      </c>
      <c r="W55" s="386">
        <f t="shared" si="10"/>
        <v>11491200</v>
      </c>
      <c r="X55" s="1080">
        <f t="shared" si="8"/>
        <v>6.3840000000000003</v>
      </c>
      <c r="Y55" s="1116">
        <v>1800000</v>
      </c>
      <c r="Z55" s="1117">
        <f t="shared" si="9"/>
        <v>11491200</v>
      </c>
      <c r="AA55" s="593">
        <f t="shared" si="7"/>
        <v>33</v>
      </c>
      <c r="AB55" s="511">
        <f>IFERROR(INDEX('[17]CN BC'!$M$10:$M$276,MATCH(B55,'[17]CN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8" t="str">
        <f>VLOOKUP(B56,TH.T5!B56:F385,5,FALSE)</f>
        <v>NV phòng KH-TC</v>
      </c>
      <c r="K56" s="384">
        <f t="shared" si="1"/>
        <v>3.66</v>
      </c>
      <c r="L56" s="377">
        <f t="shared" si="2"/>
        <v>6588000</v>
      </c>
      <c r="M56" s="381" t="str">
        <f>VLOOKUP(B56,'[24]Gui chi Quynh'!$B$11:$E$400,4,FALSE)</f>
        <v>A1</v>
      </c>
      <c r="N56" s="512">
        <f t="shared" si="3"/>
        <v>10540800</v>
      </c>
      <c r="O56" s="381">
        <v>20</v>
      </c>
      <c r="P56" s="458">
        <f>IFERROR(INDEX('[17]CN BC'!$J$10:$J$276,MATCH(B56,'[17]CN BC'!$H$10:$H$276,0)),"")</f>
        <v>24</v>
      </c>
      <c r="Q56" s="512">
        <f t="shared" si="4"/>
        <v>10540800</v>
      </c>
      <c r="R56" s="478"/>
      <c r="S56" s="377">
        <f>R56*$G$19*1.6</f>
        <v>0</v>
      </c>
      <c r="T56" s="385"/>
      <c r="U56" s="377">
        <f t="shared" si="5"/>
        <v>0</v>
      </c>
      <c r="V56" s="612">
        <f t="shared" si="6"/>
        <v>65880</v>
      </c>
      <c r="W56" s="386">
        <f t="shared" si="10"/>
        <v>10540800</v>
      </c>
      <c r="X56" s="1080">
        <f t="shared" si="8"/>
        <v>5.8559999999999999</v>
      </c>
      <c r="Y56" s="1116">
        <v>1800000</v>
      </c>
      <c r="Z56" s="1117">
        <f t="shared" si="9"/>
        <v>10540800</v>
      </c>
      <c r="AA56" s="593">
        <f t="shared" si="7"/>
        <v>34</v>
      </c>
      <c r="AB56" s="511" t="str">
        <f>IFERROR(INDEX('[17]CN BC'!$M$10:$M$276,MATCH(B56,'[17]CN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8" t="str">
        <f>VLOOKUP(B57,TH.T5!B57:F386,5,FALSE)</f>
        <v>NV phòng KH-TC</v>
      </c>
      <c r="K57" s="384">
        <f t="shared" si="1"/>
        <v>3</v>
      </c>
      <c r="L57" s="377">
        <f t="shared" si="2"/>
        <v>5400000</v>
      </c>
      <c r="M57" s="381" t="str">
        <f>VLOOKUP(B57,'[24]Gui chi Quynh'!$B$11:$E$400,4,FALSE)</f>
        <v>A2</v>
      </c>
      <c r="N57" s="512">
        <f t="shared" si="3"/>
        <v>7559999.9999999991</v>
      </c>
      <c r="O57" s="381">
        <v>20</v>
      </c>
      <c r="P57" s="458">
        <f>IFERROR(INDEX('[17]CN BC'!$J$10:$J$276,MATCH(B57,'[17]CN BC'!$H$10:$H$276,0)),"")</f>
        <v>23</v>
      </c>
      <c r="Q57" s="512">
        <f t="shared" si="4"/>
        <v>7559999.9999999991</v>
      </c>
      <c r="R57" s="478"/>
      <c r="S57" s="377">
        <f>R57*$G$19*1</f>
        <v>0</v>
      </c>
      <c r="T57" s="385"/>
      <c r="U57" s="377">
        <f t="shared" si="5"/>
        <v>0</v>
      </c>
      <c r="V57" s="612">
        <f t="shared" si="6"/>
        <v>54000</v>
      </c>
      <c r="W57" s="386">
        <f t="shared" si="10"/>
        <v>7559999.9999999991</v>
      </c>
      <c r="X57" s="1080">
        <f t="shared" si="8"/>
        <v>4.1999999999999993</v>
      </c>
      <c r="Y57" s="1116">
        <v>1800000</v>
      </c>
      <c r="Z57" s="1117">
        <f t="shared" si="9"/>
        <v>7559999.9999999991</v>
      </c>
      <c r="AA57" s="593">
        <f t="shared" si="7"/>
        <v>35</v>
      </c>
      <c r="AB57" s="511" t="str">
        <f>IFERROR(INDEX('[17]CN BC'!$M$10:$M$276,MATCH(B57,'[17]CN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8" t="str">
        <f>VLOOKUP(B58,TH.T5!B58:F387,5,FALSE)</f>
        <v>NV Phòng KH-TC</v>
      </c>
      <c r="K58" s="384">
        <f t="shared" si="1"/>
        <v>3.66</v>
      </c>
      <c r="L58" s="377">
        <f t="shared" si="2"/>
        <v>6588000</v>
      </c>
      <c r="M58" s="381" t="str">
        <f>VLOOKUP(B58,'[24]Gui chi Quynh'!$B$11:$E$400,4,FALSE)</f>
        <v>A1</v>
      </c>
      <c r="N58" s="512">
        <f t="shared" si="3"/>
        <v>10540800</v>
      </c>
      <c r="O58" s="381">
        <v>20</v>
      </c>
      <c r="P58" s="458">
        <f>IFERROR(INDEX('[17]CN BC'!$J$10:$J$276,MATCH(B58,'[17]CN BC'!$H$10:$H$276,0)),"")</f>
        <v>24</v>
      </c>
      <c r="Q58" s="512">
        <f t="shared" si="4"/>
        <v>10540800</v>
      </c>
      <c r="R58" s="478"/>
      <c r="S58" s="377">
        <f>R58*$G$19*1</f>
        <v>0</v>
      </c>
      <c r="T58" s="561"/>
      <c r="U58" s="377">
        <f t="shared" si="5"/>
        <v>0</v>
      </c>
      <c r="V58" s="612">
        <f t="shared" si="6"/>
        <v>65880</v>
      </c>
      <c r="W58" s="386">
        <f t="shared" si="10"/>
        <v>10540800</v>
      </c>
      <c r="X58" s="1080">
        <f t="shared" si="8"/>
        <v>5.8559999999999999</v>
      </c>
      <c r="Y58" s="1116">
        <v>1800000</v>
      </c>
      <c r="Z58" s="1117">
        <f t="shared" si="9"/>
        <v>10540800</v>
      </c>
      <c r="AA58" s="593">
        <f t="shared" si="7"/>
        <v>36</v>
      </c>
      <c r="AB58" s="511">
        <f>IFERROR(INDEX('[17]CN BC'!$M$10:$M$276,MATCH(B58,'[17]CN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8" t="str">
        <f>VLOOKUP(B59,TH.T5!B59:F388,5,FALSE)</f>
        <v>Trưởng phòng Thanh tra GD - Quan hệ DN</v>
      </c>
      <c r="K59" s="384">
        <f t="shared" si="1"/>
        <v>4.7700000000000005</v>
      </c>
      <c r="L59" s="377">
        <f t="shared" si="2"/>
        <v>8586000</v>
      </c>
      <c r="M59" s="381" t="str">
        <f>VLOOKUP(B59,'[24]Gui chi Quynh'!$B$11:$E$400,4,FALSE)</f>
        <v>A3</v>
      </c>
      <c r="N59" s="512">
        <f t="shared" si="3"/>
        <v>10303200</v>
      </c>
      <c r="O59" s="381">
        <v>20</v>
      </c>
      <c r="P59" s="458">
        <f>IFERROR(INDEX('[17]CN BC'!$J$10:$J$276,MATCH(B59,'[17]CN BC'!$H$10:$H$276,0)),"")</f>
        <v>24</v>
      </c>
      <c r="Q59" s="512">
        <f t="shared" si="4"/>
        <v>10303200</v>
      </c>
      <c r="R59" s="478"/>
      <c r="S59" s="377">
        <v>0</v>
      </c>
      <c r="T59" s="385"/>
      <c r="U59" s="377">
        <f t="shared" si="5"/>
        <v>0</v>
      </c>
      <c r="V59" s="612">
        <f t="shared" si="6"/>
        <v>85860</v>
      </c>
      <c r="W59" s="386">
        <f t="shared" si="10"/>
        <v>10303200</v>
      </c>
      <c r="X59" s="1080">
        <f t="shared" si="8"/>
        <v>5.7240000000000002</v>
      </c>
      <c r="Y59" s="1116">
        <v>1800000</v>
      </c>
      <c r="Z59" s="1117">
        <f t="shared" si="9"/>
        <v>10303200</v>
      </c>
      <c r="AA59" s="593">
        <f t="shared" si="7"/>
        <v>37</v>
      </c>
      <c r="AB59" s="511">
        <f>IFERROR(INDEX('[17]CN BC'!$M$10:$M$276,MATCH(B59,'[17]CN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8" t="str">
        <f>VLOOKUP(B60,TH.T5!B60:F389,5,FALSE)</f>
        <v>Nhân viên phòng Thanh tra GD - Quan hệ DN</v>
      </c>
      <c r="K60" s="384">
        <f t="shared" si="1"/>
        <v>3.99</v>
      </c>
      <c r="L60" s="377">
        <f t="shared" si="2"/>
        <v>7182000</v>
      </c>
      <c r="M60" s="381" t="str">
        <f>VLOOKUP(B60,'[24]Gui chi Quynh'!$B$11:$E$400,4,FALSE)</f>
        <v>A4</v>
      </c>
      <c r="N60" s="512">
        <f t="shared" si="3"/>
        <v>7182000</v>
      </c>
      <c r="O60" s="381">
        <v>20</v>
      </c>
      <c r="P60" s="458">
        <f>IFERROR(INDEX('[17]CN BC'!$J$10:$J$276,MATCH(B60,'[17]CN BC'!$H$10:$H$276,0)),"")</f>
        <v>20</v>
      </c>
      <c r="Q60" s="512">
        <f t="shared" si="4"/>
        <v>7182000</v>
      </c>
      <c r="R60" s="478"/>
      <c r="S60" s="377">
        <f t="shared" ref="S60:S74" si="13">R60*$G$19*1</f>
        <v>0</v>
      </c>
      <c r="T60" s="385"/>
      <c r="U60" s="377">
        <f t="shared" si="5"/>
        <v>0</v>
      </c>
      <c r="V60" s="612">
        <f t="shared" si="6"/>
        <v>71820</v>
      </c>
      <c r="W60" s="386">
        <f t="shared" si="10"/>
        <v>7182000</v>
      </c>
      <c r="X60" s="1080">
        <f t="shared" si="8"/>
        <v>3.99</v>
      </c>
      <c r="Y60" s="1116">
        <v>1800000</v>
      </c>
      <c r="Z60" s="1117">
        <f t="shared" si="9"/>
        <v>7182000</v>
      </c>
      <c r="AA60" s="593">
        <f t="shared" si="7"/>
        <v>38</v>
      </c>
      <c r="AB60" s="511" t="str">
        <f>IFERROR(INDEX('[17]CN BC'!$M$10:$M$276,MATCH(B60,'[17]CN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8" t="str">
        <f>VLOOKUP(B61,TH.T5!B61:F390,5,FALSE)</f>
        <v>Nhân viên phòng Thanh tra GD - Quan hệ DN</v>
      </c>
      <c r="K61" s="384">
        <f t="shared" si="1"/>
        <v>4.6500000000000004</v>
      </c>
      <c r="L61" s="377">
        <f t="shared" si="2"/>
        <v>8370000.0000000009</v>
      </c>
      <c r="M61" s="381" t="str">
        <f>VLOOKUP(B61,'[24]Gui chi Quynh'!$B$11:$E$400,4,FALSE)</f>
        <v>A2</v>
      </c>
      <c r="N61" s="512">
        <f t="shared" si="3"/>
        <v>11718000</v>
      </c>
      <c r="O61" s="381">
        <v>20</v>
      </c>
      <c r="P61" s="458">
        <f>IFERROR(INDEX('[17]CN BC'!$J$10:$J$276,MATCH(B61,'[17]CN BC'!$H$10:$H$276,0)),"")</f>
        <v>22</v>
      </c>
      <c r="Q61" s="512">
        <f t="shared" si="4"/>
        <v>11718000</v>
      </c>
      <c r="R61" s="494">
        <v>0</v>
      </c>
      <c r="S61" s="377">
        <f t="shared" si="13"/>
        <v>0</v>
      </c>
      <c r="T61" s="385"/>
      <c r="U61" s="377">
        <f t="shared" si="5"/>
        <v>0</v>
      </c>
      <c r="V61" s="612">
        <f t="shared" si="6"/>
        <v>83700</v>
      </c>
      <c r="W61" s="386">
        <f t="shared" si="10"/>
        <v>11718000</v>
      </c>
      <c r="X61" s="1080">
        <f t="shared" si="8"/>
        <v>6.51</v>
      </c>
      <c r="Y61" s="1116">
        <v>1800000</v>
      </c>
      <c r="Z61" s="1117">
        <f t="shared" si="9"/>
        <v>11718000</v>
      </c>
      <c r="AA61" s="593">
        <f t="shared" si="7"/>
        <v>39</v>
      </c>
      <c r="AB61" s="511">
        <f>IFERROR(INDEX('[17]CN BC'!$M$10:$M$276,MATCH(B61,'[17]CN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8" t="str">
        <f>VLOOKUP(B62,TH.T5!B62:F391,5,FALSE)</f>
        <v>Nhân viên phòng Thanh tra GD - Quan hệ DN</v>
      </c>
      <c r="K62" s="384">
        <f t="shared" si="1"/>
        <v>5.7786000000000008</v>
      </c>
      <c r="L62" s="377">
        <f t="shared" si="2"/>
        <v>10401480.000000002</v>
      </c>
      <c r="M62" s="381" t="str">
        <f>VLOOKUP(B62,'[24]Gui chi Quynh'!$B$11:$E$400,4,FALSE)</f>
        <v>A2</v>
      </c>
      <c r="N62" s="512">
        <f t="shared" si="3"/>
        <v>14562072.000000002</v>
      </c>
      <c r="O62" s="381">
        <v>20</v>
      </c>
      <c r="P62" s="458">
        <f>IFERROR(INDEX('[17]CN BC'!$J$10:$J$276,MATCH(B62,'[17]CN BC'!$H$10:$H$276,0)),"")</f>
        <v>20</v>
      </c>
      <c r="Q62" s="512">
        <f t="shared" si="4"/>
        <v>14562072.000000002</v>
      </c>
      <c r="R62" s="408"/>
      <c r="S62" s="377">
        <f t="shared" si="13"/>
        <v>0</v>
      </c>
      <c r="T62" s="401"/>
      <c r="U62" s="377">
        <f t="shared" si="5"/>
        <v>0</v>
      </c>
      <c r="V62" s="612">
        <f t="shared" si="6"/>
        <v>104015</v>
      </c>
      <c r="W62" s="386">
        <f t="shared" si="10"/>
        <v>14562072.000000002</v>
      </c>
      <c r="X62" s="1080">
        <f t="shared" si="8"/>
        <v>8.0900400000000019</v>
      </c>
      <c r="Y62" s="1116">
        <v>1800000</v>
      </c>
      <c r="Z62" s="1117">
        <f t="shared" si="9"/>
        <v>14562072.000000004</v>
      </c>
      <c r="AA62" s="593">
        <f t="shared" si="7"/>
        <v>40</v>
      </c>
      <c r="AB62" s="511">
        <f>IFERROR(INDEX('[17]CN BC'!$M$10:$M$276,MATCH(B62,'[17]CN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8" t="str">
        <f>VLOOKUP(B63,TH.T5!B63:F392,5,FALSE)</f>
        <v>Nhân viên phòng Thanh tra GD - Quan hệ DN</v>
      </c>
      <c r="K63" s="384">
        <f t="shared" si="1"/>
        <v>3.99</v>
      </c>
      <c r="L63" s="377">
        <f t="shared" si="2"/>
        <v>7182000</v>
      </c>
      <c r="M63" s="381" t="str">
        <f>VLOOKUP(B63,'[24]Gui chi Quynh'!$B$11:$E$400,4,FALSE)</f>
        <v>A4</v>
      </c>
      <c r="N63" s="512">
        <f t="shared" si="3"/>
        <v>7182000</v>
      </c>
      <c r="O63" s="381">
        <v>20</v>
      </c>
      <c r="P63" s="458">
        <f>IFERROR(INDEX('[17]CN BC'!$J$10:$J$276,MATCH(B63,'[17]CN BC'!$H$10:$H$276,0)),"")</f>
        <v>21</v>
      </c>
      <c r="Q63" s="512">
        <f t="shared" si="4"/>
        <v>7182000</v>
      </c>
      <c r="R63" s="478"/>
      <c r="S63" s="377">
        <f t="shared" si="13"/>
        <v>0</v>
      </c>
      <c r="T63" s="385"/>
      <c r="U63" s="377">
        <f t="shared" si="5"/>
        <v>0</v>
      </c>
      <c r="V63" s="612">
        <f t="shared" si="6"/>
        <v>71820</v>
      </c>
      <c r="W63" s="386">
        <f t="shared" si="10"/>
        <v>7182000</v>
      </c>
      <c r="X63" s="1080">
        <f t="shared" si="8"/>
        <v>3.99</v>
      </c>
      <c r="Y63" s="1116">
        <v>1800000</v>
      </c>
      <c r="Z63" s="1117">
        <f t="shared" si="9"/>
        <v>7182000</v>
      </c>
      <c r="AA63" s="593">
        <f t="shared" si="7"/>
        <v>41</v>
      </c>
      <c r="AB63" s="511">
        <f>IFERROR(INDEX('[17]CN BC'!$M$10:$M$276,MATCH(B63,'[17]CN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8" t="str">
        <f>VLOOKUP(B64,TH.T5!B64:F393,5,FALSE)</f>
        <v>Nhân viên phòng Thanh tra GD - Quan hệ DN</v>
      </c>
      <c r="K64" s="384">
        <f t="shared" si="1"/>
        <v>3.66</v>
      </c>
      <c r="L64" s="377">
        <f t="shared" si="2"/>
        <v>6588000</v>
      </c>
      <c r="M64" s="381" t="str">
        <f>VLOOKUP(B64,'[24]Gui chi Quynh'!$B$11:$E$400,4,FALSE)</f>
        <v>A4</v>
      </c>
      <c r="N64" s="512">
        <f t="shared" si="3"/>
        <v>6588000</v>
      </c>
      <c r="O64" s="381">
        <v>20</v>
      </c>
      <c r="P64" s="458">
        <f>IFERROR(INDEX('[17]CN BC'!$J$10:$J$276,MATCH(B64,'[17]CN BC'!$H$10:$H$276,0)),"")</f>
        <v>19</v>
      </c>
      <c r="Q64" s="512">
        <f t="shared" si="4"/>
        <v>6258600</v>
      </c>
      <c r="R64" s="478"/>
      <c r="S64" s="377">
        <f t="shared" si="13"/>
        <v>0</v>
      </c>
      <c r="T64" s="385"/>
      <c r="U64" s="377">
        <f t="shared" si="5"/>
        <v>0</v>
      </c>
      <c r="V64" s="612">
        <f t="shared" si="6"/>
        <v>65880</v>
      </c>
      <c r="W64" s="386">
        <f t="shared" si="10"/>
        <v>6258600</v>
      </c>
      <c r="X64" s="1080">
        <f t="shared" si="8"/>
        <v>3.4769999999999999</v>
      </c>
      <c r="Y64" s="1116">
        <v>1800000</v>
      </c>
      <c r="Z64" s="1117">
        <f t="shared" si="9"/>
        <v>6258600</v>
      </c>
      <c r="AA64" s="593">
        <f t="shared" si="7"/>
        <v>42</v>
      </c>
      <c r="AB64" s="511" t="str">
        <f>IFERROR(INDEX('[17]CN BC'!$M$10:$M$276,MATCH(B64,'[17]CN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8" t="str">
        <f>VLOOKUP(B65,TH.T5!B65:F394,5,FALSE)</f>
        <v>Nhân viên phòng Thanh tra GD - Quan hệ DN</v>
      </c>
      <c r="K65" s="384">
        <f t="shared" si="1"/>
        <v>4.32</v>
      </c>
      <c r="L65" s="377">
        <f t="shared" si="2"/>
        <v>7776000.0000000009</v>
      </c>
      <c r="M65" s="381" t="str">
        <f>VLOOKUP(B65,'[24]Gui chi Quynh'!$B$11:$E$400,4,FALSE)</f>
        <v>A3</v>
      </c>
      <c r="N65" s="512">
        <f t="shared" si="3"/>
        <v>9331200</v>
      </c>
      <c r="O65" s="381">
        <v>20</v>
      </c>
      <c r="P65" s="458">
        <f>IFERROR(INDEX('[17]CN BC'!$J$10:$J$276,MATCH(B65,'[17]CN BC'!$H$10:$H$276,0)),"")</f>
        <v>21</v>
      </c>
      <c r="Q65" s="512">
        <f t="shared" si="4"/>
        <v>9331200</v>
      </c>
      <c r="R65" s="478"/>
      <c r="S65" s="377">
        <f t="shared" si="13"/>
        <v>0</v>
      </c>
      <c r="T65" s="385"/>
      <c r="U65" s="377">
        <f t="shared" si="5"/>
        <v>0</v>
      </c>
      <c r="V65" s="612">
        <f t="shared" si="6"/>
        <v>77760</v>
      </c>
      <c r="W65" s="386">
        <f t="shared" si="10"/>
        <v>9331200</v>
      </c>
      <c r="X65" s="1080">
        <f t="shared" si="8"/>
        <v>5.1840000000000002</v>
      </c>
      <c r="Y65" s="1116">
        <v>1800000</v>
      </c>
      <c r="Z65" s="1117">
        <f t="shared" si="9"/>
        <v>9331200</v>
      </c>
      <c r="AA65" s="593">
        <f t="shared" si="7"/>
        <v>43</v>
      </c>
      <c r="AB65" s="511">
        <f>IFERROR(INDEX('[17]CN BC'!$M$10:$M$276,MATCH(B65,'[17]CN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8" t="str">
        <f>VLOOKUP(B66,TH.T5!B66:F395,5,FALSE)</f>
        <v>Nhân viên phòng Thanh tra GD - Quan hệ DN</v>
      </c>
      <c r="K66" s="384">
        <f t="shared" si="1"/>
        <v>4.32</v>
      </c>
      <c r="L66" s="377">
        <f t="shared" si="2"/>
        <v>7776000.0000000009</v>
      </c>
      <c r="M66" s="381" t="str">
        <f>VLOOKUP(B66,'[24]Gui chi Quynh'!$B$11:$E$400,4,FALSE)</f>
        <v>A4</v>
      </c>
      <c r="N66" s="512">
        <f t="shared" si="3"/>
        <v>7776000.0000000009</v>
      </c>
      <c r="O66" s="381">
        <v>20</v>
      </c>
      <c r="P66" s="458">
        <f>IFERROR(INDEX('[17]CN BC'!$J$10:$J$276,MATCH(B66,'[17]CN BC'!$H$10:$H$276,0)),"")</f>
        <v>21</v>
      </c>
      <c r="Q66" s="512">
        <f t="shared" si="4"/>
        <v>7776000.0000000009</v>
      </c>
      <c r="R66" s="478"/>
      <c r="S66" s="377">
        <f t="shared" si="13"/>
        <v>0</v>
      </c>
      <c r="T66" s="385"/>
      <c r="U66" s="377">
        <f t="shared" si="5"/>
        <v>0</v>
      </c>
      <c r="V66" s="612">
        <f t="shared" si="6"/>
        <v>77760</v>
      </c>
      <c r="W66" s="386">
        <f t="shared" si="10"/>
        <v>7776000.0000000009</v>
      </c>
      <c r="X66" s="1080">
        <f t="shared" si="8"/>
        <v>4.32</v>
      </c>
      <c r="Y66" s="1116">
        <v>1800000</v>
      </c>
      <c r="Z66" s="1117">
        <f t="shared" si="9"/>
        <v>7776000.0000000009</v>
      </c>
      <c r="AA66" s="593">
        <f t="shared" si="7"/>
        <v>44</v>
      </c>
      <c r="AB66" s="511">
        <f>IFERROR(INDEX('[17]CN BC'!$M$10:$M$276,MATCH(B66,'[17]CN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8" t="str">
        <f>VLOOKUP(B67,TH.T5!B67:F396,5,FALSE)</f>
        <v>Nhân viên phòng Thanh tra GD - Quan hệ DN</v>
      </c>
      <c r="K67" s="384">
        <f t="shared" si="1"/>
        <v>3.66</v>
      </c>
      <c r="L67" s="377">
        <f t="shared" si="2"/>
        <v>6588000</v>
      </c>
      <c r="M67" s="381" t="str">
        <f>VLOOKUP(B67,'[24]Gui chi Quynh'!$B$11:$E$400,4,FALSE)</f>
        <v>A4</v>
      </c>
      <c r="N67" s="512">
        <f t="shared" si="3"/>
        <v>6588000</v>
      </c>
      <c r="O67" s="381">
        <v>20</v>
      </c>
      <c r="P67" s="458">
        <f>IFERROR(INDEX('[17]CN BC'!$J$10:$J$276,MATCH(B67,'[17]CN BC'!$H$10:$H$276,0)),"")</f>
        <v>20</v>
      </c>
      <c r="Q67" s="512">
        <f t="shared" si="4"/>
        <v>6588000</v>
      </c>
      <c r="R67" s="408"/>
      <c r="S67" s="377">
        <f t="shared" si="13"/>
        <v>0</v>
      </c>
      <c r="T67" s="385"/>
      <c r="U67" s="377">
        <f t="shared" si="5"/>
        <v>0</v>
      </c>
      <c r="V67" s="612">
        <f t="shared" si="6"/>
        <v>65880</v>
      </c>
      <c r="W67" s="386">
        <f t="shared" si="10"/>
        <v>6588000</v>
      </c>
      <c r="X67" s="1080">
        <f t="shared" si="8"/>
        <v>3.66</v>
      </c>
      <c r="Y67" s="1116">
        <v>1800000</v>
      </c>
      <c r="Z67" s="1117">
        <f t="shared" si="9"/>
        <v>6588000</v>
      </c>
      <c r="AA67" s="593">
        <f t="shared" si="7"/>
        <v>45</v>
      </c>
      <c r="AB67" s="511">
        <f>IFERROR(INDEX('[17]CN BC'!$M$10:$M$276,MATCH(B67,'[17]CN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8" t="str">
        <f>VLOOKUP(B68,TH.T5!B68:F397,5,FALSE)</f>
        <v>Nhân viên phòng Tuyển sinh - Đào tạo</v>
      </c>
      <c r="K68" s="384">
        <f t="shared" si="1"/>
        <v>3.66</v>
      </c>
      <c r="L68" s="377">
        <f t="shared" si="2"/>
        <v>6588000</v>
      </c>
      <c r="M68" s="381" t="str">
        <f>VLOOKUP(B68,'[24]Gui chi Quynh'!$B$11:$E$400,4,FALSE)</f>
        <v>A4</v>
      </c>
      <c r="N68" s="512">
        <f t="shared" si="3"/>
        <v>6588000</v>
      </c>
      <c r="O68" s="381">
        <v>20</v>
      </c>
      <c r="P68" s="458">
        <f>IFERROR(INDEX('[17]CN BC'!$J$10:$J$276,MATCH(B68,'[17]CN BC'!$H$10:$H$276,0)),"")</f>
        <v>18</v>
      </c>
      <c r="Q68" s="512">
        <f t="shared" si="4"/>
        <v>5929200</v>
      </c>
      <c r="R68" s="478"/>
      <c r="S68" s="377">
        <f t="shared" si="13"/>
        <v>0</v>
      </c>
      <c r="T68" s="385"/>
      <c r="U68" s="377">
        <f t="shared" si="5"/>
        <v>0</v>
      </c>
      <c r="V68" s="612">
        <f t="shared" si="6"/>
        <v>65880</v>
      </c>
      <c r="W68" s="386">
        <f t="shared" si="10"/>
        <v>5929200</v>
      </c>
      <c r="X68" s="1080">
        <f t="shared" si="8"/>
        <v>3.294</v>
      </c>
      <c r="Y68" s="1116">
        <v>1800000</v>
      </c>
      <c r="Z68" s="1117">
        <f t="shared" si="9"/>
        <v>5929200</v>
      </c>
      <c r="AA68" s="593">
        <f t="shared" si="7"/>
        <v>46</v>
      </c>
      <c r="AB68" s="511" t="str">
        <f>IFERROR(INDEX('[17]CN BC'!$M$10:$M$276,MATCH(B68,'[17]CN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8" t="str">
        <f>VLOOKUP(B69,TH.T5!B69:F398,5,FALSE)</f>
        <v>Trưởng phòng Tuyển sinh - Đào tạo</v>
      </c>
      <c r="K69" s="384">
        <f t="shared" si="1"/>
        <v>5.19</v>
      </c>
      <c r="L69" s="377">
        <f t="shared" si="2"/>
        <v>9342000</v>
      </c>
      <c r="M69" s="381" t="str">
        <f>VLOOKUP(B69,'[24]Gui chi Quynh'!$B$11:$E$400,4,FALSE)</f>
        <v>A1</v>
      </c>
      <c r="N69" s="512">
        <f t="shared" si="3"/>
        <v>14947200</v>
      </c>
      <c r="O69" s="381">
        <v>20</v>
      </c>
      <c r="P69" s="458">
        <f>IFERROR(INDEX('[17]CN BC'!$J$10:$J$276,MATCH(B69,'[17]CN BC'!$H$10:$H$276,0)),"")</f>
        <v>22.5</v>
      </c>
      <c r="Q69" s="512">
        <f t="shared" si="4"/>
        <v>14947200</v>
      </c>
      <c r="R69" s="478"/>
      <c r="S69" s="377">
        <f>R69*$G$19*1.6</f>
        <v>0</v>
      </c>
      <c r="T69" s="385"/>
      <c r="U69" s="377">
        <f t="shared" si="5"/>
        <v>0</v>
      </c>
      <c r="V69" s="612">
        <f t="shared" si="6"/>
        <v>93420</v>
      </c>
      <c r="W69" s="386">
        <f t="shared" si="10"/>
        <v>14947200</v>
      </c>
      <c r="X69" s="1080">
        <f t="shared" si="8"/>
        <v>8.3040000000000003</v>
      </c>
      <c r="Y69" s="1116">
        <v>1800000</v>
      </c>
      <c r="Z69" s="1117">
        <f t="shared" si="9"/>
        <v>14947200</v>
      </c>
      <c r="AA69" s="593">
        <f t="shared" si="7"/>
        <v>47</v>
      </c>
      <c r="AB69" s="511">
        <f>IFERROR(INDEX('[17]CN BC'!$M$10:$M$276,MATCH(B69,'[17]CN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8" t="str">
        <f>VLOOKUP(B70,TH.T5!B70:F399,5,FALSE)</f>
        <v>Phó TP. Tuyể sinh - Đào tạo</v>
      </c>
      <c r="K70" s="384">
        <f>H70+I70</f>
        <v>4.67</v>
      </c>
      <c r="L70" s="377">
        <f>K70*$G$19</f>
        <v>8406000</v>
      </c>
      <c r="M70" s="381" t="str">
        <f>VLOOKUP(B70,'[24]Gui chi Quynh'!$B$11:$E$400,4,FALSE)</f>
        <v>A1</v>
      </c>
      <c r="N70" s="512">
        <f>IF(M70="A1",L70*1.6,IF(M70="A2",L70*1.4,IF(M70="A3",L70*1.2,IF(M70="A4",L70*1,IF(M70="B1",L70*0.7,IF(M70="B2",L70*0.5,IF(M70="C1",L70*0.3,IF(M70="C2",L70*0.2,0))))))))</f>
        <v>13449600</v>
      </c>
      <c r="O70" s="381">
        <v>20</v>
      </c>
      <c r="P70" s="458">
        <f>IFERROR(INDEX('[17]CN BC'!$J$10:$J$276,MATCH(B70,'[17]CN BC'!$H$10:$H$276,0)),"")</f>
        <v>20.5</v>
      </c>
      <c r="Q70" s="512">
        <f>IF(P70&gt;=O70,N70,N70/O70*P70)</f>
        <v>13449600</v>
      </c>
      <c r="R70" s="408"/>
      <c r="S70" s="377">
        <f>R70*$G$19*1</f>
        <v>0</v>
      </c>
      <c r="T70" s="401"/>
      <c r="U70" s="377">
        <f>T70*$G$19*1</f>
        <v>0</v>
      </c>
      <c r="V70" s="612">
        <f>IF(OR(M70="A DN",M70="KXL", M70=""),"0",ROUND(K70*0.01*$G$19+R70*1%*$G$19+T70*1%*$G$19,))</f>
        <v>84060</v>
      </c>
      <c r="W70" s="386">
        <f t="shared" si="10"/>
        <v>13449600</v>
      </c>
      <c r="X70" s="1080">
        <f t="shared" si="8"/>
        <v>7.4720000000000004</v>
      </c>
      <c r="Y70" s="1116">
        <v>1800000</v>
      </c>
      <c r="Z70" s="1117">
        <f t="shared" si="9"/>
        <v>13449600</v>
      </c>
      <c r="AA70" s="593">
        <f t="shared" si="7"/>
        <v>48</v>
      </c>
      <c r="AB70" s="511">
        <f>IFERROR(INDEX('[17]CN BC'!$M$10:$M$276,MATCH(B70,'[17]CN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8" t="str">
        <f>VLOOKUP(B71,TH.T5!B71:F400,5,FALSE)</f>
        <v>Nhân viên phòng TS - Đào tạo</v>
      </c>
      <c r="K71" s="384">
        <f t="shared" si="1"/>
        <v>4.6500000000000004</v>
      </c>
      <c r="L71" s="377">
        <f t="shared" si="2"/>
        <v>8370000.0000000009</v>
      </c>
      <c r="M71" s="381" t="str">
        <f>VLOOKUP(B71,'[24]Gui chi Quynh'!$B$11:$E$400,4,FALSE)</f>
        <v>A1</v>
      </c>
      <c r="N71" s="512">
        <f t="shared" si="3"/>
        <v>13392000.000000002</v>
      </c>
      <c r="O71" s="381">
        <v>20</v>
      </c>
      <c r="P71" s="458">
        <f>IFERROR(INDEX('[17]CN BC'!$J$10:$J$276,MATCH(B71,'[17]CN BC'!$H$10:$H$276,0)),"")</f>
        <v>21.5</v>
      </c>
      <c r="Q71" s="512">
        <f t="shared" si="4"/>
        <v>13392000.000000002</v>
      </c>
      <c r="R71" s="478"/>
      <c r="S71" s="377">
        <f t="shared" si="13"/>
        <v>0</v>
      </c>
      <c r="T71" s="385"/>
      <c r="U71" s="377">
        <f t="shared" si="5"/>
        <v>0</v>
      </c>
      <c r="V71" s="612">
        <f t="shared" si="6"/>
        <v>83700</v>
      </c>
      <c r="W71" s="386">
        <f t="shared" si="10"/>
        <v>13392000.000000002</v>
      </c>
      <c r="X71" s="1080">
        <f t="shared" si="8"/>
        <v>7.4400000000000013</v>
      </c>
      <c r="Y71" s="1116">
        <v>1800000</v>
      </c>
      <c r="Z71" s="1117">
        <f t="shared" si="9"/>
        <v>13392000.000000002</v>
      </c>
      <c r="AA71" s="593">
        <f t="shared" si="7"/>
        <v>49</v>
      </c>
      <c r="AB71" s="511">
        <f>IFERROR(INDEX('[17]CN BC'!$M$10:$M$276,MATCH(B71,'[17]CN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8" t="str">
        <f>VLOOKUP(B72,TH.T5!B72:F401,5,FALSE)</f>
        <v>Nhân viên phòng TS - Đào tạo</v>
      </c>
      <c r="K72" s="384">
        <f t="shared" si="1"/>
        <v>3.99</v>
      </c>
      <c r="L72" s="377">
        <f t="shared" si="2"/>
        <v>7182000</v>
      </c>
      <c r="M72" s="381" t="str">
        <f>VLOOKUP(B72,'[24]Gui chi Quynh'!$B$11:$E$400,4,FALSE)</f>
        <v>A3</v>
      </c>
      <c r="N72" s="512">
        <f t="shared" si="3"/>
        <v>8618400</v>
      </c>
      <c r="O72" s="381">
        <v>20</v>
      </c>
      <c r="P72" s="458">
        <f>IFERROR(INDEX('[17]CN BC'!$J$10:$J$276,MATCH(B72,'[17]CN BC'!$H$10:$H$276,0)),"")</f>
        <v>20.5</v>
      </c>
      <c r="Q72" s="512">
        <f t="shared" si="4"/>
        <v>8618400</v>
      </c>
      <c r="R72" s="478"/>
      <c r="S72" s="377">
        <f t="shared" si="13"/>
        <v>0</v>
      </c>
      <c r="T72" s="385"/>
      <c r="U72" s="377">
        <f t="shared" si="5"/>
        <v>0</v>
      </c>
      <c r="V72" s="612">
        <f t="shared" si="6"/>
        <v>71820</v>
      </c>
      <c r="W72" s="386">
        <f t="shared" si="10"/>
        <v>8618400</v>
      </c>
      <c r="X72" s="1080">
        <f t="shared" si="8"/>
        <v>4.7880000000000003</v>
      </c>
      <c r="Y72" s="1116">
        <v>1800000</v>
      </c>
      <c r="Z72" s="1117">
        <f t="shared" si="9"/>
        <v>8618400</v>
      </c>
      <c r="AA72" s="593">
        <f t="shared" si="7"/>
        <v>50</v>
      </c>
      <c r="AB72" s="511">
        <f>IFERROR(INDEX('[17]CN BC'!$M$10:$M$276,MATCH(B72,'[17]CN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8" t="str">
        <f>VLOOKUP(B73,TH.T5!B73:F402,5,FALSE)</f>
        <v>Nhân viên phòng TS - Đào tạo</v>
      </c>
      <c r="K73" s="384">
        <f t="shared" si="1"/>
        <v>3.66</v>
      </c>
      <c r="L73" s="377">
        <f t="shared" si="2"/>
        <v>6588000</v>
      </c>
      <c r="M73" s="381" t="str">
        <f>VLOOKUP(B73,'[24]Gui chi Quynh'!$B$11:$E$400,4,FALSE)</f>
        <v>A3</v>
      </c>
      <c r="N73" s="512">
        <f t="shared" si="3"/>
        <v>7905600</v>
      </c>
      <c r="O73" s="381">
        <v>20</v>
      </c>
      <c r="P73" s="458">
        <f>IFERROR(INDEX('[17]CN BC'!$J$10:$J$276,MATCH(B73,'[17]CN BC'!$H$10:$H$276,0)),"")</f>
        <v>20.5</v>
      </c>
      <c r="Q73" s="512">
        <f t="shared" si="4"/>
        <v>7905600</v>
      </c>
      <c r="R73" s="478">
        <v>0</v>
      </c>
      <c r="S73" s="377">
        <f t="shared" si="13"/>
        <v>0</v>
      </c>
      <c r="T73" s="385"/>
      <c r="U73" s="377">
        <f t="shared" si="5"/>
        <v>0</v>
      </c>
      <c r="V73" s="612">
        <f t="shared" si="6"/>
        <v>65880</v>
      </c>
      <c r="W73" s="386">
        <f t="shared" si="10"/>
        <v>7905600</v>
      </c>
      <c r="X73" s="1080">
        <f t="shared" si="8"/>
        <v>4.3920000000000003</v>
      </c>
      <c r="Y73" s="1116">
        <v>1800000</v>
      </c>
      <c r="Z73" s="1117">
        <f t="shared" si="9"/>
        <v>7905600.0000000009</v>
      </c>
      <c r="AA73" s="593">
        <f t="shared" si="7"/>
        <v>51</v>
      </c>
      <c r="AB73" s="511">
        <f>IFERROR(INDEX('[17]CN BC'!$M$10:$M$276,MATCH(B73,'[17]CN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8" t="str">
        <f>VLOOKUP(B74,TH.T5!B74:F403,5,FALSE)</f>
        <v>Nhân viên phòng TS - Đào tạo</v>
      </c>
      <c r="K74" s="384">
        <f t="shared" si="1"/>
        <v>3.96</v>
      </c>
      <c r="L74" s="377">
        <f t="shared" si="2"/>
        <v>7128000</v>
      </c>
      <c r="M74" s="381" t="str">
        <f>VLOOKUP(B74,'[24]Gui chi Quynh'!$B$11:$E$400,4,FALSE)</f>
        <v>A1</v>
      </c>
      <c r="N74" s="512">
        <f t="shared" si="3"/>
        <v>11404800</v>
      </c>
      <c r="O74" s="381">
        <v>20</v>
      </c>
      <c r="P74" s="458">
        <f>IFERROR(INDEX('[17]CN BC'!$J$10:$J$276,MATCH(B74,'[17]CN BC'!$H$10:$H$276,0)),"")</f>
        <v>23.5</v>
      </c>
      <c r="Q74" s="512">
        <f t="shared" si="4"/>
        <v>11404800</v>
      </c>
      <c r="R74" s="494"/>
      <c r="S74" s="377">
        <f t="shared" si="13"/>
        <v>0</v>
      </c>
      <c r="T74" s="385"/>
      <c r="U74" s="377">
        <f t="shared" si="5"/>
        <v>0</v>
      </c>
      <c r="V74" s="612">
        <f t="shared" si="6"/>
        <v>71280</v>
      </c>
      <c r="W74" s="386">
        <f t="shared" si="10"/>
        <v>11404800</v>
      </c>
      <c r="X74" s="1080">
        <f t="shared" si="8"/>
        <v>6.3360000000000003</v>
      </c>
      <c r="Y74" s="1116">
        <v>1800000</v>
      </c>
      <c r="Z74" s="1117">
        <f t="shared" si="9"/>
        <v>11404800</v>
      </c>
      <c r="AA74" s="593">
        <f t="shared" si="7"/>
        <v>52</v>
      </c>
      <c r="AB74" s="511">
        <f>IFERROR(INDEX('[17]CN BC'!$M$10:$M$276,MATCH(B74,'[17]CN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8" t="str">
        <f>VLOOKUP(B75,TH.T5!B75:F404,5,FALSE)</f>
        <v>Nhân viên phòng TS - Đào tạo</v>
      </c>
      <c r="K75" s="384">
        <f t="shared" si="1"/>
        <v>3.66</v>
      </c>
      <c r="L75" s="377">
        <f t="shared" si="2"/>
        <v>6588000</v>
      </c>
      <c r="M75" s="381" t="str">
        <f>VLOOKUP(B75,'[24]Gui chi Quynh'!$B$11:$E$400,4,FALSE)</f>
        <v>A3</v>
      </c>
      <c r="N75" s="512">
        <f t="shared" si="3"/>
        <v>7905600</v>
      </c>
      <c r="O75" s="381">
        <v>20</v>
      </c>
      <c r="P75" s="458">
        <f>IFERROR(INDEX('[17]CN BC'!$J$10:$J$276,MATCH(B75,'[17]CN BC'!$H$10:$H$276,0)),"")</f>
        <v>21</v>
      </c>
      <c r="Q75" s="512">
        <f t="shared" si="4"/>
        <v>7905600</v>
      </c>
      <c r="R75" s="478"/>
      <c r="S75" s="377">
        <f>R75*$G$19*1.6</f>
        <v>0</v>
      </c>
      <c r="T75" s="385"/>
      <c r="U75" s="377">
        <f t="shared" si="5"/>
        <v>0</v>
      </c>
      <c r="V75" s="612">
        <f t="shared" si="6"/>
        <v>65880</v>
      </c>
      <c r="W75" s="386">
        <f t="shared" si="10"/>
        <v>7905600</v>
      </c>
      <c r="X75" s="1080">
        <f t="shared" si="8"/>
        <v>4.3920000000000003</v>
      </c>
      <c r="Y75" s="1116">
        <v>1800000</v>
      </c>
      <c r="Z75" s="1117">
        <f t="shared" si="9"/>
        <v>7905600.0000000009</v>
      </c>
      <c r="AA75" s="593">
        <f t="shared" si="7"/>
        <v>53</v>
      </c>
      <c r="AB75" s="511">
        <f>IFERROR(INDEX('[17]CN BC'!$M$10:$M$276,MATCH(B75,'[17]CN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8" t="str">
        <f>VLOOKUP(B76,TH.T5!B76:F405,5,FALSE)</f>
        <v>Nhân viên phòng TS - Đào tạo</v>
      </c>
      <c r="K76" s="384">
        <f t="shared" si="1"/>
        <v>3.33</v>
      </c>
      <c r="L76" s="377">
        <f t="shared" si="2"/>
        <v>5994000</v>
      </c>
      <c r="M76" s="381" t="str">
        <f>VLOOKUP(B76,'[24]Gui chi Quynh'!$B$11:$E$400,4,FALSE)</f>
        <v>A4</v>
      </c>
      <c r="N76" s="512">
        <f t="shared" si="3"/>
        <v>5994000</v>
      </c>
      <c r="O76" s="381">
        <v>20</v>
      </c>
      <c r="P76" s="458">
        <f>IFERROR(INDEX('[17]CN BC'!$J$10:$J$276,MATCH(B76,'[17]CN BC'!$H$10:$H$276,0)),"")</f>
        <v>19.5</v>
      </c>
      <c r="Q76" s="512">
        <f t="shared" si="4"/>
        <v>5844150</v>
      </c>
      <c r="R76" s="478"/>
      <c r="S76" s="377">
        <f>R76*$G$19*1</f>
        <v>0</v>
      </c>
      <c r="T76" s="385"/>
      <c r="U76" s="377">
        <f t="shared" si="5"/>
        <v>0</v>
      </c>
      <c r="V76" s="612">
        <f t="shared" si="6"/>
        <v>59940</v>
      </c>
      <c r="W76" s="386">
        <f t="shared" si="10"/>
        <v>5844150</v>
      </c>
      <c r="X76" s="1080">
        <f t="shared" si="8"/>
        <v>3.24675</v>
      </c>
      <c r="Y76" s="1116">
        <v>1800000</v>
      </c>
      <c r="Z76" s="1117">
        <f t="shared" si="9"/>
        <v>5844150</v>
      </c>
      <c r="AA76" s="593">
        <f t="shared" si="7"/>
        <v>54</v>
      </c>
      <c r="AB76" s="511">
        <f>IFERROR(INDEX('[17]CN BC'!$M$10:$M$276,MATCH(B76,'[17]CN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8" t="str">
        <f>VLOOKUP(B77,TH.T5!B77:F406,5,FALSE)</f>
        <v>Nhân viên phòng Tuyển sinh - Đào tạo</v>
      </c>
      <c r="K77" s="384">
        <f t="shared" si="1"/>
        <v>3.33</v>
      </c>
      <c r="L77" s="377">
        <f t="shared" si="2"/>
        <v>5994000</v>
      </c>
      <c r="M77" s="381" t="str">
        <f>VLOOKUP(B77,'[24]Gui chi Quynh'!$B$11:$E$400,4,FALSE)</f>
        <v>A2</v>
      </c>
      <c r="N77" s="512">
        <f t="shared" si="3"/>
        <v>8391600</v>
      </c>
      <c r="O77" s="381">
        <v>20</v>
      </c>
      <c r="P77" s="458">
        <f>IFERROR(INDEX('[17]CN BC'!$J$10:$J$276,MATCH(B77,'[17]CN BC'!$H$10:$H$276,0)),"")</f>
        <v>22.5</v>
      </c>
      <c r="Q77" s="512">
        <f t="shared" si="4"/>
        <v>8391600</v>
      </c>
      <c r="R77" s="478"/>
      <c r="S77" s="377">
        <f>R77*$G$19*1</f>
        <v>0</v>
      </c>
      <c r="T77" s="385"/>
      <c r="U77" s="377">
        <f t="shared" si="5"/>
        <v>0</v>
      </c>
      <c r="V77" s="612">
        <f t="shared" si="6"/>
        <v>59940</v>
      </c>
      <c r="W77" s="386">
        <f t="shared" si="10"/>
        <v>8391600</v>
      </c>
      <c r="X77" s="1080">
        <f t="shared" si="8"/>
        <v>4.6619999999999999</v>
      </c>
      <c r="Y77" s="1116">
        <v>1800000</v>
      </c>
      <c r="Z77" s="1117">
        <f t="shared" si="9"/>
        <v>8391600</v>
      </c>
      <c r="AA77" s="593">
        <f t="shared" si="7"/>
        <v>55</v>
      </c>
      <c r="AB77" s="511">
        <f>IFERROR(INDEX('[17]CN BC'!$M$10:$M$276,MATCH(B77,'[17]CN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8" t="str">
        <f>VLOOKUP(B78,TH.T5!B78:F407,5,FALSE)</f>
        <v>Trưởng phòng Khảo thí và ĐBCL</v>
      </c>
      <c r="K78" s="384">
        <f t="shared" si="1"/>
        <v>5.1000000000000005</v>
      </c>
      <c r="L78" s="377">
        <f t="shared" si="2"/>
        <v>9180000.0000000019</v>
      </c>
      <c r="M78" s="381" t="str">
        <f>VLOOKUP(B78,'[24]Gui chi Quynh'!$B$11:$E$400,4,FALSE)</f>
        <v>A2</v>
      </c>
      <c r="N78" s="512">
        <f t="shared" si="3"/>
        <v>12852000.000000002</v>
      </c>
      <c r="O78" s="381">
        <v>20</v>
      </c>
      <c r="P78" s="458">
        <f>IFERROR(INDEX('[17]CN BC'!$J$10:$J$276,MATCH(B78,'[17]CN BC'!$H$10:$H$276,0)),"")</f>
        <v>24</v>
      </c>
      <c r="Q78" s="512">
        <f t="shared" si="4"/>
        <v>12852000.000000002</v>
      </c>
      <c r="R78" s="408"/>
      <c r="S78" s="377">
        <f>R78*$G$19*1</f>
        <v>0</v>
      </c>
      <c r="T78" s="401"/>
      <c r="U78" s="377">
        <f t="shared" si="5"/>
        <v>0</v>
      </c>
      <c r="V78" s="612">
        <f t="shared" si="6"/>
        <v>91800</v>
      </c>
      <c r="W78" s="386">
        <f t="shared" si="10"/>
        <v>12852000.000000002</v>
      </c>
      <c r="X78" s="1080">
        <f t="shared" si="8"/>
        <v>7.1400000000000015</v>
      </c>
      <c r="Y78" s="1116">
        <v>1800000</v>
      </c>
      <c r="Z78" s="1117">
        <f t="shared" si="9"/>
        <v>12852000.000000002</v>
      </c>
      <c r="AA78" s="593">
        <f t="shared" si="7"/>
        <v>56</v>
      </c>
      <c r="AB78" s="511">
        <f>IFERROR(INDEX('[17]CN BC'!$M$10:$M$276,MATCH(B78,'[17]CN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8" t="str">
        <f>VLOOKUP(B79,TH.T5!B79:F408,5,FALSE)</f>
        <v>Phó TP. Kế hoạch - Tài chính</v>
      </c>
      <c r="K79" s="384">
        <f>H79+I79</f>
        <v>4.67</v>
      </c>
      <c r="L79" s="377">
        <f>K79*$G$19</f>
        <v>8406000</v>
      </c>
      <c r="M79" s="381" t="str">
        <f>VLOOKUP(B79,'[24]Gui chi Quynh'!$B$11:$E$400,4,FALSE)</f>
        <v>A2</v>
      </c>
      <c r="N79" s="512">
        <f>IF(M79="A1",L79*1.6,IF(M79="A2",L79*1.4,IF(M79="A3",L79*1.2,IF(M79="A4",L79*1,IF(M79="B1",L79*0.7,IF(M79="B2",L79*0.5,IF(M79="C1",L79*0.3,IF(M79="C2",L79*0.2,0))))))))</f>
        <v>11768400</v>
      </c>
      <c r="O79" s="381">
        <v>20</v>
      </c>
      <c r="P79" s="458">
        <f>IFERROR(INDEX('[17]CN BC'!$J$10:$J$276,MATCH(B79,'[17]CN BC'!$H$10:$H$276,0)),"")</f>
        <v>20</v>
      </c>
      <c r="Q79" s="512">
        <f>IF(P79&gt;=O79,N79,N79/O79*P79)</f>
        <v>11768400</v>
      </c>
      <c r="R79" s="408"/>
      <c r="S79" s="377">
        <f>R79*$G$19*1</f>
        <v>0</v>
      </c>
      <c r="T79" s="401"/>
      <c r="U79" s="377">
        <f>T79*$G$19*1</f>
        <v>0</v>
      </c>
      <c r="V79" s="612">
        <f>IF(OR(M79="A DN",M79="KXL", M79=""),"0",ROUND(K79*0.01*$G$19+R79*1%*$G$19+T79*1%*$G$19,))</f>
        <v>84060</v>
      </c>
      <c r="W79" s="386">
        <f t="shared" si="10"/>
        <v>11768400</v>
      </c>
      <c r="X79" s="1080">
        <f t="shared" si="8"/>
        <v>6.5380000000000003</v>
      </c>
      <c r="Y79" s="1116">
        <v>1800000</v>
      </c>
      <c r="Z79" s="1117">
        <f t="shared" si="9"/>
        <v>11768400</v>
      </c>
      <c r="AA79" s="593">
        <f t="shared" si="7"/>
        <v>57</v>
      </c>
      <c r="AB79" s="511">
        <f>IFERROR(INDEX('[17]CN BC'!$M$10:$M$276,MATCH(B79,'[17]CN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8" t="str">
        <f>VLOOKUP(B80,TH.T5!B80:F409,5,FALSE)</f>
        <v>Nhân viên phòng Khảo thí và ĐBCL</v>
      </c>
      <c r="K80" s="384">
        <f t="shared" si="1"/>
        <v>5.9760000000000009</v>
      </c>
      <c r="L80" s="377">
        <f t="shared" si="2"/>
        <v>10756800.000000002</v>
      </c>
      <c r="M80" s="381" t="str">
        <f>VLOOKUP(B80,'[24]Gui chi Quynh'!$B$11:$E$400,4,FALSE)</f>
        <v>A3</v>
      </c>
      <c r="N80" s="512">
        <f t="shared" si="3"/>
        <v>12908160.000000002</v>
      </c>
      <c r="O80" s="381">
        <v>20</v>
      </c>
      <c r="P80" s="458">
        <f>IFERROR(INDEX('[17]CN BC'!$J$10:$J$276,MATCH(B80,'[17]CN BC'!$H$10:$H$276,0)),"")</f>
        <v>20</v>
      </c>
      <c r="Q80" s="512">
        <f t="shared" si="4"/>
        <v>12908160.000000002</v>
      </c>
      <c r="R80" s="478"/>
      <c r="S80" s="377">
        <f>R80*$G$19*1</f>
        <v>0</v>
      </c>
      <c r="T80" s="385"/>
      <c r="U80" s="377">
        <f t="shared" si="5"/>
        <v>0</v>
      </c>
      <c r="V80" s="612">
        <f t="shared" si="6"/>
        <v>107568</v>
      </c>
      <c r="W80" s="386">
        <f t="shared" si="10"/>
        <v>12908160.000000002</v>
      </c>
      <c r="X80" s="1080">
        <f t="shared" si="8"/>
        <v>7.1712000000000007</v>
      </c>
      <c r="Y80" s="1116">
        <v>1800000</v>
      </c>
      <c r="Z80" s="1117">
        <f t="shared" si="9"/>
        <v>12908160.000000002</v>
      </c>
      <c r="AA80" s="593">
        <f t="shared" si="7"/>
        <v>58</v>
      </c>
      <c r="AB80" s="511">
        <f>IFERROR(INDEX('[17]CN BC'!$M$10:$M$276,MATCH(B80,'[17]CN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8" t="str">
        <f>VLOOKUP(B81,TH.T5!B81:F410,5,FALSE)</f>
        <v>Nhân viên phòng Khảo thí và ĐBCL</v>
      </c>
      <c r="K81" s="384">
        <f t="shared" si="1"/>
        <v>3.66</v>
      </c>
      <c r="L81" s="377">
        <f t="shared" si="2"/>
        <v>6588000</v>
      </c>
      <c r="M81" s="381" t="str">
        <f>VLOOKUP(B81,'[24]Gui chi Quynh'!$B$11:$E$400,4,FALSE)</f>
        <v>A3</v>
      </c>
      <c r="N81" s="512">
        <f t="shared" si="3"/>
        <v>7905600</v>
      </c>
      <c r="O81" s="381">
        <v>20</v>
      </c>
      <c r="P81" s="458">
        <f>IFERROR(INDEX('[17]CN BC'!$J$10:$J$276,MATCH(B81,'[17]CN BC'!$H$10:$H$276,0)),"")</f>
        <v>21</v>
      </c>
      <c r="Q81" s="512">
        <f t="shared" si="4"/>
        <v>7905600</v>
      </c>
      <c r="R81" s="478"/>
      <c r="S81" s="377">
        <f>R81*$G$19*0.8</f>
        <v>0</v>
      </c>
      <c r="T81" s="385"/>
      <c r="U81" s="377">
        <f t="shared" si="5"/>
        <v>0</v>
      </c>
      <c r="V81" s="612">
        <f t="shared" si="6"/>
        <v>65880</v>
      </c>
      <c r="W81" s="386">
        <f t="shared" si="10"/>
        <v>7905600</v>
      </c>
      <c r="X81" s="1080">
        <f t="shared" si="8"/>
        <v>4.3920000000000003</v>
      </c>
      <c r="Y81" s="1116">
        <v>1800000</v>
      </c>
      <c r="Z81" s="1117">
        <f t="shared" si="9"/>
        <v>7905600.0000000009</v>
      </c>
      <c r="AA81" s="593">
        <f t="shared" si="7"/>
        <v>59</v>
      </c>
      <c r="AB81" s="511">
        <f>IFERROR(INDEX('[17]CN BC'!$M$10:$M$276,MATCH(B81,'[17]CN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8" t="str">
        <f>VLOOKUP(B82,TH.T5!B82:F411,5,FALSE)</f>
        <v>Nhân viên phòng Khảo thí và ĐBCL</v>
      </c>
      <c r="K82" s="384">
        <f t="shared" si="1"/>
        <v>3.66</v>
      </c>
      <c r="L82" s="377">
        <f t="shared" si="2"/>
        <v>6588000</v>
      </c>
      <c r="M82" s="381" t="str">
        <f>VLOOKUP(B82,'[24]Gui chi Quynh'!$B$11:$E$400,4,FALSE)</f>
        <v>A2</v>
      </c>
      <c r="N82" s="512">
        <f t="shared" si="3"/>
        <v>9223200</v>
      </c>
      <c r="O82" s="381">
        <v>20</v>
      </c>
      <c r="P82" s="458">
        <f>IFERROR(INDEX('[17]CN BC'!$J$10:$J$276,MATCH(B82,'[17]CN BC'!$H$10:$H$276,0)),"")</f>
        <v>22</v>
      </c>
      <c r="Q82" s="512">
        <f t="shared" si="4"/>
        <v>9223200</v>
      </c>
      <c r="R82" s="478"/>
      <c r="S82" s="377">
        <f>R82*$G$19*0.8</f>
        <v>0</v>
      </c>
      <c r="T82" s="385"/>
      <c r="U82" s="377">
        <f t="shared" si="5"/>
        <v>0</v>
      </c>
      <c r="V82" s="612">
        <f t="shared" si="6"/>
        <v>65880</v>
      </c>
      <c r="W82" s="386">
        <f t="shared" si="10"/>
        <v>9223200</v>
      </c>
      <c r="X82" s="1080">
        <f t="shared" si="8"/>
        <v>5.1239999999999997</v>
      </c>
      <c r="Y82" s="1116">
        <v>1800000</v>
      </c>
      <c r="Z82" s="1117">
        <f t="shared" si="9"/>
        <v>9223200</v>
      </c>
      <c r="AA82" s="593">
        <f t="shared" si="7"/>
        <v>60</v>
      </c>
      <c r="AB82" s="511">
        <f>IFERROR(INDEX('[17]CN BC'!$M$10:$M$276,MATCH(B82,'[17]CN BC'!$H$10:$H$276,0)),"")</f>
        <v>0</v>
      </c>
      <c r="AC82" s="147" t="str">
        <f>VLOOKUP(B82,TH.T4!B80:AC410,28,FALSE)</f>
        <v>KTĐBCL</v>
      </c>
      <c r="AD82" s="113"/>
      <c r="AE82" s="1097"/>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8" t="str">
        <f>VLOOKUP(B83,TH.T5!B83:F412,5,FALSE)</f>
        <v>Nhân viên phòng Khảo thí và ĐBCL</v>
      </c>
      <c r="K83" s="384">
        <f t="shared" si="1"/>
        <v>3.66</v>
      </c>
      <c r="L83" s="377">
        <f t="shared" si="2"/>
        <v>6588000</v>
      </c>
      <c r="M83" s="381" t="str">
        <f>VLOOKUP(B83,'[24]Gui chi Quynh'!$B$11:$E$400,4,FALSE)</f>
        <v>A3</v>
      </c>
      <c r="N83" s="512">
        <f t="shared" si="3"/>
        <v>7905600</v>
      </c>
      <c r="O83" s="381">
        <v>20</v>
      </c>
      <c r="P83" s="458">
        <f>IFERROR(INDEX('[17]CN BC'!$J$10:$J$276,MATCH(B83,'[17]CN BC'!$H$10:$H$276,0)),"")</f>
        <v>22</v>
      </c>
      <c r="Q83" s="512">
        <f t="shared" si="4"/>
        <v>7905600</v>
      </c>
      <c r="R83" s="408"/>
      <c r="S83" s="377">
        <f>R83*$G$19*0.8</f>
        <v>0</v>
      </c>
      <c r="T83" s="401"/>
      <c r="U83" s="377">
        <f t="shared" si="5"/>
        <v>0</v>
      </c>
      <c r="V83" s="612">
        <f t="shared" si="6"/>
        <v>65880</v>
      </c>
      <c r="W83" s="386">
        <f t="shared" si="10"/>
        <v>7905600</v>
      </c>
      <c r="X83" s="1080">
        <f t="shared" si="8"/>
        <v>4.3920000000000003</v>
      </c>
      <c r="Y83" s="1116">
        <v>1800000</v>
      </c>
      <c r="Z83" s="1117">
        <f t="shared" si="9"/>
        <v>7905600.0000000009</v>
      </c>
      <c r="AA83" s="593">
        <f t="shared" si="7"/>
        <v>61</v>
      </c>
      <c r="AB83" s="511">
        <f>IFERROR(INDEX('[17]CN BC'!$M$10:$M$276,MATCH(B83,'[17]CN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8" t="str">
        <f>VLOOKUP(B84,TH.T5!B84:F413,5,FALSE)</f>
        <v>Nhân viên phòng Khảo thí và ĐBCL</v>
      </c>
      <c r="K84" s="384">
        <f t="shared" si="1"/>
        <v>3.35</v>
      </c>
      <c r="L84" s="377">
        <f t="shared" si="2"/>
        <v>6030000</v>
      </c>
      <c r="M84" s="381" t="str">
        <f>VLOOKUP(B84,'[24]Gui chi Quynh'!$B$11:$E$400,4,FALSE)</f>
        <v>A1</v>
      </c>
      <c r="N84" s="512">
        <f t="shared" si="3"/>
        <v>9648000</v>
      </c>
      <c r="O84" s="381">
        <v>20</v>
      </c>
      <c r="P84" s="458">
        <f>IFERROR(INDEX('[17]CN BC'!$J$10:$J$276,MATCH(B84,'[17]CN BC'!$H$10:$H$276,0)),"")</f>
        <v>25</v>
      </c>
      <c r="Q84" s="512">
        <f t="shared" si="4"/>
        <v>9648000</v>
      </c>
      <c r="R84" s="478"/>
      <c r="S84" s="377">
        <f>R84*$G$19*1</f>
        <v>0</v>
      </c>
      <c r="T84" s="385"/>
      <c r="U84" s="377">
        <f t="shared" si="5"/>
        <v>0</v>
      </c>
      <c r="V84" s="612">
        <f t="shared" si="6"/>
        <v>60300</v>
      </c>
      <c r="W84" s="386">
        <f t="shared" si="10"/>
        <v>9648000</v>
      </c>
      <c r="X84" s="1080">
        <f t="shared" si="8"/>
        <v>5.36</v>
      </c>
      <c r="Y84" s="1116">
        <v>1800000</v>
      </c>
      <c r="Z84" s="1117">
        <f t="shared" si="9"/>
        <v>9648000</v>
      </c>
      <c r="AA84" s="593">
        <f t="shared" si="7"/>
        <v>62</v>
      </c>
      <c r="AB84" s="511">
        <f>IFERROR(INDEX('[17]CN BC'!$M$10:$M$276,MATCH(B84,'[17]CN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8" t="str">
        <f>VLOOKUP(B85,TH.T5!B85:F414,5,FALSE)</f>
        <v>Trưởng TT Điều hành và QLDL</v>
      </c>
      <c r="K85" s="384">
        <f t="shared" si="1"/>
        <v>4.1100000000000003</v>
      </c>
      <c r="L85" s="377">
        <f t="shared" si="2"/>
        <v>7398000.0000000009</v>
      </c>
      <c r="M85" s="381" t="str">
        <f>VLOOKUP(B85,'[24]Gui chi Quynh'!$B$11:$E$400,4,FALSE)</f>
        <v>A2</v>
      </c>
      <c r="N85" s="512">
        <f t="shared" si="3"/>
        <v>10357200</v>
      </c>
      <c r="O85" s="381">
        <v>20</v>
      </c>
      <c r="P85" s="458">
        <f>IFERROR(INDEX('[17]CN BC'!$J$10:$J$276,MATCH(B85,'[17]CN BC'!$H$10:$H$276,0)),"")</f>
        <v>24</v>
      </c>
      <c r="Q85" s="512">
        <f t="shared" si="4"/>
        <v>10357200</v>
      </c>
      <c r="R85" s="408"/>
      <c r="S85" s="377">
        <f>R85*$G$19*1</f>
        <v>0</v>
      </c>
      <c r="T85" s="401"/>
      <c r="U85" s="377">
        <f t="shared" si="5"/>
        <v>0</v>
      </c>
      <c r="V85" s="612">
        <f t="shared" si="6"/>
        <v>73980</v>
      </c>
      <c r="W85" s="386">
        <f t="shared" si="10"/>
        <v>10357200</v>
      </c>
      <c r="X85" s="1080">
        <f t="shared" si="8"/>
        <v>5.7539999999999996</v>
      </c>
      <c r="Y85" s="1116">
        <v>1800000</v>
      </c>
      <c r="Z85" s="1117">
        <f t="shared" si="9"/>
        <v>10357200</v>
      </c>
      <c r="AA85" s="593">
        <f t="shared" si="7"/>
        <v>63</v>
      </c>
      <c r="AB85" s="511" t="str">
        <f>IFERROR(INDEX('[17]CN BC'!$M$10:$M$276,MATCH(B85,'[17]CN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8" t="str">
        <f>VLOOKUP(B86,TH.T5!B86:F415,5,FALSE)</f>
        <v>NV Trung tâm ĐH và QLDL</v>
      </c>
      <c r="K86" s="384">
        <f t="shared" si="1"/>
        <v>3.66</v>
      </c>
      <c r="L86" s="377">
        <f t="shared" si="2"/>
        <v>6588000</v>
      </c>
      <c r="M86" s="381" t="str">
        <f>VLOOKUP(B86,'[24]Gui chi Quynh'!$B$11:$E$400,4,FALSE)</f>
        <v>A2</v>
      </c>
      <c r="N86" s="512">
        <f t="shared" si="3"/>
        <v>9223200</v>
      </c>
      <c r="O86" s="381">
        <v>20</v>
      </c>
      <c r="P86" s="458">
        <f>IFERROR(INDEX('[17]CN BC'!$J$10:$J$276,MATCH(B86,'[17]CN BC'!$H$10:$H$276,0)),"")</f>
        <v>21</v>
      </c>
      <c r="Q86" s="512">
        <f t="shared" si="4"/>
        <v>9223200</v>
      </c>
      <c r="R86" s="408"/>
      <c r="S86" s="377">
        <f>R86*$G$19*1</f>
        <v>0</v>
      </c>
      <c r="T86" s="401"/>
      <c r="U86" s="377">
        <f t="shared" si="5"/>
        <v>0</v>
      </c>
      <c r="V86" s="612">
        <f t="shared" si="6"/>
        <v>65880</v>
      </c>
      <c r="W86" s="386">
        <f t="shared" si="10"/>
        <v>9223200</v>
      </c>
      <c r="X86" s="1080">
        <f t="shared" si="8"/>
        <v>5.1239999999999997</v>
      </c>
      <c r="Y86" s="1116">
        <v>1800000</v>
      </c>
      <c r="Z86" s="1117">
        <f t="shared" si="9"/>
        <v>9223200</v>
      </c>
      <c r="AA86" s="593">
        <f t="shared" si="7"/>
        <v>64</v>
      </c>
      <c r="AB86" s="511">
        <f>IFERROR(INDEX('[17]CN BC'!$M$10:$M$276,MATCH(B86,'[17]CN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8" t="str">
        <f>VLOOKUP(B87,TH.T5!B87:F416,5,FALSE)</f>
        <v>Nhân viên TT Điều hành và QLDL</v>
      </c>
      <c r="K87" s="384">
        <f t="shared" ref="K87:K119" si="15">H87+I87</f>
        <v>3.26</v>
      </c>
      <c r="L87" s="377">
        <f t="shared" ref="L87:L116" si="16">K87*$G$19</f>
        <v>5868000</v>
      </c>
      <c r="M87" s="381" t="str">
        <f>VLOOKUP(B87,'[24]Gui chi Quynh'!$B$11:$E$400,4,FALSE)</f>
        <v>A2</v>
      </c>
      <c r="N87" s="512">
        <f t="shared" ref="N87:N150" si="17">IF(M87="A1",L87*1.6,IF(M87="A2",L87*1.4,IF(M87="A3",L87*1.2,IF(M87="A4",L87*1,IF(M87="B1",L87*0.7,IF(M87="B2",L87*0.5,IF(M87="C1",L87*0.3,IF(M87="C2",L87*0.2,0))))))))</f>
        <v>8215199.9999999991</v>
      </c>
      <c r="O87" s="381">
        <v>20</v>
      </c>
      <c r="P87" s="458">
        <f>IFERROR(INDEX('[17]CN BC'!$J$10:$J$276,MATCH(B87,'[17]CN BC'!$H$10:$H$276,0)),"")</f>
        <v>21</v>
      </c>
      <c r="Q87" s="512">
        <f t="shared" ref="Q87:Q150" si="18">IF(P87&gt;=O87,N87,N87/O87*P87)</f>
        <v>8215199.9999999991</v>
      </c>
      <c r="R87" s="478"/>
      <c r="S87" s="377">
        <f>R87*$G$19*1.2</f>
        <v>0</v>
      </c>
      <c r="T87" s="385"/>
      <c r="U87" s="377">
        <f t="shared" ref="U87:U150" si="19">T87*$G$19*1</f>
        <v>0</v>
      </c>
      <c r="V87" s="612">
        <f t="shared" ref="V87:V150" si="20">IF(OR(M87="A DN",M87="KXL", M87=""),"0",ROUND(K87*0.01*$G$19+R87*1%*$G$19+T87*1%*$G$19,))</f>
        <v>58680</v>
      </c>
      <c r="W87" s="386">
        <f t="shared" si="10"/>
        <v>8215199.9999999991</v>
      </c>
      <c r="X87" s="1080">
        <f t="shared" si="8"/>
        <v>4.5639999999999992</v>
      </c>
      <c r="Y87" s="1116">
        <v>1800000</v>
      </c>
      <c r="Z87" s="1117">
        <f t="shared" si="9"/>
        <v>8215199.9999999981</v>
      </c>
      <c r="AA87" s="593">
        <f t="shared" ref="AA87:AA150" si="21">A87</f>
        <v>65</v>
      </c>
      <c r="AB87" s="511">
        <f>IFERROR(INDEX('[17]CN BC'!$M$10:$M$276,MATCH(B87,'[17]CN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8" t="str">
        <f>VLOOKUP(B88,TH.T5!B88:F417,5,FALSE)</f>
        <v>Phụ trách TT Thư viện</v>
      </c>
      <c r="K88" s="384">
        <f t="shared" si="15"/>
        <v>4.1100000000000003</v>
      </c>
      <c r="L88" s="377">
        <f t="shared" si="16"/>
        <v>7398000.0000000009</v>
      </c>
      <c r="M88" s="381" t="str">
        <f>VLOOKUP(B88,'[24]Gui chi Quynh'!$B$11:$E$400,4,FALSE)</f>
        <v>A3</v>
      </c>
      <c r="N88" s="512">
        <f t="shared" si="17"/>
        <v>8877600</v>
      </c>
      <c r="O88" s="381">
        <v>20</v>
      </c>
      <c r="P88" s="458">
        <f>IFERROR(INDEX('[17]CN BC'!$J$10:$J$276,MATCH(B88,'[17]CN BC'!$H$10:$H$276,0)),"")</f>
        <v>19</v>
      </c>
      <c r="Q88" s="512">
        <f t="shared" si="18"/>
        <v>8433720</v>
      </c>
      <c r="R88" s="478"/>
      <c r="S88" s="377">
        <f t="shared" ref="S88:S142" si="22">R88*$G$19*1</f>
        <v>0</v>
      </c>
      <c r="T88" s="385"/>
      <c r="U88" s="377">
        <f t="shared" si="19"/>
        <v>0</v>
      </c>
      <c r="V88" s="612">
        <f t="shared" si="20"/>
        <v>73980</v>
      </c>
      <c r="W88" s="386">
        <f t="shared" si="10"/>
        <v>8433720</v>
      </c>
      <c r="X88" s="1080">
        <f t="shared" ref="X88:X151" si="23">W88/Y88</f>
        <v>4.6853999999999996</v>
      </c>
      <c r="Y88" s="1116">
        <v>1800000</v>
      </c>
      <c r="Z88" s="1117">
        <f t="shared" ref="Z88:Z151" si="24">X88*Y88</f>
        <v>8433720</v>
      </c>
      <c r="AA88" s="593">
        <f t="shared" si="21"/>
        <v>66</v>
      </c>
      <c r="AB88" s="511" t="str">
        <f>IFERROR(INDEX('[17]CN BC'!$M$10:$M$276,MATCH(B88,'[17]CN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8" t="str">
        <f>VLOOKUP(B89,TH.T5!B89:F418,5,FALSE)</f>
        <v>Nhân viên TT Thư viện</v>
      </c>
      <c r="K89" s="384">
        <f t="shared" si="15"/>
        <v>3.33</v>
      </c>
      <c r="L89" s="377">
        <f t="shared" si="16"/>
        <v>5994000</v>
      </c>
      <c r="M89" s="381" t="str">
        <f>VLOOKUP(B89,'[24]Gui chi Quynh'!$B$11:$E$400,4,FALSE)</f>
        <v>A3</v>
      </c>
      <c r="N89" s="512">
        <f t="shared" si="17"/>
        <v>7192800</v>
      </c>
      <c r="O89" s="381">
        <v>20</v>
      </c>
      <c r="P89" s="458">
        <f>IFERROR(INDEX('[17]CN BC'!$J$10:$J$276,MATCH(B89,'[17]CN BC'!$H$10:$H$276,0)),"")</f>
        <v>21</v>
      </c>
      <c r="Q89" s="512">
        <f t="shared" si="18"/>
        <v>7192800</v>
      </c>
      <c r="R89" s="408"/>
      <c r="S89" s="377">
        <f t="shared" si="22"/>
        <v>0</v>
      </c>
      <c r="T89" s="385"/>
      <c r="U89" s="377">
        <f t="shared" si="19"/>
        <v>0</v>
      </c>
      <c r="V89" s="612">
        <f t="shared" si="20"/>
        <v>59940</v>
      </c>
      <c r="W89" s="386">
        <f t="shared" ref="W89:W153" si="25">(Q89+S89+U89)</f>
        <v>7192800</v>
      </c>
      <c r="X89" s="1080">
        <f t="shared" si="23"/>
        <v>3.996</v>
      </c>
      <c r="Y89" s="1116">
        <v>1800000</v>
      </c>
      <c r="Z89" s="1117">
        <f t="shared" si="24"/>
        <v>7192800</v>
      </c>
      <c r="AA89" s="593">
        <f t="shared" si="21"/>
        <v>67</v>
      </c>
      <c r="AB89" s="511">
        <f>IFERROR(INDEX('[17]CN BC'!$M$10:$M$276,MATCH(B89,'[17]CN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8" t="str">
        <f>VLOOKUP(B90,TH.T5!B90:F419,5,FALSE)</f>
        <v>Nhân viên TT Thư viện</v>
      </c>
      <c r="K90" s="384">
        <f t="shared" si="15"/>
        <v>3.33</v>
      </c>
      <c r="L90" s="377">
        <f t="shared" si="16"/>
        <v>5994000</v>
      </c>
      <c r="M90" s="381" t="str">
        <f>VLOOKUP(B90,'[24]Gui chi Quynh'!$B$11:$E$400,4,FALSE)</f>
        <v>A3</v>
      </c>
      <c r="N90" s="512">
        <f t="shared" si="17"/>
        <v>7192800</v>
      </c>
      <c r="O90" s="381">
        <v>20</v>
      </c>
      <c r="P90" s="458">
        <f>IFERROR(INDEX('[17]CN BC'!$J$10:$J$276,MATCH(B90,'[17]CN BC'!$H$10:$H$276,0)),"")</f>
        <v>19</v>
      </c>
      <c r="Q90" s="512">
        <f t="shared" si="18"/>
        <v>6833160</v>
      </c>
      <c r="R90" s="478"/>
      <c r="S90" s="377">
        <f t="shared" si="22"/>
        <v>0</v>
      </c>
      <c r="T90" s="385"/>
      <c r="U90" s="377">
        <f t="shared" si="19"/>
        <v>0</v>
      </c>
      <c r="V90" s="612">
        <f t="shared" si="20"/>
        <v>59940</v>
      </c>
      <c r="W90" s="386">
        <f t="shared" si="25"/>
        <v>6833160</v>
      </c>
      <c r="X90" s="1080">
        <f t="shared" si="23"/>
        <v>3.7961999999999998</v>
      </c>
      <c r="Y90" s="1116">
        <v>1800000</v>
      </c>
      <c r="Z90" s="1117">
        <f t="shared" si="24"/>
        <v>6833160</v>
      </c>
      <c r="AA90" s="593">
        <f t="shared" si="21"/>
        <v>68</v>
      </c>
      <c r="AB90" s="511" t="str">
        <f>IFERROR(INDEX('[17]CN BC'!$M$10:$M$276,MATCH(B90,'[17]CN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8" t="str">
        <f>VLOOKUP(B91,TH.T5!B91:F420,5,FALSE)</f>
        <v>Nhân viên TT Thư viện</v>
      </c>
      <c r="K91" s="384">
        <f t="shared" si="15"/>
        <v>5.2290000000000001</v>
      </c>
      <c r="L91" s="377">
        <f t="shared" si="16"/>
        <v>9412200</v>
      </c>
      <c r="M91" s="381" t="str">
        <f>VLOOKUP(B91,'[24]Gui chi Quynh'!$B$11:$E$400,4,FALSE)</f>
        <v>A4</v>
      </c>
      <c r="N91" s="512">
        <f t="shared" si="17"/>
        <v>9412200</v>
      </c>
      <c r="O91" s="381">
        <v>20</v>
      </c>
      <c r="P91" s="458">
        <f>IFERROR(INDEX('[17]CN BC'!$J$10:$J$276,MATCH(B91,'[17]CN BC'!$H$10:$H$276,0)),"")</f>
        <v>20</v>
      </c>
      <c r="Q91" s="512">
        <f t="shared" si="18"/>
        <v>9412200</v>
      </c>
      <c r="R91" s="478"/>
      <c r="S91" s="377">
        <f t="shared" si="22"/>
        <v>0</v>
      </c>
      <c r="T91" s="385"/>
      <c r="U91" s="377">
        <f t="shared" si="19"/>
        <v>0</v>
      </c>
      <c r="V91" s="377">
        <f t="shared" si="20"/>
        <v>94122</v>
      </c>
      <c r="W91" s="386">
        <f t="shared" si="25"/>
        <v>9412200</v>
      </c>
      <c r="X91" s="1080">
        <f t="shared" si="23"/>
        <v>5.2290000000000001</v>
      </c>
      <c r="Y91" s="1116">
        <v>1800000</v>
      </c>
      <c r="Z91" s="1117">
        <f t="shared" si="24"/>
        <v>9412200</v>
      </c>
      <c r="AA91" s="593">
        <f t="shared" si="21"/>
        <v>69</v>
      </c>
      <c r="AB91" s="511">
        <f>IFERROR(INDEX('[17]CN BC'!$M$10:$M$276,MATCH(B91,'[17]CN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8" t="str">
        <f>VLOOKUP(B92,TH.T5!B92:F421,5,FALSE)</f>
        <v>Trưởng phòng KHCN &amp; HTQT</v>
      </c>
      <c r="K92" s="384">
        <f t="shared" si="15"/>
        <v>5.4300000000000006</v>
      </c>
      <c r="L92" s="377">
        <f t="shared" si="16"/>
        <v>9774000.0000000019</v>
      </c>
      <c r="M92" s="381" t="str">
        <f>VLOOKUP(B92,'[24]Gui chi Quynh'!$B$11:$E$400,4,FALSE)</f>
        <v>A1</v>
      </c>
      <c r="N92" s="512">
        <f t="shared" si="17"/>
        <v>15638400.000000004</v>
      </c>
      <c r="O92" s="381">
        <v>20</v>
      </c>
      <c r="P92" s="458">
        <f>IFERROR(INDEX('[17]CN BC'!$J$10:$J$276,MATCH(B92,'[17]CN BC'!$H$10:$H$276,0)),"")</f>
        <v>20</v>
      </c>
      <c r="Q92" s="512">
        <f t="shared" si="18"/>
        <v>15638400.000000004</v>
      </c>
      <c r="R92" s="478"/>
      <c r="S92" s="377">
        <f t="shared" si="22"/>
        <v>0</v>
      </c>
      <c r="T92" s="385"/>
      <c r="U92" s="377">
        <f t="shared" si="19"/>
        <v>0</v>
      </c>
      <c r="V92" s="612">
        <f t="shared" si="20"/>
        <v>97740</v>
      </c>
      <c r="W92" s="386">
        <f t="shared" si="25"/>
        <v>15638400.000000004</v>
      </c>
      <c r="X92" s="1080">
        <f t="shared" si="23"/>
        <v>8.6880000000000024</v>
      </c>
      <c r="Y92" s="1116">
        <v>1800000</v>
      </c>
      <c r="Z92" s="1117">
        <f t="shared" si="24"/>
        <v>15638400.000000004</v>
      </c>
      <c r="AA92" s="593">
        <f t="shared" si="21"/>
        <v>70</v>
      </c>
      <c r="AB92" s="511">
        <f>IFERROR(INDEX('[17]CN BC'!$M$10:$M$276,MATCH(B92,'[17]CN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8" t="str">
        <f>VLOOKUP(B93,TH.T5!B93:F422,5,FALSE)</f>
        <v>NV Phòng KHCN &amp; HTQT</v>
      </c>
      <c r="K93" s="384">
        <f>H93+I93</f>
        <v>3.66</v>
      </c>
      <c r="L93" s="377">
        <f>K93*$G$19</f>
        <v>6588000</v>
      </c>
      <c r="M93" s="381" t="str">
        <f>VLOOKUP(B93,'[24]Gui chi Quynh'!$B$11:$E$400,4,FALSE)</f>
        <v>A2</v>
      </c>
      <c r="N93" s="512">
        <f>IF(M93="A1",L93*1.6,IF(M93="A2",L93*1.4,IF(M93="A3",L93*1.2,IF(M93="A4",L93*1,IF(M93="B1",L93*0.7,IF(M93="B2",L93*0.5,IF(M93="C1",L93*0.3,IF(M93="C2",L93*0.2,0))))))))</f>
        <v>9223200</v>
      </c>
      <c r="O93" s="381">
        <v>20</v>
      </c>
      <c r="P93" s="458">
        <f>IFERROR(INDEX('[17]CN BC'!$J$10:$J$276,MATCH(B93,'[17]CN BC'!$H$10:$H$276,0)),"")</f>
        <v>20</v>
      </c>
      <c r="Q93" s="512">
        <f>IF(P93&gt;=O93,N93,N93/O93*P93)</f>
        <v>9223200</v>
      </c>
      <c r="R93" s="478"/>
      <c r="S93" s="377">
        <f>R93*$G$19*1</f>
        <v>0</v>
      </c>
      <c r="T93" s="385"/>
      <c r="U93" s="377">
        <f>T93*$G$19*1</f>
        <v>0</v>
      </c>
      <c r="V93" s="612">
        <f>IF(OR(M93="A DN",M93="KXL", M93=""),"0",ROUND(K93*0.01*$G$19+R93*1%*$G$19+T93*1%*$G$19,))</f>
        <v>65880</v>
      </c>
      <c r="W93" s="386">
        <f>(Q93+S93+U93)</f>
        <v>9223200</v>
      </c>
      <c r="X93" s="1080">
        <f t="shared" si="23"/>
        <v>5.1239999999999997</v>
      </c>
      <c r="Y93" s="1116">
        <v>1800000</v>
      </c>
      <c r="Z93" s="1117">
        <f t="shared" si="24"/>
        <v>9223200</v>
      </c>
      <c r="AA93" s="593">
        <f t="shared" si="21"/>
        <v>71</v>
      </c>
      <c r="AB93" s="511">
        <f>IFERROR(INDEX('[17]CN BC'!$M$10:$M$276,MATCH(B93,'[17]CN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8" t="str">
        <f>VLOOKUP(B94,TH.T5!B94:F423,5,FALSE)</f>
        <v>Giám đốc TT Đào tạo và QLTB</v>
      </c>
      <c r="K94" s="384">
        <f>H94+I94</f>
        <v>3.12</v>
      </c>
      <c r="L94" s="377">
        <f>K94*TH.T6!$G$19</f>
        <v>5616000</v>
      </c>
      <c r="M94" s="381" t="str">
        <f>VLOOKUP(B94,'[24]Gui chi Quynh'!$B$11:$E$400,4,FALSE)</f>
        <v>A1</v>
      </c>
      <c r="N94" s="512">
        <f t="shared" si="17"/>
        <v>8985600</v>
      </c>
      <c r="O94" s="381">
        <v>20</v>
      </c>
      <c r="P94" s="458">
        <f>IFERROR(INDEX('[17]CN BC'!$J$10:$J$276,MATCH(B94,'[17]CN BC'!$H$10:$H$276,0)),"")</f>
        <v>30</v>
      </c>
      <c r="Q94" s="377">
        <f>IF(P94&gt;=O94,N94,N94/O94*P94)</f>
        <v>8985600</v>
      </c>
      <c r="R94" s="408"/>
      <c r="S94" s="377">
        <f>R94*TH.T6!$G$19*1</f>
        <v>0</v>
      </c>
      <c r="T94" s="385"/>
      <c r="U94" s="377">
        <f>T94*[3]CN!$G$8*0.65</f>
        <v>0</v>
      </c>
      <c r="V94" s="612">
        <f>IF(OR(M94="A DN",M94="KXL", M94=""),"0",ROUND(K94*0.01*TH.T6!$G$19+R94*1%*TH.T6!$G$19+T94*1%*TH.T6!$G$19,))</f>
        <v>56160</v>
      </c>
      <c r="W94" s="386">
        <f t="shared" si="25"/>
        <v>8985600</v>
      </c>
      <c r="X94" s="1080">
        <f t="shared" si="23"/>
        <v>4.992</v>
      </c>
      <c r="Y94" s="1116">
        <v>1800000</v>
      </c>
      <c r="Z94" s="1117">
        <f t="shared" si="24"/>
        <v>8985600</v>
      </c>
      <c r="AA94" s="593">
        <f t="shared" si="21"/>
        <v>72</v>
      </c>
      <c r="AB94" s="511">
        <f>IFERROR(INDEX('[17]CN BC'!$M$10:$M$276,MATCH(B94,'[17]CN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8" t="str">
        <f>VLOOKUP(B95,TH.T5!B95:F424,5,FALSE)</f>
        <v>Giám đốc TT Đào tạo và QLTB</v>
      </c>
      <c r="K95" s="10">
        <f>I95+H95</f>
        <v>3.34</v>
      </c>
      <c r="L95" s="377">
        <f>K95*TH.T6!$G$19</f>
        <v>6012000</v>
      </c>
      <c r="M95" s="381" t="str">
        <f>VLOOKUP(B95,'[24]Gui chi Quynh'!$B$11:$E$400,4,FALSE)</f>
        <v>A4</v>
      </c>
      <c r="N95" s="512">
        <f t="shared" si="17"/>
        <v>6012000</v>
      </c>
      <c r="O95" s="381">
        <v>20</v>
      </c>
      <c r="P95" s="458">
        <f>IFERROR(INDEX('[17]CN BC'!$J$10:$J$276,MATCH(B95,'[17]CN BC'!$H$10:$H$276,0)),"")</f>
        <v>25</v>
      </c>
      <c r="Q95" s="34">
        <f>IF(P95&gt;=O95,N95,N95/O95*P95)</f>
        <v>6012000</v>
      </c>
      <c r="R95" s="539"/>
      <c r="S95" s="34">
        <f>R95*$H$20*0.65</f>
        <v>0</v>
      </c>
      <c r="T95" s="79"/>
      <c r="U95" s="34">
        <f>T95*$H$20*0.65</f>
        <v>0</v>
      </c>
      <c r="V95" s="613">
        <f>L95*1%</f>
        <v>60120</v>
      </c>
      <c r="W95" s="386">
        <f t="shared" si="25"/>
        <v>6012000</v>
      </c>
      <c r="X95" s="1080">
        <f t="shared" si="23"/>
        <v>3.34</v>
      </c>
      <c r="Y95" s="1116">
        <v>1800000</v>
      </c>
      <c r="Z95" s="1117">
        <f t="shared" si="24"/>
        <v>6012000</v>
      </c>
      <c r="AA95" s="593">
        <f t="shared" si="21"/>
        <v>73</v>
      </c>
      <c r="AB95" s="511">
        <f>IFERROR(INDEX('[17]CN BC'!$M$10:$M$276,MATCH(B95,'[17]CN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8" t="str">
        <f>VLOOKUP(B96,TH.T5!B96:F425,5,FALSE)</f>
        <v>Trưởng khoa Xây dựng - Nhiệt lạnh</v>
      </c>
      <c r="K96" s="384">
        <f t="shared" si="15"/>
        <v>4.1100000000000003</v>
      </c>
      <c r="L96" s="377">
        <f>K96*TH.T6!$G$19</f>
        <v>7398000.0000000009</v>
      </c>
      <c r="M96" s="381" t="str">
        <f>VLOOKUP(B96,'[24]Gui chi Quynh'!$B$11:$E$400,4,FALSE)</f>
        <v>A1</v>
      </c>
      <c r="N96" s="512">
        <f t="shared" si="17"/>
        <v>11836800.000000002</v>
      </c>
      <c r="O96" s="381">
        <v>20</v>
      </c>
      <c r="P96" s="458">
        <f>IFERROR(INDEX('[17]CN BC'!$J$10:$J$276,MATCH(B96,'[17]CN BC'!$H$10:$H$276,0)),"")</f>
        <v>20</v>
      </c>
      <c r="Q96" s="512">
        <f t="shared" si="18"/>
        <v>11836800.000000002</v>
      </c>
      <c r="R96" s="478"/>
      <c r="S96" s="377">
        <f t="shared" si="22"/>
        <v>0</v>
      </c>
      <c r="T96" s="385"/>
      <c r="U96" s="377">
        <f t="shared" si="19"/>
        <v>0</v>
      </c>
      <c r="V96" s="377">
        <f t="shared" si="20"/>
        <v>73980</v>
      </c>
      <c r="W96" s="386">
        <f t="shared" si="25"/>
        <v>11836800.000000002</v>
      </c>
      <c r="X96" s="1080">
        <f t="shared" si="23"/>
        <v>6.5760000000000014</v>
      </c>
      <c r="Y96" s="1116">
        <v>1800000</v>
      </c>
      <c r="Z96" s="1117">
        <f t="shared" si="24"/>
        <v>11836800.000000002</v>
      </c>
      <c r="AA96" s="593">
        <f t="shared" si="21"/>
        <v>74</v>
      </c>
      <c r="AB96" s="511">
        <f>IFERROR(INDEX('[17]CN BC'!$M$10:$M$276,MATCH(B96,'[17]CN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8" t="str">
        <f>VLOOKUP(B97,TH.T5!B97:F426,5,FALSE)</f>
        <v>Giảng viên khoa Xây dựng - Nhiệt lạnh</v>
      </c>
      <c r="K97" s="384">
        <f t="shared" si="15"/>
        <v>3</v>
      </c>
      <c r="L97" s="377">
        <f t="shared" si="16"/>
        <v>5400000</v>
      </c>
      <c r="M97" s="381" t="str">
        <f>VLOOKUP(B97,'[24]Gui chi Quynh'!$B$11:$E$400,4,FALSE)</f>
        <v>A4</v>
      </c>
      <c r="N97" s="512">
        <f t="shared" si="17"/>
        <v>5400000</v>
      </c>
      <c r="O97" s="381">
        <v>20</v>
      </c>
      <c r="P97" s="458">
        <f>IFERROR(INDEX('[17]CN BC'!$J$10:$J$276,MATCH(B97,'[17]CN BC'!$H$10:$H$276,0)),"")</f>
        <v>20</v>
      </c>
      <c r="Q97" s="512">
        <f t="shared" si="18"/>
        <v>5400000</v>
      </c>
      <c r="R97" s="478"/>
      <c r="S97" s="377">
        <f t="shared" si="22"/>
        <v>0</v>
      </c>
      <c r="T97" s="385"/>
      <c r="U97" s="377">
        <f t="shared" si="19"/>
        <v>0</v>
      </c>
      <c r="V97" s="377">
        <f t="shared" si="20"/>
        <v>54000</v>
      </c>
      <c r="W97" s="386">
        <f t="shared" si="25"/>
        <v>5400000</v>
      </c>
      <c r="X97" s="1080">
        <f t="shared" si="23"/>
        <v>3</v>
      </c>
      <c r="Y97" s="1116">
        <v>1800000</v>
      </c>
      <c r="Z97" s="1117">
        <f t="shared" si="24"/>
        <v>5400000</v>
      </c>
      <c r="AA97" s="593">
        <f t="shared" si="21"/>
        <v>75</v>
      </c>
      <c r="AB97" s="511">
        <f>IFERROR(INDEX('[17]CN BC'!$M$10:$M$276,MATCH(B97,'[17]CN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8" t="str">
        <f>VLOOKUP(B98,TH.T5!B98:F427,5,FALSE)</f>
        <v>Giảng viên khoa Xây dựng - Nhiệt lạnh</v>
      </c>
      <c r="K98" s="384">
        <f t="shared" si="15"/>
        <v>2.34</v>
      </c>
      <c r="L98" s="377">
        <f t="shared" si="16"/>
        <v>4212000</v>
      </c>
      <c r="M98" s="381" t="str">
        <f>VLOOKUP(B98,'[24]Gui chi Quynh'!$B$11:$E$400,4,FALSE)</f>
        <v>A3</v>
      </c>
      <c r="N98" s="512">
        <f t="shared" si="17"/>
        <v>5054400</v>
      </c>
      <c r="O98" s="381">
        <v>20</v>
      </c>
      <c r="P98" s="458">
        <f>IFERROR(INDEX('[17]CN BC'!$J$10:$J$276,MATCH(B98,'[17]CN BC'!$H$10:$H$276,0)),"")</f>
        <v>20</v>
      </c>
      <c r="Q98" s="512">
        <f t="shared" si="18"/>
        <v>5054400</v>
      </c>
      <c r="R98" s="478"/>
      <c r="S98" s="377">
        <f t="shared" si="22"/>
        <v>0</v>
      </c>
      <c r="T98" s="385"/>
      <c r="U98" s="377">
        <f t="shared" si="19"/>
        <v>0</v>
      </c>
      <c r="V98" s="377">
        <f t="shared" si="20"/>
        <v>42120</v>
      </c>
      <c r="W98" s="386">
        <f t="shared" si="25"/>
        <v>5054400</v>
      </c>
      <c r="X98" s="1080">
        <f t="shared" si="23"/>
        <v>2.8079999999999998</v>
      </c>
      <c r="Y98" s="1116">
        <v>1800000</v>
      </c>
      <c r="Z98" s="1117">
        <f t="shared" si="24"/>
        <v>5054400</v>
      </c>
      <c r="AA98" s="593">
        <f t="shared" si="21"/>
        <v>76</v>
      </c>
      <c r="AB98" s="511">
        <f>IFERROR(INDEX('[17]CN BC'!$M$10:$M$276,MATCH(B98,'[17]CN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8" t="str">
        <f>VLOOKUP(B99,TH.T5!B99:F428,5,FALSE)</f>
        <v>Trưởng khoa Kinh tế</v>
      </c>
      <c r="K99" s="384">
        <f t="shared" si="15"/>
        <v>4.4400000000000004</v>
      </c>
      <c r="L99" s="377">
        <f t="shared" si="16"/>
        <v>7992000.0000000009</v>
      </c>
      <c r="M99" s="381" t="str">
        <f>VLOOKUP(B99,'[24]Gui chi Quynh'!$B$11:$E$400,4,FALSE)</f>
        <v>A2</v>
      </c>
      <c r="N99" s="512">
        <f t="shared" si="17"/>
        <v>11188800</v>
      </c>
      <c r="O99" s="381">
        <v>20</v>
      </c>
      <c r="P99" s="458">
        <f>IFERROR(INDEX('[17]CN BC'!$J$10:$J$276,MATCH(B99,'[17]CN BC'!$H$10:$H$276,0)),"")</f>
        <v>20</v>
      </c>
      <c r="Q99" s="512">
        <f t="shared" si="18"/>
        <v>11188800</v>
      </c>
      <c r="R99" s="408"/>
      <c r="S99" s="377">
        <f t="shared" si="22"/>
        <v>0</v>
      </c>
      <c r="T99" s="385"/>
      <c r="U99" s="377">
        <f t="shared" si="19"/>
        <v>0</v>
      </c>
      <c r="V99" s="612">
        <f t="shared" si="20"/>
        <v>79920</v>
      </c>
      <c r="W99" s="386">
        <f t="shared" si="25"/>
        <v>11188800</v>
      </c>
      <c r="X99" s="1080">
        <f t="shared" si="23"/>
        <v>6.2160000000000002</v>
      </c>
      <c r="Y99" s="1116">
        <v>1800000</v>
      </c>
      <c r="Z99" s="1117">
        <f t="shared" si="24"/>
        <v>11188800</v>
      </c>
      <c r="AA99" s="593">
        <f t="shared" si="21"/>
        <v>77</v>
      </c>
      <c r="AB99" s="511">
        <f>IFERROR(INDEX('[17]CN BC'!$M$10:$M$276,MATCH(B99,'[17]CN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8" t="str">
        <f>VLOOKUP(B100,TH.T5!B100:F429,5,FALSE)</f>
        <v>Giảng viên khoa Kinh tế</v>
      </c>
      <c r="K100" s="384">
        <f t="shared" si="15"/>
        <v>3</v>
      </c>
      <c r="L100" s="377">
        <f t="shared" si="16"/>
        <v>5400000</v>
      </c>
      <c r="M100" s="381" t="str">
        <f>VLOOKUP(B100,'[24]Gui chi Quynh'!$B$11:$E$400,4,FALSE)</f>
        <v>A3</v>
      </c>
      <c r="N100" s="512">
        <f t="shared" si="17"/>
        <v>6480000</v>
      </c>
      <c r="O100" s="381">
        <v>20</v>
      </c>
      <c r="P100" s="458">
        <f>IFERROR(INDEX('[17]CN BC'!$J$10:$J$276,MATCH(B100,'[17]CN BC'!$H$10:$H$276,0)),"")</f>
        <v>20</v>
      </c>
      <c r="Q100" s="512">
        <f t="shared" si="18"/>
        <v>6480000</v>
      </c>
      <c r="R100" s="478"/>
      <c r="S100" s="377">
        <f t="shared" si="22"/>
        <v>0</v>
      </c>
      <c r="T100" s="385"/>
      <c r="U100" s="377">
        <f t="shared" si="19"/>
        <v>0</v>
      </c>
      <c r="V100" s="612">
        <f t="shared" si="20"/>
        <v>54000</v>
      </c>
      <c r="W100" s="386">
        <f t="shared" si="25"/>
        <v>6480000</v>
      </c>
      <c r="X100" s="1080">
        <f t="shared" si="23"/>
        <v>3.6</v>
      </c>
      <c r="Y100" s="1116">
        <v>1800000</v>
      </c>
      <c r="Z100" s="1117">
        <f t="shared" si="24"/>
        <v>6480000</v>
      </c>
      <c r="AA100" s="593">
        <f t="shared" si="21"/>
        <v>78</v>
      </c>
      <c r="AB100" s="511">
        <f>IFERROR(INDEX('[17]CN BC'!$M$10:$M$276,MATCH(B100,'[17]CN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8" t="str">
        <f>VLOOKUP(B101,TH.T5!B101:F430,5,FALSE)</f>
        <v>Giảng viên khoa 
Kinh tế</v>
      </c>
      <c r="K101" s="384">
        <f t="shared" si="15"/>
        <v>3</v>
      </c>
      <c r="L101" s="377">
        <f t="shared" si="16"/>
        <v>5400000</v>
      </c>
      <c r="M101" s="381" t="str">
        <f>VLOOKUP(B101,'[24]Gui chi Quynh'!$B$11:$E$400,4,FALSE)</f>
        <v>A3</v>
      </c>
      <c r="N101" s="512">
        <f t="shared" si="17"/>
        <v>6480000</v>
      </c>
      <c r="O101" s="381">
        <v>20</v>
      </c>
      <c r="P101" s="458">
        <f>IFERROR(INDEX('[17]CN BC'!$J$10:$J$276,MATCH(B101,'[17]CN BC'!$H$10:$H$276,0)),"")</f>
        <v>20</v>
      </c>
      <c r="Q101" s="512">
        <f t="shared" si="18"/>
        <v>6480000</v>
      </c>
      <c r="R101" s="478"/>
      <c r="S101" s="377">
        <f t="shared" si="22"/>
        <v>0</v>
      </c>
      <c r="T101" s="385"/>
      <c r="U101" s="377">
        <f t="shared" si="19"/>
        <v>0</v>
      </c>
      <c r="V101" s="612">
        <f t="shared" si="20"/>
        <v>54000</v>
      </c>
      <c r="W101" s="386">
        <f t="shared" si="25"/>
        <v>6480000</v>
      </c>
      <c r="X101" s="1080">
        <f t="shared" si="23"/>
        <v>3.6</v>
      </c>
      <c r="Y101" s="1116">
        <v>1800000</v>
      </c>
      <c r="Z101" s="1117">
        <f t="shared" si="24"/>
        <v>6480000</v>
      </c>
      <c r="AA101" s="593">
        <f t="shared" si="21"/>
        <v>79</v>
      </c>
      <c r="AB101" s="511">
        <f>IFERROR(INDEX('[17]CN BC'!$M$10:$M$276,MATCH(B101,'[17]CN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8" t="str">
        <f>VLOOKUP(B102,TH.T5!B102:F431,5,FALSE)</f>
        <v>Phó Trưởng khoa Kinh tế</v>
      </c>
      <c r="K102" s="384">
        <f t="shared" si="15"/>
        <v>4.01</v>
      </c>
      <c r="L102" s="377">
        <f t="shared" si="16"/>
        <v>7218000</v>
      </c>
      <c r="M102" s="381" t="str">
        <f>VLOOKUP(B102,'[24]Gui chi Quynh'!$B$11:$E$400,4,FALSE)</f>
        <v>A2</v>
      </c>
      <c r="N102" s="512">
        <f t="shared" si="17"/>
        <v>10105200</v>
      </c>
      <c r="O102" s="381">
        <v>20</v>
      </c>
      <c r="P102" s="458">
        <f>IFERROR(INDEX('[17]CN BC'!$J$10:$J$276,MATCH(B102,'[17]CN BC'!$H$10:$H$276,0)),"")</f>
        <v>20</v>
      </c>
      <c r="Q102" s="512">
        <f t="shared" si="18"/>
        <v>10105200</v>
      </c>
      <c r="R102" s="478"/>
      <c r="S102" s="377">
        <f t="shared" si="22"/>
        <v>0</v>
      </c>
      <c r="T102" s="385"/>
      <c r="U102" s="377">
        <f t="shared" si="19"/>
        <v>0</v>
      </c>
      <c r="V102" s="612">
        <f t="shared" si="20"/>
        <v>72180</v>
      </c>
      <c r="W102" s="386">
        <f t="shared" si="25"/>
        <v>10105200</v>
      </c>
      <c r="X102" s="1080">
        <f t="shared" si="23"/>
        <v>5.6139999999999999</v>
      </c>
      <c r="Y102" s="1116">
        <v>1800000</v>
      </c>
      <c r="Z102" s="1117">
        <f t="shared" si="24"/>
        <v>10105200</v>
      </c>
      <c r="AA102" s="593">
        <f t="shared" si="21"/>
        <v>80</v>
      </c>
      <c r="AB102" s="511">
        <f>IFERROR(INDEX('[17]CN BC'!$M$10:$M$276,MATCH(B102,'[17]CN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8" t="str">
        <f>VLOOKUP(B103,TH.T5!B103:F432,5,FALSE)</f>
        <v>Giảng viên khoa Du lịch - Khách sạn</v>
      </c>
      <c r="K103" s="384">
        <f t="shared" si="15"/>
        <v>2.34</v>
      </c>
      <c r="L103" s="377">
        <f t="shared" si="16"/>
        <v>4212000</v>
      </c>
      <c r="M103" s="381" t="str">
        <f>VLOOKUP(B103,'[24]Gui chi Quynh'!$B$11:$E$400,4,FALSE)</f>
        <v>A3</v>
      </c>
      <c r="N103" s="512">
        <f t="shared" si="17"/>
        <v>5054400</v>
      </c>
      <c r="O103" s="381">
        <v>20</v>
      </c>
      <c r="P103" s="458">
        <f>IFERROR(INDEX('[17]CN BC'!$J$10:$J$276,MATCH(B103,'[17]CN BC'!$H$10:$H$276,0)),"")</f>
        <v>20</v>
      </c>
      <c r="Q103" s="512">
        <f t="shared" si="18"/>
        <v>5054400</v>
      </c>
      <c r="R103" s="478"/>
      <c r="S103" s="377">
        <f t="shared" si="22"/>
        <v>0</v>
      </c>
      <c r="T103" s="385"/>
      <c r="U103" s="377">
        <f t="shared" si="19"/>
        <v>0</v>
      </c>
      <c r="V103" s="612">
        <f t="shared" si="20"/>
        <v>42120</v>
      </c>
      <c r="W103" s="386">
        <f t="shared" si="25"/>
        <v>5054400</v>
      </c>
      <c r="X103" s="1080">
        <f t="shared" si="23"/>
        <v>2.8079999999999998</v>
      </c>
      <c r="Y103" s="1116">
        <v>1800000</v>
      </c>
      <c r="Z103" s="1117">
        <f t="shared" si="24"/>
        <v>5054400</v>
      </c>
      <c r="AA103" s="593">
        <f t="shared" si="21"/>
        <v>81</v>
      </c>
      <c r="AB103" s="511">
        <f>IFERROR(INDEX('[17]CN BC'!$M$10:$M$276,MATCH(B103,'[17]CN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8" t="str">
        <f>VLOOKUP(B104,TH.T5!B104:F433,5,FALSE)</f>
        <v>Giảng viên khoa Kinh tế</v>
      </c>
      <c r="K104" s="384">
        <f t="shared" si="15"/>
        <v>3.33</v>
      </c>
      <c r="L104" s="377">
        <f t="shared" si="16"/>
        <v>5994000</v>
      </c>
      <c r="M104" s="381" t="str">
        <f>VLOOKUP(B104,'[24]Gui chi Quynh'!$B$11:$E$400,4,FALSE)</f>
        <v>A2</v>
      </c>
      <c r="N104" s="512">
        <f t="shared" si="17"/>
        <v>8391600</v>
      </c>
      <c r="O104" s="381">
        <v>20</v>
      </c>
      <c r="P104" s="458">
        <f>IFERROR(INDEX('[17]CN BC'!$J$10:$J$276,MATCH(B104,'[17]CN BC'!$H$10:$H$276,0)),"")</f>
        <v>20</v>
      </c>
      <c r="Q104" s="512">
        <f t="shared" si="18"/>
        <v>8391600</v>
      </c>
      <c r="R104" s="478"/>
      <c r="S104" s="377">
        <f t="shared" si="22"/>
        <v>0</v>
      </c>
      <c r="T104" s="385"/>
      <c r="U104" s="377">
        <f t="shared" si="19"/>
        <v>0</v>
      </c>
      <c r="V104" s="612">
        <f t="shared" si="20"/>
        <v>59940</v>
      </c>
      <c r="W104" s="386">
        <f t="shared" si="25"/>
        <v>8391600</v>
      </c>
      <c r="X104" s="1080">
        <f t="shared" si="23"/>
        <v>4.6619999999999999</v>
      </c>
      <c r="Y104" s="1116">
        <v>1800000</v>
      </c>
      <c r="Z104" s="1117">
        <f t="shared" si="24"/>
        <v>8391600</v>
      </c>
      <c r="AA104" s="593">
        <f t="shared" si="21"/>
        <v>82</v>
      </c>
      <c r="AB104" s="511">
        <f>IFERROR(INDEX('[17]CN BC'!$M$10:$M$276,MATCH(B104,'[17]CN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8" t="str">
        <f>VLOOKUP(B105,TH.T5!B105:F434,5,FALSE)</f>
        <v>Giảng viên khoa Kinh tế</v>
      </c>
      <c r="K105" s="384">
        <f t="shared" si="15"/>
        <v>3</v>
      </c>
      <c r="L105" s="377">
        <f t="shared" si="16"/>
        <v>5400000</v>
      </c>
      <c r="M105" s="381" t="str">
        <f>VLOOKUP(B105,'[24]Gui chi Quynh'!$B$11:$E$400,4,FALSE)</f>
        <v>A3</v>
      </c>
      <c r="N105" s="512">
        <f t="shared" si="17"/>
        <v>6480000</v>
      </c>
      <c r="O105" s="381">
        <v>20</v>
      </c>
      <c r="P105" s="458">
        <f>IFERROR(INDEX('[17]CN BC'!$J$10:$J$276,MATCH(B105,'[17]CN BC'!$H$10:$H$276,0)),"")</f>
        <v>20</v>
      </c>
      <c r="Q105" s="512">
        <f t="shared" si="18"/>
        <v>6480000</v>
      </c>
      <c r="R105" s="408"/>
      <c r="S105" s="377">
        <f t="shared" si="22"/>
        <v>0</v>
      </c>
      <c r="T105" s="385"/>
      <c r="U105" s="377">
        <f t="shared" si="19"/>
        <v>0</v>
      </c>
      <c r="V105" s="612">
        <f t="shared" si="20"/>
        <v>54000</v>
      </c>
      <c r="W105" s="386">
        <f t="shared" si="25"/>
        <v>6480000</v>
      </c>
      <c r="X105" s="1080">
        <f t="shared" si="23"/>
        <v>3.6</v>
      </c>
      <c r="Y105" s="1116">
        <v>1800000</v>
      </c>
      <c r="Z105" s="1117">
        <f t="shared" si="24"/>
        <v>6480000</v>
      </c>
      <c r="AA105" s="593">
        <f t="shared" si="21"/>
        <v>83</v>
      </c>
      <c r="AB105" s="511">
        <f>IFERROR(INDEX('[17]CN BC'!$M$10:$M$276,MATCH(B105,'[17]CN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8" t="str">
        <f>VLOOKUP(B106,TH.T5!B106:F435,5,FALSE)</f>
        <v>Giảng viên khoa Kinh tế</v>
      </c>
      <c r="K106" s="384">
        <f t="shared" si="15"/>
        <v>3.66</v>
      </c>
      <c r="L106" s="377">
        <f t="shared" si="16"/>
        <v>6588000</v>
      </c>
      <c r="M106" s="381" t="str">
        <f>VLOOKUP(B106,'[24]Gui chi Quynh'!$B$11:$E$400,4,FALSE)</f>
        <v>A2</v>
      </c>
      <c r="N106" s="512">
        <f t="shared" si="17"/>
        <v>9223200</v>
      </c>
      <c r="O106" s="381">
        <v>20</v>
      </c>
      <c r="P106" s="458">
        <f>IFERROR(INDEX('[17]CN BC'!$J$10:$J$276,MATCH(B106,'[17]CN BC'!$H$10:$H$276,0)),"")</f>
        <v>20</v>
      </c>
      <c r="Q106" s="512">
        <f t="shared" si="18"/>
        <v>9223200</v>
      </c>
      <c r="R106" s="478"/>
      <c r="S106" s="377">
        <f t="shared" si="22"/>
        <v>0</v>
      </c>
      <c r="T106" s="385"/>
      <c r="U106" s="377">
        <f t="shared" si="19"/>
        <v>0</v>
      </c>
      <c r="V106" s="612">
        <f t="shared" si="20"/>
        <v>65880</v>
      </c>
      <c r="W106" s="386">
        <f t="shared" si="25"/>
        <v>9223200</v>
      </c>
      <c r="X106" s="1080">
        <f t="shared" si="23"/>
        <v>5.1239999999999997</v>
      </c>
      <c r="Y106" s="1116">
        <v>1800000</v>
      </c>
      <c r="Z106" s="1117">
        <f t="shared" si="24"/>
        <v>9223200</v>
      </c>
      <c r="AA106" s="593">
        <f t="shared" si="21"/>
        <v>84</v>
      </c>
      <c r="AB106" s="511">
        <f>IFERROR(INDEX('[17]CN BC'!$M$10:$M$276,MATCH(B106,'[17]CN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8" t="str">
        <f>VLOOKUP(B107,TH.T5!B107:F436,5,FALSE)</f>
        <v>Giảng viên khoa Du lịch - Khách sạn</v>
      </c>
      <c r="K107" s="384">
        <f t="shared" si="15"/>
        <v>3</v>
      </c>
      <c r="L107" s="377">
        <f t="shared" si="16"/>
        <v>5400000</v>
      </c>
      <c r="M107" s="381" t="str">
        <f>VLOOKUP(B107,'[24]Gui chi Quynh'!$B$11:$E$400,4,FALSE)</f>
        <v>A3</v>
      </c>
      <c r="N107" s="512">
        <f t="shared" si="17"/>
        <v>6480000</v>
      </c>
      <c r="O107" s="381">
        <v>20</v>
      </c>
      <c r="P107" s="458">
        <f>IFERROR(INDEX('[17]CN BC'!$J$10:$J$276,MATCH(B107,'[17]CN BC'!$H$10:$H$276,0)),"")</f>
        <v>20</v>
      </c>
      <c r="Q107" s="512">
        <f t="shared" si="18"/>
        <v>6480000</v>
      </c>
      <c r="R107" s="408"/>
      <c r="S107" s="377">
        <f t="shared" si="22"/>
        <v>0</v>
      </c>
      <c r="T107" s="385"/>
      <c r="U107" s="377">
        <f t="shared" si="19"/>
        <v>0</v>
      </c>
      <c r="V107" s="612">
        <f t="shared" si="20"/>
        <v>54000</v>
      </c>
      <c r="W107" s="386">
        <f t="shared" si="25"/>
        <v>6480000</v>
      </c>
      <c r="X107" s="1080">
        <f t="shared" si="23"/>
        <v>3.6</v>
      </c>
      <c r="Y107" s="1116">
        <v>1800000</v>
      </c>
      <c r="Z107" s="1117">
        <f t="shared" si="24"/>
        <v>6480000</v>
      </c>
      <c r="AA107" s="593">
        <f t="shared" si="21"/>
        <v>85</v>
      </c>
      <c r="AB107" s="511">
        <f>IFERROR(INDEX('[17]CN BC'!$M$10:$M$276,MATCH(B107,'[17]CN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8" t="str">
        <f>VLOOKUP(B108,TH.T5!B108:F437,5,FALSE)</f>
        <v>Giảng viên khoa Du lịch - Khách sạn</v>
      </c>
      <c r="K108" s="384">
        <f t="shared" si="15"/>
        <v>3.91</v>
      </c>
      <c r="L108" s="377">
        <f t="shared" si="16"/>
        <v>7038000</v>
      </c>
      <c r="M108" s="381" t="str">
        <f>VLOOKUP(B108,'[24]Gui chi Quynh'!$B$11:$E$400,4,FALSE)</f>
        <v>A1</v>
      </c>
      <c r="N108" s="512">
        <f t="shared" si="17"/>
        <v>11260800</v>
      </c>
      <c r="O108" s="381">
        <v>20</v>
      </c>
      <c r="P108" s="458">
        <f>IFERROR(INDEX('[17]CN BC'!$J$10:$J$276,MATCH(B108,'[17]CN BC'!$H$10:$H$276,0)),"")</f>
        <v>20</v>
      </c>
      <c r="Q108" s="512">
        <f t="shared" si="18"/>
        <v>11260800</v>
      </c>
      <c r="R108" s="478"/>
      <c r="S108" s="377">
        <f t="shared" si="22"/>
        <v>0</v>
      </c>
      <c r="T108" s="385"/>
      <c r="U108" s="377">
        <f t="shared" si="19"/>
        <v>0</v>
      </c>
      <c r="V108" s="612">
        <f t="shared" si="20"/>
        <v>70380</v>
      </c>
      <c r="W108" s="386">
        <f t="shared" si="25"/>
        <v>11260800</v>
      </c>
      <c r="X108" s="1080">
        <f t="shared" si="23"/>
        <v>6.2560000000000002</v>
      </c>
      <c r="Y108" s="1116">
        <v>1800000</v>
      </c>
      <c r="Z108" s="1117">
        <f t="shared" si="24"/>
        <v>11260800</v>
      </c>
      <c r="AA108" s="593">
        <f t="shared" si="21"/>
        <v>86</v>
      </c>
      <c r="AB108" s="511">
        <f>IFERROR(INDEX('[17]CN BC'!$M$10:$M$276,MATCH(B108,'[17]CN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8" t="str">
        <f>VLOOKUP(B109,TH.T5!B109:F438,5,FALSE)</f>
        <v>Giảng viên khoa Kinh tế</v>
      </c>
      <c r="K109" s="384">
        <f t="shared" si="15"/>
        <v>3</v>
      </c>
      <c r="L109" s="377">
        <f t="shared" si="16"/>
        <v>5400000</v>
      </c>
      <c r="M109" s="381" t="str">
        <f>VLOOKUP(B109,'[24]Gui chi Quynh'!$B$11:$E$400,4,FALSE)</f>
        <v>A1</v>
      </c>
      <c r="N109" s="512">
        <f t="shared" si="17"/>
        <v>8640000</v>
      </c>
      <c r="O109" s="381">
        <v>20</v>
      </c>
      <c r="P109" s="458">
        <f>IFERROR(INDEX('[17]CN BC'!$J$10:$J$276,MATCH(B109,'[17]CN BC'!$H$10:$H$276,0)),"")</f>
        <v>24</v>
      </c>
      <c r="Q109" s="512">
        <f t="shared" si="18"/>
        <v>8640000</v>
      </c>
      <c r="R109" s="478"/>
      <c r="S109" s="377">
        <f t="shared" si="22"/>
        <v>0</v>
      </c>
      <c r="T109" s="385"/>
      <c r="U109" s="377">
        <f t="shared" si="19"/>
        <v>0</v>
      </c>
      <c r="V109" s="612">
        <f t="shared" si="20"/>
        <v>54000</v>
      </c>
      <c r="W109" s="386">
        <f t="shared" si="25"/>
        <v>8640000</v>
      </c>
      <c r="X109" s="1080">
        <f t="shared" si="23"/>
        <v>4.8</v>
      </c>
      <c r="Y109" s="1116">
        <v>1800000</v>
      </c>
      <c r="Z109" s="1117">
        <f t="shared" si="24"/>
        <v>8640000</v>
      </c>
      <c r="AA109" s="593">
        <f t="shared" si="21"/>
        <v>87</v>
      </c>
      <c r="AB109" s="511" t="str">
        <f>IFERROR(INDEX('[17]CN BC'!$M$10:$M$276,MATCH(B109,'[17]CN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8" t="str">
        <f>VLOOKUP(B110,TH.T5!B110:F439,5,FALSE)</f>
        <v>Trưởng khoa Du lịch - Khách sạn</v>
      </c>
      <c r="K110" s="384">
        <f t="shared" si="15"/>
        <v>3.12</v>
      </c>
      <c r="L110" s="377">
        <f t="shared" si="16"/>
        <v>5616000</v>
      </c>
      <c r="M110" s="381" t="str">
        <f>VLOOKUP(B110,'[24]Gui chi Quynh'!$B$11:$E$400,4,FALSE)</f>
        <v>A1</v>
      </c>
      <c r="N110" s="512">
        <f t="shared" si="17"/>
        <v>8985600</v>
      </c>
      <c r="O110" s="381">
        <v>20</v>
      </c>
      <c r="P110" s="458">
        <f>IFERROR(INDEX('[17]CN BC'!$J$10:$J$276,MATCH(B110,'[17]CN BC'!$H$10:$H$276,0)),"")</f>
        <v>20</v>
      </c>
      <c r="Q110" s="512">
        <f t="shared" si="18"/>
        <v>8985600</v>
      </c>
      <c r="R110" s="478"/>
      <c r="S110" s="377">
        <f t="shared" si="22"/>
        <v>0</v>
      </c>
      <c r="T110" s="385"/>
      <c r="U110" s="377">
        <f t="shared" si="19"/>
        <v>0</v>
      </c>
      <c r="V110" s="612">
        <f t="shared" si="20"/>
        <v>56160</v>
      </c>
      <c r="W110" s="386">
        <f t="shared" si="25"/>
        <v>8985600</v>
      </c>
      <c r="X110" s="1080">
        <f t="shared" si="23"/>
        <v>4.992</v>
      </c>
      <c r="Y110" s="1116">
        <v>1800000</v>
      </c>
      <c r="Z110" s="1117">
        <f t="shared" si="24"/>
        <v>8985600</v>
      </c>
      <c r="AA110" s="593">
        <f t="shared" si="21"/>
        <v>88</v>
      </c>
      <c r="AB110" s="511">
        <f>IFERROR(INDEX('[17]CN BC'!$M$10:$M$276,MATCH(B110,'[17]CN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8" t="str">
        <f>VLOOKUP(B111,TH.T5!B111:F440,5,FALSE)</f>
        <v>Giảng viên khoa Du lịch - Khách sạn</v>
      </c>
      <c r="K111" s="552">
        <f t="shared" si="15"/>
        <v>2.34</v>
      </c>
      <c r="L111" s="553">
        <f t="shared" si="16"/>
        <v>4212000</v>
      </c>
      <c r="M111" s="381" t="str">
        <f>VLOOKUP(B111,'[24]Gui chi Quynh'!$B$11:$E$400,4,FALSE)</f>
        <v>A DN</v>
      </c>
      <c r="N111" s="554">
        <f t="shared" si="17"/>
        <v>0</v>
      </c>
      <c r="O111" s="381">
        <v>20</v>
      </c>
      <c r="P111" s="458">
        <f>IFERROR(INDEX('[17]CN BC'!$J$10:$J$276,MATCH(B111,'[17]CN BC'!$H$10:$H$276,0)),"")</f>
        <v>0</v>
      </c>
      <c r="Q111" s="554">
        <f t="shared" si="18"/>
        <v>0</v>
      </c>
      <c r="R111" s="556"/>
      <c r="S111" s="553">
        <f t="shared" si="22"/>
        <v>0</v>
      </c>
      <c r="T111" s="557"/>
      <c r="U111" s="553">
        <f t="shared" si="19"/>
        <v>0</v>
      </c>
      <c r="V111" s="553" t="str">
        <f t="shared" si="20"/>
        <v>0</v>
      </c>
      <c r="W111" s="572">
        <f t="shared" si="25"/>
        <v>0</v>
      </c>
      <c r="X111" s="1080">
        <f t="shared" si="23"/>
        <v>0</v>
      </c>
      <c r="Y111" s="1116">
        <v>1800000</v>
      </c>
      <c r="Z111" s="1117">
        <f t="shared" si="24"/>
        <v>0</v>
      </c>
      <c r="AA111" s="593">
        <f t="shared" si="21"/>
        <v>89</v>
      </c>
      <c r="AB111" s="511" t="str">
        <f>IFERROR(INDEX('[17]CN BC'!$M$10:$M$276,MATCH(B111,'[17]CN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8" t="str">
        <f>VLOOKUP(B112,TH.T5!B112:F441,5,FALSE)</f>
        <v>Giảng viên khoa Kinh tế</v>
      </c>
      <c r="K112" s="384">
        <f t="shared" si="15"/>
        <v>2.34</v>
      </c>
      <c r="L112" s="377">
        <f t="shared" si="16"/>
        <v>4212000</v>
      </c>
      <c r="M112" s="381" t="str">
        <f>VLOOKUP(B112,'[24]Gui chi Quynh'!$B$11:$E$400,4,FALSE)</f>
        <v>A2</v>
      </c>
      <c r="N112" s="512">
        <f t="shared" si="17"/>
        <v>5896800</v>
      </c>
      <c r="O112" s="381">
        <v>20</v>
      </c>
      <c r="P112" s="458">
        <f>IFERROR(INDEX('[17]CN BC'!$J$10:$J$276,MATCH(B112,'[17]CN BC'!$H$10:$H$276,0)),"")</f>
        <v>20</v>
      </c>
      <c r="Q112" s="512">
        <f t="shared" si="18"/>
        <v>5896800</v>
      </c>
      <c r="R112" s="478"/>
      <c r="S112" s="377">
        <f>R112*$G$19*1.4</f>
        <v>0</v>
      </c>
      <c r="T112" s="385"/>
      <c r="U112" s="377">
        <f t="shared" si="19"/>
        <v>0</v>
      </c>
      <c r="V112" s="612">
        <f t="shared" si="20"/>
        <v>42120</v>
      </c>
      <c r="W112" s="386">
        <f t="shared" si="25"/>
        <v>5896800</v>
      </c>
      <c r="X112" s="1080">
        <f t="shared" si="23"/>
        <v>3.2759999999999998</v>
      </c>
      <c r="Y112" s="1116">
        <v>1800000</v>
      </c>
      <c r="Z112" s="1117">
        <f t="shared" si="24"/>
        <v>5896800</v>
      </c>
      <c r="AA112" s="593">
        <f t="shared" si="21"/>
        <v>90</v>
      </c>
      <c r="AB112" s="511">
        <f>IFERROR(INDEX('[17]CN BC'!$M$10:$M$276,MATCH(B112,'[17]CN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8" t="str">
        <f>VLOOKUP(B113,TH.T5!B113:F442,5,FALSE)</f>
        <v>Giảng viên khoa Du lịch - Khách sạn</v>
      </c>
      <c r="K113" s="384">
        <f t="shared" si="15"/>
        <v>3.33</v>
      </c>
      <c r="L113" s="377">
        <f t="shared" si="16"/>
        <v>5994000</v>
      </c>
      <c r="M113" s="381" t="str">
        <f>VLOOKUP(B113,'[24]Gui chi Quynh'!$B$11:$E$400,4,FALSE)</f>
        <v>A2</v>
      </c>
      <c r="N113" s="512">
        <f t="shared" si="17"/>
        <v>8391600</v>
      </c>
      <c r="O113" s="381">
        <v>20</v>
      </c>
      <c r="P113" s="458">
        <f>IFERROR(INDEX('[17]CN BC'!$J$10:$J$276,MATCH(B113,'[17]CN BC'!$H$10:$H$276,0)),"")</f>
        <v>20</v>
      </c>
      <c r="Q113" s="512">
        <f t="shared" si="18"/>
        <v>8391600</v>
      </c>
      <c r="R113" s="478"/>
      <c r="S113" s="377">
        <f t="shared" si="22"/>
        <v>0</v>
      </c>
      <c r="T113" s="385"/>
      <c r="U113" s="377">
        <f t="shared" si="19"/>
        <v>0</v>
      </c>
      <c r="V113" s="612">
        <f t="shared" si="20"/>
        <v>59940</v>
      </c>
      <c r="W113" s="386">
        <f t="shared" si="25"/>
        <v>8391600</v>
      </c>
      <c r="X113" s="1080">
        <f t="shared" si="23"/>
        <v>4.6619999999999999</v>
      </c>
      <c r="Y113" s="1116">
        <v>1800000</v>
      </c>
      <c r="Z113" s="1117">
        <f t="shared" si="24"/>
        <v>8391600</v>
      </c>
      <c r="AA113" s="593">
        <f t="shared" si="21"/>
        <v>91</v>
      </c>
      <c r="AB113" s="511">
        <f>IFERROR(INDEX('[17]CN BC'!$M$10:$M$276,MATCH(B113,'[17]CN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8" t="str">
        <f>VLOOKUP(B114,TH.T5!B114:F443,5,FALSE)</f>
        <v>Giảng viên khoa Kinh tế</v>
      </c>
      <c r="K114" s="384">
        <f t="shared" si="15"/>
        <v>3.66</v>
      </c>
      <c r="L114" s="377">
        <f t="shared" si="16"/>
        <v>6588000</v>
      </c>
      <c r="M114" s="381" t="str">
        <f>VLOOKUP(B114,'[24]Gui chi Quynh'!$B$11:$E$400,4,FALSE)</f>
        <v>A3</v>
      </c>
      <c r="N114" s="512">
        <f t="shared" si="17"/>
        <v>7905600</v>
      </c>
      <c r="O114" s="381">
        <v>20</v>
      </c>
      <c r="P114" s="458">
        <f>IFERROR(INDEX('[17]CN BC'!$J$10:$J$276,MATCH(B114,'[17]CN BC'!$H$10:$H$276,0)),"")</f>
        <v>20</v>
      </c>
      <c r="Q114" s="512">
        <f t="shared" si="18"/>
        <v>7905600</v>
      </c>
      <c r="R114" s="478"/>
      <c r="S114" s="377">
        <f t="shared" si="22"/>
        <v>0</v>
      </c>
      <c r="T114" s="385"/>
      <c r="U114" s="377">
        <f t="shared" si="19"/>
        <v>0</v>
      </c>
      <c r="V114" s="612">
        <f t="shared" si="20"/>
        <v>65880</v>
      </c>
      <c r="W114" s="386">
        <f t="shared" si="25"/>
        <v>7905600</v>
      </c>
      <c r="X114" s="1080">
        <f t="shared" si="23"/>
        <v>4.3920000000000003</v>
      </c>
      <c r="Y114" s="1116">
        <v>1800000</v>
      </c>
      <c r="Z114" s="1117">
        <f t="shared" si="24"/>
        <v>7905600.0000000009</v>
      </c>
      <c r="AA114" s="593">
        <f t="shared" si="21"/>
        <v>92</v>
      </c>
      <c r="AB114" s="511">
        <f>IFERROR(INDEX('[17]CN BC'!$M$10:$M$276,MATCH(B114,'[17]CN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8" t="str">
        <f>VLOOKUP(B115,TH.T5!B115:F444,5,FALSE)</f>
        <v>Giảng viên khoa Kinh tế</v>
      </c>
      <c r="K115" s="384">
        <f t="shared" si="15"/>
        <v>3</v>
      </c>
      <c r="L115" s="377">
        <f t="shared" si="16"/>
        <v>5400000</v>
      </c>
      <c r="M115" s="381" t="str">
        <f>VLOOKUP(B115,'[24]Gui chi Quynh'!$B$11:$E$400,4,FALSE)</f>
        <v>A2</v>
      </c>
      <c r="N115" s="512">
        <f t="shared" si="17"/>
        <v>7559999.9999999991</v>
      </c>
      <c r="O115" s="381">
        <v>20</v>
      </c>
      <c r="P115" s="458">
        <f>IFERROR(INDEX('[17]CN BC'!$J$10:$J$276,MATCH(B115,'[17]CN BC'!$H$10:$H$276,0)),"")</f>
        <v>20</v>
      </c>
      <c r="Q115" s="512">
        <f t="shared" si="18"/>
        <v>7559999.9999999991</v>
      </c>
      <c r="R115" s="478"/>
      <c r="S115" s="377">
        <f t="shared" si="22"/>
        <v>0</v>
      </c>
      <c r="T115" s="385"/>
      <c r="U115" s="377">
        <f t="shared" si="19"/>
        <v>0</v>
      </c>
      <c r="V115" s="612">
        <f t="shared" si="20"/>
        <v>54000</v>
      </c>
      <c r="W115" s="386">
        <f t="shared" si="25"/>
        <v>7559999.9999999991</v>
      </c>
      <c r="X115" s="1080">
        <f t="shared" si="23"/>
        <v>4.1999999999999993</v>
      </c>
      <c r="Y115" s="1116">
        <v>1800000</v>
      </c>
      <c r="Z115" s="1117">
        <f t="shared" si="24"/>
        <v>7559999.9999999991</v>
      </c>
      <c r="AA115" s="593">
        <f t="shared" si="21"/>
        <v>93</v>
      </c>
      <c r="AB115" s="511">
        <f>IFERROR(INDEX('[17]CN BC'!$M$10:$M$276,MATCH(B115,'[17]CN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8" t="str">
        <f>VLOOKUP(B116,TH.T5!B116:F445,5,FALSE)</f>
        <v>Giảng viên khoa Kinh tế</v>
      </c>
      <c r="K116" s="384">
        <f t="shared" si="15"/>
        <v>3.66</v>
      </c>
      <c r="L116" s="377">
        <f t="shared" si="16"/>
        <v>6588000</v>
      </c>
      <c r="M116" s="381" t="str">
        <f>VLOOKUP(B116,'[24]Gui chi Quynh'!$B$11:$E$400,4,FALSE)</f>
        <v>A3</v>
      </c>
      <c r="N116" s="512">
        <f t="shared" si="17"/>
        <v>7905600</v>
      </c>
      <c r="O116" s="381">
        <v>20</v>
      </c>
      <c r="P116" s="458">
        <f>IFERROR(INDEX('[17]CN BC'!$J$10:$J$276,MATCH(B116,'[17]CN BC'!$H$10:$H$276,0)),"")</f>
        <v>20</v>
      </c>
      <c r="Q116" s="512">
        <f t="shared" si="18"/>
        <v>7905600</v>
      </c>
      <c r="R116" s="478"/>
      <c r="S116" s="377">
        <f t="shared" si="22"/>
        <v>0</v>
      </c>
      <c r="T116" s="385"/>
      <c r="U116" s="377">
        <f t="shared" si="19"/>
        <v>0</v>
      </c>
      <c r="V116" s="612">
        <f t="shared" si="20"/>
        <v>65880</v>
      </c>
      <c r="W116" s="386">
        <f t="shared" si="25"/>
        <v>7905600</v>
      </c>
      <c r="X116" s="1080">
        <f t="shared" si="23"/>
        <v>4.3920000000000003</v>
      </c>
      <c r="Y116" s="1116">
        <v>1800000</v>
      </c>
      <c r="Z116" s="1117">
        <f t="shared" si="24"/>
        <v>7905600.0000000009</v>
      </c>
      <c r="AA116" s="593">
        <f t="shared" si="21"/>
        <v>94</v>
      </c>
      <c r="AB116" s="511">
        <f>IFERROR(INDEX('[17]CN BC'!$M$10:$M$276,MATCH(B116,'[17]CN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8" t="str">
        <f>VLOOKUP(B117,TH.T5!B117:F446,5,FALSE)</f>
        <v>Giảng viên khoa May - Thời trang</v>
      </c>
      <c r="K117" s="384">
        <f t="shared" si="15"/>
        <v>3.66</v>
      </c>
      <c r="L117" s="377">
        <f>K117*$G$19</f>
        <v>6588000</v>
      </c>
      <c r="M117" s="381" t="str">
        <f>VLOOKUP(B117,'[24]Gui chi Quynh'!$B$11:$E$400,4,FALSE)</f>
        <v>A3</v>
      </c>
      <c r="N117" s="512">
        <f t="shared" si="17"/>
        <v>7905600</v>
      </c>
      <c r="O117" s="381">
        <v>20</v>
      </c>
      <c r="P117" s="458">
        <f>IFERROR(INDEX('[17]CN BC'!$J$10:$J$276,MATCH(B117,'[17]CN BC'!$H$10:$H$276,0)),"")</f>
        <v>20</v>
      </c>
      <c r="Q117" s="512">
        <f t="shared" si="18"/>
        <v>7905600</v>
      </c>
      <c r="R117" s="478"/>
      <c r="S117" s="377">
        <f t="shared" si="22"/>
        <v>0</v>
      </c>
      <c r="T117" s="385"/>
      <c r="U117" s="377">
        <f t="shared" si="19"/>
        <v>0</v>
      </c>
      <c r="V117" s="612">
        <f t="shared" si="20"/>
        <v>65880</v>
      </c>
      <c r="W117" s="386">
        <f t="shared" si="25"/>
        <v>7905600</v>
      </c>
      <c r="X117" s="1080">
        <f t="shared" si="23"/>
        <v>4.3920000000000003</v>
      </c>
      <c r="Y117" s="1116">
        <v>1800000</v>
      </c>
      <c r="Z117" s="1117">
        <f t="shared" si="24"/>
        <v>7905600.0000000009</v>
      </c>
      <c r="AA117" s="593">
        <f t="shared" si="21"/>
        <v>95</v>
      </c>
      <c r="AB117" s="511">
        <f>IFERROR(INDEX('[17]CN BC'!$M$10:$M$276,MATCH(B117,'[17]CN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8" t="str">
        <f>VLOOKUP(B118,TH.T5!B118:F447,5,FALSE)</f>
        <v>Giảng viên khoa May - Thời trang</v>
      </c>
      <c r="K118" s="384">
        <f t="shared" si="15"/>
        <v>3.66</v>
      </c>
      <c r="L118" s="377">
        <f>K118*$G$19</f>
        <v>6588000</v>
      </c>
      <c r="M118" s="381" t="str">
        <f>VLOOKUP(B118,'[24]Gui chi Quynh'!$B$11:$E$400,4,FALSE)</f>
        <v>A3</v>
      </c>
      <c r="N118" s="512">
        <f t="shared" si="17"/>
        <v>7905600</v>
      </c>
      <c r="O118" s="381">
        <v>20</v>
      </c>
      <c r="P118" s="458">
        <f>IFERROR(INDEX('[17]CN BC'!$J$10:$J$276,MATCH(B118,'[17]CN BC'!$H$10:$H$276,0)),"")</f>
        <v>20</v>
      </c>
      <c r="Q118" s="512">
        <f t="shared" si="18"/>
        <v>7905600</v>
      </c>
      <c r="R118" s="408"/>
      <c r="S118" s="377">
        <f t="shared" si="22"/>
        <v>0</v>
      </c>
      <c r="T118" s="79"/>
      <c r="U118" s="377">
        <f t="shared" si="19"/>
        <v>0</v>
      </c>
      <c r="V118" s="612">
        <f t="shared" si="20"/>
        <v>65880</v>
      </c>
      <c r="W118" s="386">
        <f t="shared" si="25"/>
        <v>7905600</v>
      </c>
      <c r="X118" s="1080">
        <f t="shared" si="23"/>
        <v>4.3920000000000003</v>
      </c>
      <c r="Y118" s="1116">
        <v>1800000</v>
      </c>
      <c r="Z118" s="1117">
        <f t="shared" si="24"/>
        <v>7905600.0000000009</v>
      </c>
      <c r="AA118" s="593">
        <f t="shared" si="21"/>
        <v>96</v>
      </c>
      <c r="AB118" s="511">
        <f>IFERROR(INDEX('[17]CN BC'!$M$10:$M$276,MATCH(B118,'[17]CN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8" t="str">
        <f>VLOOKUP(B119,TH.T5!B119:F448,5,FALSE)</f>
        <v>Phó Trưởng khoa May - Thời trang</v>
      </c>
      <c r="K119" s="384">
        <f t="shared" si="15"/>
        <v>3.7800000000000002</v>
      </c>
      <c r="L119" s="377">
        <f>K119*$G$19</f>
        <v>6804000</v>
      </c>
      <c r="M119" s="381" t="str">
        <f>VLOOKUP(B119,'[24]Gui chi Quynh'!$B$11:$E$400,4,FALSE)</f>
        <v>A2</v>
      </c>
      <c r="N119" s="512">
        <f t="shared" si="17"/>
        <v>9525600</v>
      </c>
      <c r="O119" s="381">
        <v>20</v>
      </c>
      <c r="P119" s="458">
        <f>IFERROR(INDEX('[17]CN BC'!$J$10:$J$276,MATCH(B119,'[17]CN BC'!$H$10:$H$276,0)),"")</f>
        <v>20</v>
      </c>
      <c r="Q119" s="512">
        <f t="shared" si="18"/>
        <v>9525600</v>
      </c>
      <c r="R119" s="408"/>
      <c r="S119" s="377">
        <f t="shared" si="22"/>
        <v>0</v>
      </c>
      <c r="T119" s="385"/>
      <c r="U119" s="377">
        <f t="shared" si="19"/>
        <v>0</v>
      </c>
      <c r="V119" s="612">
        <f t="shared" si="20"/>
        <v>68040</v>
      </c>
      <c r="W119" s="386">
        <f t="shared" si="25"/>
        <v>9525600</v>
      </c>
      <c r="X119" s="1080">
        <f t="shared" si="23"/>
        <v>5.2919999999999998</v>
      </c>
      <c r="Y119" s="1116">
        <v>1800000</v>
      </c>
      <c r="Z119" s="1117">
        <f t="shared" si="24"/>
        <v>9525600</v>
      </c>
      <c r="AA119" s="593">
        <f t="shared" si="21"/>
        <v>97</v>
      </c>
      <c r="AB119" s="511">
        <f>IFERROR(INDEX('[17]CN BC'!$M$10:$M$276,MATCH(B119,'[17]CN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8" t="str">
        <f>VLOOKUP(B120,TH.T5!B120:F449,5,FALSE)</f>
        <v>Giảng viên khoa May - Thời trang</v>
      </c>
      <c r="K120" s="384">
        <f>H120+I120</f>
        <v>3.33</v>
      </c>
      <c r="L120" s="377">
        <f>K120*$G$19</f>
        <v>5994000</v>
      </c>
      <c r="M120" s="381" t="str">
        <f>VLOOKUP(B120,'[24]Gui chi Quynh'!$B$11:$E$400,4,FALSE)</f>
        <v>A3</v>
      </c>
      <c r="N120" s="512">
        <f t="shared" si="17"/>
        <v>7192800</v>
      </c>
      <c r="O120" s="381">
        <v>20</v>
      </c>
      <c r="P120" s="458">
        <f>IFERROR(INDEX('[17]CN BC'!$J$10:$J$276,MATCH(B120,'[17]CN BC'!$H$10:$H$276,0)),"")</f>
        <v>20</v>
      </c>
      <c r="Q120" s="512">
        <f t="shared" si="18"/>
        <v>7192800</v>
      </c>
      <c r="R120" s="478"/>
      <c r="S120" s="377">
        <f t="shared" si="22"/>
        <v>0</v>
      </c>
      <c r="T120" s="385"/>
      <c r="U120" s="377">
        <f t="shared" si="19"/>
        <v>0</v>
      </c>
      <c r="V120" s="612">
        <f t="shared" si="20"/>
        <v>59940</v>
      </c>
      <c r="W120" s="386">
        <f t="shared" si="25"/>
        <v>7192800</v>
      </c>
      <c r="X120" s="1080">
        <f t="shared" si="23"/>
        <v>3.996</v>
      </c>
      <c r="Y120" s="1116">
        <v>1800000</v>
      </c>
      <c r="Z120" s="1117">
        <f t="shared" si="24"/>
        <v>7192800</v>
      </c>
      <c r="AA120" s="593">
        <f t="shared" si="21"/>
        <v>98</v>
      </c>
      <c r="AB120" s="511">
        <f>IFERROR(INDEX('[17]CN BC'!$M$10:$M$276,MATCH(B120,'[17]CN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8" t="str">
        <f>VLOOKUP(B121,TH.T5!B121:F450,5,FALSE)</f>
        <v>Giảng viên khoa May - Thời trang</v>
      </c>
      <c r="K121" s="384">
        <f t="shared" ref="K121:K184" si="27">H121+I121</f>
        <v>3.33</v>
      </c>
      <c r="L121" s="377">
        <f t="shared" ref="L121:L184" si="28">K121*$G$19</f>
        <v>5994000</v>
      </c>
      <c r="M121" s="381" t="str">
        <f>VLOOKUP(B121,'[24]Gui chi Quynh'!$B$11:$E$400,4,FALSE)</f>
        <v>A3</v>
      </c>
      <c r="N121" s="512">
        <f t="shared" si="17"/>
        <v>7192800</v>
      </c>
      <c r="O121" s="381">
        <v>20</v>
      </c>
      <c r="P121" s="458">
        <f>IFERROR(INDEX('[17]CN BC'!$J$10:$J$276,MATCH(B121,'[17]CN BC'!$H$10:$H$276,0)),"")</f>
        <v>20</v>
      </c>
      <c r="Q121" s="512">
        <f t="shared" si="18"/>
        <v>7192800</v>
      </c>
      <c r="R121" s="408"/>
      <c r="S121" s="377">
        <f t="shared" si="22"/>
        <v>0</v>
      </c>
      <c r="T121" s="385"/>
      <c r="U121" s="377">
        <f t="shared" si="19"/>
        <v>0</v>
      </c>
      <c r="V121" s="612">
        <f t="shared" si="20"/>
        <v>59940</v>
      </c>
      <c r="W121" s="386">
        <f t="shared" si="25"/>
        <v>7192800</v>
      </c>
      <c r="X121" s="1080">
        <f t="shared" si="23"/>
        <v>3.996</v>
      </c>
      <c r="Y121" s="1116">
        <v>1800000</v>
      </c>
      <c r="Z121" s="1117">
        <f t="shared" si="24"/>
        <v>7192800</v>
      </c>
      <c r="AA121" s="593">
        <f t="shared" si="21"/>
        <v>99</v>
      </c>
      <c r="AB121" s="511">
        <f>IFERROR(INDEX('[17]CN BC'!$M$10:$M$276,MATCH(B121,'[17]CN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8" t="str">
        <f>VLOOKUP(B122,TH.T5!B122:F451,5,FALSE)</f>
        <v>Giảng viên khoa May - Thời trang</v>
      </c>
      <c r="K122" s="384">
        <f t="shared" si="27"/>
        <v>3.33</v>
      </c>
      <c r="L122" s="377">
        <f t="shared" si="28"/>
        <v>5994000</v>
      </c>
      <c r="M122" s="381" t="str">
        <f>VLOOKUP(B122,'[24]Gui chi Quynh'!$B$11:$E$400,4,FALSE)</f>
        <v>A3</v>
      </c>
      <c r="N122" s="512">
        <f t="shared" si="17"/>
        <v>7192800</v>
      </c>
      <c r="O122" s="381">
        <v>20</v>
      </c>
      <c r="P122" s="458">
        <f>IFERROR(INDEX('[17]CN BC'!$J$10:$J$276,MATCH(B122,'[17]CN BC'!$H$10:$H$276,0)),"")</f>
        <v>20</v>
      </c>
      <c r="Q122" s="512">
        <f t="shared" si="18"/>
        <v>7192800</v>
      </c>
      <c r="R122" s="408"/>
      <c r="S122" s="377">
        <f t="shared" si="22"/>
        <v>0</v>
      </c>
      <c r="T122" s="401"/>
      <c r="U122" s="377">
        <f t="shared" si="19"/>
        <v>0</v>
      </c>
      <c r="V122" s="612">
        <f t="shared" si="20"/>
        <v>59940</v>
      </c>
      <c r="W122" s="386">
        <f t="shared" si="25"/>
        <v>7192800</v>
      </c>
      <c r="X122" s="1080">
        <f t="shared" si="23"/>
        <v>3.996</v>
      </c>
      <c r="Y122" s="1116">
        <v>1800000</v>
      </c>
      <c r="Z122" s="1117">
        <f t="shared" si="24"/>
        <v>7192800</v>
      </c>
      <c r="AA122" s="593">
        <f t="shared" si="21"/>
        <v>100</v>
      </c>
      <c r="AB122" s="511">
        <f>IFERROR(INDEX('[17]CN BC'!$M$10:$M$276,MATCH(B122,'[17]CN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8" t="str">
        <f>VLOOKUP(B123,TH.T5!B123:F452,5,FALSE)</f>
        <v>Giảng viên khoa Du lịch - Khách sạn</v>
      </c>
      <c r="K123" s="384">
        <f t="shared" si="27"/>
        <v>5.4790000000000001</v>
      </c>
      <c r="L123" s="377">
        <f t="shared" si="28"/>
        <v>9862200</v>
      </c>
      <c r="M123" s="381" t="str">
        <f>VLOOKUP(B123,'[24]Gui chi Quynh'!$B$11:$E$400,4,FALSE)</f>
        <v>A2</v>
      </c>
      <c r="N123" s="512">
        <f t="shared" si="17"/>
        <v>13807080</v>
      </c>
      <c r="O123" s="381">
        <v>20</v>
      </c>
      <c r="P123" s="458">
        <f>IFERROR(INDEX('[17]CN BC'!$J$10:$J$276,MATCH(B123,'[17]CN BC'!$H$10:$H$276,0)),"")</f>
        <v>20</v>
      </c>
      <c r="Q123" s="512">
        <f t="shared" si="18"/>
        <v>13807080</v>
      </c>
      <c r="R123" s="408"/>
      <c r="S123" s="377">
        <f t="shared" si="22"/>
        <v>0</v>
      </c>
      <c r="T123" s="401"/>
      <c r="U123" s="377">
        <f t="shared" si="19"/>
        <v>0</v>
      </c>
      <c r="V123" s="612">
        <f t="shared" si="20"/>
        <v>98622</v>
      </c>
      <c r="W123" s="386">
        <f t="shared" si="25"/>
        <v>13807080</v>
      </c>
      <c r="X123" s="1080">
        <f t="shared" si="23"/>
        <v>7.6706000000000003</v>
      </c>
      <c r="Y123" s="1116">
        <v>1800000</v>
      </c>
      <c r="Z123" s="1117">
        <f t="shared" si="24"/>
        <v>13807080</v>
      </c>
      <c r="AA123" s="593">
        <f t="shared" si="21"/>
        <v>101</v>
      </c>
      <c r="AB123" s="511">
        <f>IFERROR(INDEX('[17]CN BC'!$M$10:$M$276,MATCH(B123,'[17]CN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8" t="str">
        <f>VLOOKUP(B124,TH.T5!B124:F453,5,FALSE)</f>
        <v>Giảng viên khoa May - Thời trang</v>
      </c>
      <c r="K124" s="384">
        <f t="shared" si="27"/>
        <v>3.33</v>
      </c>
      <c r="L124" s="377">
        <f t="shared" si="28"/>
        <v>5994000</v>
      </c>
      <c r="M124" s="381" t="str">
        <f>VLOOKUP(B124,'[24]Gui chi Quynh'!$B$11:$E$400,4,FALSE)</f>
        <v>A3</v>
      </c>
      <c r="N124" s="512">
        <f t="shared" si="17"/>
        <v>7192800</v>
      </c>
      <c r="O124" s="381">
        <v>20</v>
      </c>
      <c r="P124" s="458">
        <f>IFERROR(INDEX('[17]CN BC'!$J$10:$J$276,MATCH(B124,'[17]CN BC'!$H$10:$H$276,0)),"")</f>
        <v>20</v>
      </c>
      <c r="Q124" s="512">
        <f t="shared" si="18"/>
        <v>7192800</v>
      </c>
      <c r="R124" s="408"/>
      <c r="S124" s="377">
        <f t="shared" si="22"/>
        <v>0</v>
      </c>
      <c r="T124" s="79"/>
      <c r="U124" s="377">
        <f t="shared" si="19"/>
        <v>0</v>
      </c>
      <c r="V124" s="612">
        <f t="shared" si="20"/>
        <v>59940</v>
      </c>
      <c r="W124" s="386">
        <f t="shared" si="25"/>
        <v>7192800</v>
      </c>
      <c r="X124" s="1080">
        <f t="shared" si="23"/>
        <v>3.996</v>
      </c>
      <c r="Y124" s="1116">
        <v>1800000</v>
      </c>
      <c r="Z124" s="1117">
        <f t="shared" si="24"/>
        <v>7192800</v>
      </c>
      <c r="AA124" s="593">
        <f t="shared" si="21"/>
        <v>102</v>
      </c>
      <c r="AB124" s="511">
        <f>IFERROR(INDEX('[17]CN BC'!$M$10:$M$276,MATCH(B124,'[17]CN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8" t="str">
        <f>VLOOKUP(B125,TH.T5!B125:F454,5,FALSE)</f>
        <v>Giảng viên khoa May - Thời trang</v>
      </c>
      <c r="K125" s="384">
        <f t="shared" si="27"/>
        <v>3</v>
      </c>
      <c r="L125" s="377">
        <f t="shared" si="28"/>
        <v>5400000</v>
      </c>
      <c r="M125" s="381" t="str">
        <f>VLOOKUP(B125,'[24]Gui chi Quynh'!$B$11:$E$400,4,FALSE)</f>
        <v>A3</v>
      </c>
      <c r="N125" s="512">
        <f t="shared" si="17"/>
        <v>6480000</v>
      </c>
      <c r="O125" s="381">
        <v>20</v>
      </c>
      <c r="P125" s="458">
        <f>IFERROR(INDEX('[17]CN BC'!$J$10:$J$276,MATCH(B125,'[17]CN BC'!$H$10:$H$276,0)),"")</f>
        <v>20</v>
      </c>
      <c r="Q125" s="512">
        <f t="shared" si="18"/>
        <v>6480000</v>
      </c>
      <c r="R125" s="408"/>
      <c r="S125" s="377">
        <f t="shared" si="22"/>
        <v>0</v>
      </c>
      <c r="T125" s="385"/>
      <c r="U125" s="377">
        <f t="shared" si="19"/>
        <v>0</v>
      </c>
      <c r="V125" s="612">
        <f t="shared" si="20"/>
        <v>54000</v>
      </c>
      <c r="W125" s="386">
        <f t="shared" si="25"/>
        <v>6480000</v>
      </c>
      <c r="X125" s="1080">
        <f t="shared" si="23"/>
        <v>3.6</v>
      </c>
      <c r="Y125" s="1116">
        <v>1800000</v>
      </c>
      <c r="Z125" s="1117">
        <f t="shared" si="24"/>
        <v>6480000</v>
      </c>
      <c r="AA125" s="593">
        <f t="shared" si="21"/>
        <v>103</v>
      </c>
      <c r="AB125" s="511">
        <f>IFERROR(INDEX('[17]CN BC'!$M$10:$M$276,MATCH(B125,'[17]CN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8" t="str">
        <f>VLOOKUP(B126,TH.T5!B126:F455,5,FALSE)</f>
        <v>Trưởng khoa KHCB</v>
      </c>
      <c r="K126" s="384">
        <f t="shared" si="27"/>
        <v>5.4300000000000006</v>
      </c>
      <c r="L126" s="377">
        <f t="shared" si="28"/>
        <v>9774000.0000000019</v>
      </c>
      <c r="M126" s="381" t="str">
        <f>VLOOKUP(B126,'[24]Gui chi Quynh'!$B$11:$E$400,4,FALSE)</f>
        <v>A4</v>
      </c>
      <c r="N126" s="512">
        <f t="shared" si="17"/>
        <v>9774000.0000000019</v>
      </c>
      <c r="O126" s="381">
        <v>20</v>
      </c>
      <c r="P126" s="458">
        <f>IFERROR(INDEX('[17]CN BC'!$J$10:$J$276,MATCH(B126,'[17]CN BC'!$H$10:$H$276,0)),"")</f>
        <v>20</v>
      </c>
      <c r="Q126" s="512">
        <f t="shared" si="18"/>
        <v>9774000.0000000019</v>
      </c>
      <c r="R126" s="472"/>
      <c r="S126" s="377">
        <f t="shared" si="22"/>
        <v>0</v>
      </c>
      <c r="T126" s="79"/>
      <c r="U126" s="377">
        <f t="shared" si="19"/>
        <v>0</v>
      </c>
      <c r="V126" s="612">
        <f t="shared" si="20"/>
        <v>97740</v>
      </c>
      <c r="W126" s="386">
        <f t="shared" si="25"/>
        <v>9774000.0000000019</v>
      </c>
      <c r="X126" s="1080">
        <f t="shared" si="23"/>
        <v>5.4300000000000006</v>
      </c>
      <c r="Y126" s="1116">
        <v>1800000</v>
      </c>
      <c r="Z126" s="1117">
        <f t="shared" si="24"/>
        <v>9774000.0000000019</v>
      </c>
      <c r="AA126" s="593">
        <f t="shared" si="21"/>
        <v>104</v>
      </c>
      <c r="AB126" s="511">
        <f>IFERROR(INDEX('[17]CN BC'!$M$10:$M$276,MATCH(B126,'[17]CN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8" t="str">
        <f>VLOOKUP(B127,TH.T5!B127:F456,5,FALSE)</f>
        <v>Giảng viên Khoa KHCB</v>
      </c>
      <c r="K127" s="384">
        <f t="shared" si="27"/>
        <v>5.5786000000000007</v>
      </c>
      <c r="L127" s="377">
        <f t="shared" si="28"/>
        <v>10041480.000000002</v>
      </c>
      <c r="M127" s="381" t="str">
        <f>VLOOKUP(B127,'[24]Gui chi Quynh'!$B$11:$E$400,4,FALSE)</f>
        <v>A4</v>
      </c>
      <c r="N127" s="512">
        <f t="shared" si="17"/>
        <v>10041480.000000002</v>
      </c>
      <c r="O127" s="381">
        <v>20</v>
      </c>
      <c r="P127" s="458">
        <f>IFERROR(INDEX('[17]CN BC'!$J$10:$J$276,MATCH(B127,'[17]CN BC'!$H$10:$H$276,0)),"")</f>
        <v>20</v>
      </c>
      <c r="Q127" s="512">
        <f t="shared" si="18"/>
        <v>10041480.000000002</v>
      </c>
      <c r="R127" s="478"/>
      <c r="S127" s="377">
        <f t="shared" si="22"/>
        <v>0</v>
      </c>
      <c r="T127" s="385"/>
      <c r="U127" s="377">
        <f t="shared" si="19"/>
        <v>0</v>
      </c>
      <c r="V127" s="612">
        <f t="shared" si="20"/>
        <v>100415</v>
      </c>
      <c r="W127" s="386">
        <f t="shared" si="25"/>
        <v>10041480.000000002</v>
      </c>
      <c r="X127" s="1080">
        <f t="shared" si="23"/>
        <v>5.5786000000000007</v>
      </c>
      <c r="Y127" s="1116">
        <v>1800000</v>
      </c>
      <c r="Z127" s="1117">
        <f t="shared" si="24"/>
        <v>10041480.000000002</v>
      </c>
      <c r="AA127" s="593">
        <f t="shared" si="21"/>
        <v>105</v>
      </c>
      <c r="AB127" s="511">
        <f>IFERROR(INDEX('[17]CN BC'!$M$10:$M$276,MATCH(B127,'[17]CN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8" t="str">
        <f>VLOOKUP(B128,TH.T5!B128:F457,5,FALSE)</f>
        <v>Giảng viên Khoa KHCB</v>
      </c>
      <c r="K128" s="384">
        <f t="shared" si="27"/>
        <v>4.32</v>
      </c>
      <c r="L128" s="377">
        <f t="shared" si="28"/>
        <v>7776000.0000000009</v>
      </c>
      <c r="M128" s="381" t="str">
        <f>VLOOKUP(B128,'[24]Gui chi Quynh'!$B$11:$E$400,4,FALSE)</f>
        <v>A4</v>
      </c>
      <c r="N128" s="512">
        <f t="shared" si="17"/>
        <v>7776000.0000000009</v>
      </c>
      <c r="O128" s="381">
        <v>20</v>
      </c>
      <c r="P128" s="458">
        <f>IFERROR(INDEX('[17]CN BC'!$J$10:$J$276,MATCH(B128,'[17]CN BC'!$H$10:$H$276,0)),"")</f>
        <v>20</v>
      </c>
      <c r="Q128" s="512">
        <f t="shared" si="18"/>
        <v>7776000.0000000009</v>
      </c>
      <c r="R128" s="408"/>
      <c r="S128" s="377">
        <f t="shared" si="22"/>
        <v>0</v>
      </c>
      <c r="T128" s="401"/>
      <c r="U128" s="377">
        <f t="shared" si="19"/>
        <v>0</v>
      </c>
      <c r="V128" s="612">
        <f t="shared" si="20"/>
        <v>77760</v>
      </c>
      <c r="W128" s="386">
        <f t="shared" si="25"/>
        <v>7776000.0000000009</v>
      </c>
      <c r="X128" s="1080">
        <f t="shared" si="23"/>
        <v>4.32</v>
      </c>
      <c r="Y128" s="1116">
        <v>1800000</v>
      </c>
      <c r="Z128" s="1117">
        <f t="shared" si="24"/>
        <v>7776000.0000000009</v>
      </c>
      <c r="AA128" s="593">
        <f t="shared" si="21"/>
        <v>106</v>
      </c>
      <c r="AB128" s="511">
        <f>IFERROR(INDEX('[17]CN BC'!$M$10:$M$276,MATCH(B128,'[17]CN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8" t="str">
        <f>VLOOKUP(B129,TH.T5!B129:F458,5,FALSE)</f>
        <v>Giảng viên khoa KHCB</v>
      </c>
      <c r="K129" s="384">
        <f t="shared" si="27"/>
        <v>3.99</v>
      </c>
      <c r="L129" s="377">
        <f t="shared" si="28"/>
        <v>7182000</v>
      </c>
      <c r="M129" s="381" t="str">
        <f>VLOOKUP(B129,'[24]Gui chi Quynh'!$B$11:$E$400,4,FALSE)</f>
        <v>A4</v>
      </c>
      <c r="N129" s="512">
        <f t="shared" si="17"/>
        <v>7182000</v>
      </c>
      <c r="O129" s="381">
        <v>20</v>
      </c>
      <c r="P129" s="458">
        <f>IFERROR(INDEX('[17]CN BC'!$J$10:$J$276,MATCH(B129,'[17]CN BC'!$H$10:$H$276,0)),"")</f>
        <v>20</v>
      </c>
      <c r="Q129" s="512">
        <f t="shared" si="18"/>
        <v>7182000</v>
      </c>
      <c r="R129" s="408"/>
      <c r="S129" s="377">
        <f t="shared" si="22"/>
        <v>0</v>
      </c>
      <c r="T129" s="401"/>
      <c r="U129" s="377">
        <f t="shared" si="19"/>
        <v>0</v>
      </c>
      <c r="V129" s="612">
        <f t="shared" si="20"/>
        <v>71820</v>
      </c>
      <c r="W129" s="386">
        <f t="shared" si="25"/>
        <v>7182000</v>
      </c>
      <c r="X129" s="1080">
        <f t="shared" si="23"/>
        <v>3.99</v>
      </c>
      <c r="Y129" s="1116">
        <v>1800000</v>
      </c>
      <c r="Z129" s="1117">
        <f t="shared" si="24"/>
        <v>7182000</v>
      </c>
      <c r="AA129" s="593">
        <f t="shared" si="21"/>
        <v>107</v>
      </c>
      <c r="AB129" s="511">
        <f>IFERROR(INDEX('[17]CN BC'!$M$10:$M$276,MATCH(B129,'[17]CN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8" t="str">
        <f>VLOOKUP(B130,TH.T5!B130:F459,5,FALSE)</f>
        <v>Giảng viên khoa KHCB</v>
      </c>
      <c r="K130" s="384">
        <f t="shared" si="27"/>
        <v>3.66</v>
      </c>
      <c r="L130" s="377">
        <f t="shared" si="28"/>
        <v>6588000</v>
      </c>
      <c r="M130" s="381" t="str">
        <f>VLOOKUP(B130,'[24]Gui chi Quynh'!$B$11:$E$400,4,FALSE)</f>
        <v>A4</v>
      </c>
      <c r="N130" s="512">
        <f t="shared" si="17"/>
        <v>6588000</v>
      </c>
      <c r="O130" s="381">
        <v>20</v>
      </c>
      <c r="P130" s="458">
        <f>IFERROR(INDEX('[17]CN BC'!$J$10:$J$276,MATCH(B130,'[17]CN BC'!$H$10:$H$276,0)),"")</f>
        <v>20</v>
      </c>
      <c r="Q130" s="512">
        <f t="shared" si="18"/>
        <v>6588000</v>
      </c>
      <c r="R130" s="408"/>
      <c r="S130" s="377">
        <f t="shared" si="22"/>
        <v>0</v>
      </c>
      <c r="T130" s="385"/>
      <c r="U130" s="377">
        <f t="shared" si="19"/>
        <v>0</v>
      </c>
      <c r="V130" s="612">
        <f t="shared" si="20"/>
        <v>65880</v>
      </c>
      <c r="W130" s="386">
        <f t="shared" si="25"/>
        <v>6588000</v>
      </c>
      <c r="X130" s="1080">
        <f t="shared" si="23"/>
        <v>3.66</v>
      </c>
      <c r="Y130" s="1116">
        <v>1800000</v>
      </c>
      <c r="Z130" s="1117">
        <f t="shared" si="24"/>
        <v>6588000</v>
      </c>
      <c r="AA130" s="593">
        <f t="shared" si="21"/>
        <v>108</v>
      </c>
      <c r="AB130" s="511">
        <f>IFERROR(INDEX('[17]CN BC'!$M$10:$M$276,MATCH(B130,'[17]CN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8" t="str">
        <f>VLOOKUP(B131,TH.T5!B131:F460,5,FALSE)</f>
        <v>Giảng viên Khoa KHCB</v>
      </c>
      <c r="K131" s="384">
        <f t="shared" si="27"/>
        <v>4.6500000000000004</v>
      </c>
      <c r="L131" s="377">
        <f t="shared" si="28"/>
        <v>8370000.0000000009</v>
      </c>
      <c r="M131" s="381" t="str">
        <f>VLOOKUP(B131,'[24]Gui chi Quynh'!$B$11:$E$400,4,FALSE)</f>
        <v>A4</v>
      </c>
      <c r="N131" s="512">
        <f t="shared" si="17"/>
        <v>8370000.0000000009</v>
      </c>
      <c r="O131" s="381">
        <v>20</v>
      </c>
      <c r="P131" s="458">
        <f>IFERROR(INDEX('[17]CN BC'!$J$10:$J$276,MATCH(B131,'[17]CN BC'!$H$10:$H$276,0)),"")</f>
        <v>20</v>
      </c>
      <c r="Q131" s="512">
        <f t="shared" si="18"/>
        <v>8370000.0000000009</v>
      </c>
      <c r="R131" s="408"/>
      <c r="S131" s="377">
        <f t="shared" si="22"/>
        <v>0</v>
      </c>
      <c r="T131" s="385"/>
      <c r="U131" s="377">
        <f t="shared" si="19"/>
        <v>0</v>
      </c>
      <c r="V131" s="612">
        <f t="shared" si="20"/>
        <v>83700</v>
      </c>
      <c r="W131" s="386">
        <f t="shared" si="25"/>
        <v>8370000.0000000009</v>
      </c>
      <c r="X131" s="1080">
        <f t="shared" si="23"/>
        <v>4.6500000000000004</v>
      </c>
      <c r="Y131" s="1116">
        <v>1800000</v>
      </c>
      <c r="Z131" s="1117">
        <f t="shared" si="24"/>
        <v>8370000.0000000009</v>
      </c>
      <c r="AA131" s="593">
        <f t="shared" si="21"/>
        <v>109</v>
      </c>
      <c r="AB131" s="511">
        <f>IFERROR(INDEX('[17]CN BC'!$M$10:$M$276,MATCH(B131,'[17]CN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8" t="str">
        <f>VLOOKUP(B132,TH.T5!B132:F461,5,FALSE)</f>
        <v>Giảng viên Khoa KHCB</v>
      </c>
      <c r="K132" s="384">
        <f t="shared" si="27"/>
        <v>4.32</v>
      </c>
      <c r="L132" s="377">
        <f t="shared" si="28"/>
        <v>7776000.0000000009</v>
      </c>
      <c r="M132" s="381" t="str">
        <f>VLOOKUP(B132,'[24]Gui chi Quynh'!$B$11:$E$400,4,FALSE)</f>
        <v>A4</v>
      </c>
      <c r="N132" s="512">
        <f t="shared" si="17"/>
        <v>7776000.0000000009</v>
      </c>
      <c r="O132" s="381">
        <v>20</v>
      </c>
      <c r="P132" s="458">
        <f>IFERROR(INDEX('[17]CN BC'!$J$10:$J$276,MATCH(B132,'[17]CN BC'!$H$10:$H$276,0)),"")</f>
        <v>20</v>
      </c>
      <c r="Q132" s="512">
        <f t="shared" si="18"/>
        <v>7776000.0000000009</v>
      </c>
      <c r="R132" s="408"/>
      <c r="S132" s="377">
        <f t="shared" si="22"/>
        <v>0</v>
      </c>
      <c r="T132" s="401"/>
      <c r="U132" s="377">
        <f t="shared" si="19"/>
        <v>0</v>
      </c>
      <c r="V132" s="612">
        <f t="shared" si="20"/>
        <v>77760</v>
      </c>
      <c r="W132" s="386">
        <f t="shared" si="25"/>
        <v>7776000.0000000009</v>
      </c>
      <c r="X132" s="1080">
        <f t="shared" si="23"/>
        <v>4.32</v>
      </c>
      <c r="Y132" s="1116">
        <v>1800000</v>
      </c>
      <c r="Z132" s="1117">
        <f t="shared" si="24"/>
        <v>7776000.0000000009</v>
      </c>
      <c r="AA132" s="593">
        <f t="shared" si="21"/>
        <v>110</v>
      </c>
      <c r="AB132" s="511">
        <f>IFERROR(INDEX('[17]CN BC'!$M$10:$M$276,MATCH(B132,'[17]CN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8" t="str">
        <f>VLOOKUP(B133,TH.T5!B133:F462,5,FALSE)</f>
        <v>Giảng viên Khoa KHCB</v>
      </c>
      <c r="K133" s="384">
        <f t="shared" si="27"/>
        <v>5.3784000000000001</v>
      </c>
      <c r="L133" s="377">
        <f t="shared" si="28"/>
        <v>9681120</v>
      </c>
      <c r="M133" s="381" t="str">
        <f>VLOOKUP(B133,'[24]Gui chi Quynh'!$B$11:$E$400,4,FALSE)</f>
        <v>A4</v>
      </c>
      <c r="N133" s="512">
        <f t="shared" si="17"/>
        <v>9681120</v>
      </c>
      <c r="O133" s="381">
        <v>20</v>
      </c>
      <c r="P133" s="458">
        <f>IFERROR(INDEX('[17]CN BC'!$J$10:$J$276,MATCH(B133,'[17]CN BC'!$H$10:$H$276,0)),"")</f>
        <v>20</v>
      </c>
      <c r="Q133" s="512">
        <f t="shared" si="18"/>
        <v>9681120</v>
      </c>
      <c r="R133" s="478"/>
      <c r="S133" s="377">
        <f t="shared" si="22"/>
        <v>0</v>
      </c>
      <c r="T133" s="385"/>
      <c r="U133" s="377">
        <f t="shared" si="19"/>
        <v>0</v>
      </c>
      <c r="V133" s="612">
        <f t="shared" si="20"/>
        <v>96811</v>
      </c>
      <c r="W133" s="386">
        <f t="shared" si="25"/>
        <v>9681120</v>
      </c>
      <c r="X133" s="1080">
        <f t="shared" si="23"/>
        <v>5.3784000000000001</v>
      </c>
      <c r="Y133" s="1116">
        <v>1800000</v>
      </c>
      <c r="Z133" s="1117">
        <f t="shared" si="24"/>
        <v>9681120</v>
      </c>
      <c r="AA133" s="593">
        <f t="shared" si="21"/>
        <v>111</v>
      </c>
      <c r="AB133" s="511">
        <f>IFERROR(INDEX('[17]CN BC'!$M$10:$M$276,MATCH(B133,'[17]CN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8" t="str">
        <f>VLOOKUP(B134,TH.T5!B134:F463,5,FALSE)</f>
        <v>Giảng viên khoa KHCB</v>
      </c>
      <c r="K134" s="384">
        <f t="shared" si="27"/>
        <v>3.99</v>
      </c>
      <c r="L134" s="377">
        <f t="shared" si="28"/>
        <v>7182000</v>
      </c>
      <c r="M134" s="381" t="str">
        <f>VLOOKUP(B134,'[24]Gui chi Quynh'!$B$11:$E$400,4,FALSE)</f>
        <v>A4</v>
      </c>
      <c r="N134" s="512">
        <f t="shared" si="17"/>
        <v>7182000</v>
      </c>
      <c r="O134" s="381">
        <v>20</v>
      </c>
      <c r="P134" s="458">
        <f>IFERROR(INDEX('[17]CN BC'!$J$10:$J$276,MATCH(B134,'[17]CN BC'!$H$10:$H$276,0)),"")</f>
        <v>20</v>
      </c>
      <c r="Q134" s="512">
        <f t="shared" si="18"/>
        <v>7182000</v>
      </c>
      <c r="R134" s="478"/>
      <c r="S134" s="377">
        <f t="shared" si="22"/>
        <v>0</v>
      </c>
      <c r="T134" s="385"/>
      <c r="U134" s="377">
        <f t="shared" si="19"/>
        <v>0</v>
      </c>
      <c r="V134" s="377">
        <f t="shared" si="20"/>
        <v>71820</v>
      </c>
      <c r="W134" s="386">
        <f t="shared" si="25"/>
        <v>7182000</v>
      </c>
      <c r="X134" s="1080">
        <f t="shared" si="23"/>
        <v>3.99</v>
      </c>
      <c r="Y134" s="1116">
        <v>1800000</v>
      </c>
      <c r="Z134" s="1117">
        <f t="shared" si="24"/>
        <v>7182000</v>
      </c>
      <c r="AA134" s="593">
        <f t="shared" si="21"/>
        <v>112</v>
      </c>
      <c r="AB134" s="511">
        <f>IFERROR(INDEX('[17]CN BC'!$M$10:$M$276,MATCH(B134,'[17]CN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8" t="str">
        <f>VLOOKUP(B135,TH.T5!B135:F464,5,FALSE)</f>
        <v>Giảng viên khoa KHCB</v>
      </c>
      <c r="K135" s="384">
        <f t="shared" si="27"/>
        <v>3.66</v>
      </c>
      <c r="L135" s="377">
        <f t="shared" si="28"/>
        <v>6588000</v>
      </c>
      <c r="M135" s="381" t="str">
        <f>VLOOKUP(B135,'[24]Gui chi Quynh'!$B$11:$E$400,4,FALSE)</f>
        <v>A4</v>
      </c>
      <c r="N135" s="512">
        <f t="shared" si="17"/>
        <v>6588000</v>
      </c>
      <c r="O135" s="381">
        <v>20</v>
      </c>
      <c r="P135" s="458">
        <f>IFERROR(INDEX('[17]CN BC'!$J$10:$J$276,MATCH(B135,'[17]CN BC'!$H$10:$H$276,0)),"")</f>
        <v>20</v>
      </c>
      <c r="Q135" s="512">
        <f t="shared" si="18"/>
        <v>6588000</v>
      </c>
      <c r="R135" s="408"/>
      <c r="S135" s="377">
        <f t="shared" si="22"/>
        <v>0</v>
      </c>
      <c r="T135" s="385"/>
      <c r="U135" s="377">
        <f t="shared" si="19"/>
        <v>0</v>
      </c>
      <c r="V135" s="612">
        <f t="shared" si="20"/>
        <v>65880</v>
      </c>
      <c r="W135" s="386">
        <f t="shared" si="25"/>
        <v>6588000</v>
      </c>
      <c r="X135" s="1080">
        <f t="shared" si="23"/>
        <v>3.66</v>
      </c>
      <c r="Y135" s="1116">
        <v>1800000</v>
      </c>
      <c r="Z135" s="1117">
        <f t="shared" si="24"/>
        <v>6588000</v>
      </c>
      <c r="AA135" s="593">
        <f t="shared" si="21"/>
        <v>113</v>
      </c>
      <c r="AB135" s="511">
        <f>IFERROR(INDEX('[17]CN BC'!$M$10:$M$276,MATCH(B135,'[17]CN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8" t="str">
        <f>VLOOKUP(B136,TH.T5!B136:F465,5,FALSE)</f>
        <v>Phó TK Khoa KHCB</v>
      </c>
      <c r="K136" s="384">
        <f t="shared" si="27"/>
        <v>5.33</v>
      </c>
      <c r="L136" s="377">
        <f t="shared" si="28"/>
        <v>9594000</v>
      </c>
      <c r="M136" s="381" t="str">
        <f>VLOOKUP(B136,'[24]Gui chi Quynh'!$B$11:$E$400,4,FALSE)</f>
        <v>A4</v>
      </c>
      <c r="N136" s="512">
        <f t="shared" si="17"/>
        <v>9594000</v>
      </c>
      <c r="O136" s="381">
        <v>20</v>
      </c>
      <c r="P136" s="458">
        <f>IFERROR(INDEX('[17]CN BC'!$J$10:$J$276,MATCH(B136,'[17]CN BC'!$H$10:$H$276,0)),"")</f>
        <v>20</v>
      </c>
      <c r="Q136" s="512">
        <f t="shared" si="18"/>
        <v>9594000</v>
      </c>
      <c r="R136" s="478"/>
      <c r="S136" s="377">
        <f t="shared" si="22"/>
        <v>0</v>
      </c>
      <c r="T136" s="385"/>
      <c r="U136" s="377">
        <f t="shared" si="19"/>
        <v>0</v>
      </c>
      <c r="V136" s="612">
        <f t="shared" si="20"/>
        <v>95940</v>
      </c>
      <c r="W136" s="386">
        <f t="shared" si="25"/>
        <v>9594000</v>
      </c>
      <c r="X136" s="1080">
        <f t="shared" si="23"/>
        <v>5.33</v>
      </c>
      <c r="Y136" s="1116">
        <v>1800000</v>
      </c>
      <c r="Z136" s="1117">
        <f t="shared" si="24"/>
        <v>9594000</v>
      </c>
      <c r="AA136" s="593">
        <f t="shared" si="21"/>
        <v>114</v>
      </c>
      <c r="AB136" s="511">
        <f>IFERROR(INDEX('[17]CN BC'!$M$10:$M$276,MATCH(B136,'[17]CN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8" t="str">
        <f>VLOOKUP(B137,TH.T5!B137:F466,5,FALSE)</f>
        <v>Giảng viên Khoa KHCB</v>
      </c>
      <c r="K137" s="384">
        <f t="shared" si="27"/>
        <v>5.2290000000000001</v>
      </c>
      <c r="L137" s="377">
        <f t="shared" si="28"/>
        <v>9412200</v>
      </c>
      <c r="M137" s="381" t="str">
        <f>VLOOKUP(B137,'[24]Gui chi Quynh'!$B$11:$E$400,4,FALSE)</f>
        <v>A4</v>
      </c>
      <c r="N137" s="512">
        <f t="shared" si="17"/>
        <v>9412200</v>
      </c>
      <c r="O137" s="381">
        <v>20</v>
      </c>
      <c r="P137" s="458">
        <f>IFERROR(INDEX('[17]CN BC'!$J$10:$J$276,MATCH(B137,'[17]CN BC'!$H$10:$H$276,0)),"")</f>
        <v>20</v>
      </c>
      <c r="Q137" s="512">
        <f t="shared" si="18"/>
        <v>9412200</v>
      </c>
      <c r="R137" s="478"/>
      <c r="S137" s="377">
        <f t="shared" si="22"/>
        <v>0</v>
      </c>
      <c r="T137" s="385"/>
      <c r="U137" s="377">
        <f t="shared" si="19"/>
        <v>0</v>
      </c>
      <c r="V137" s="612">
        <f t="shared" si="20"/>
        <v>94122</v>
      </c>
      <c r="W137" s="386">
        <f t="shared" si="25"/>
        <v>9412200</v>
      </c>
      <c r="X137" s="1080">
        <f t="shared" si="23"/>
        <v>5.2290000000000001</v>
      </c>
      <c r="Y137" s="1116">
        <v>1800000</v>
      </c>
      <c r="Z137" s="1117">
        <f t="shared" si="24"/>
        <v>9412200</v>
      </c>
      <c r="AA137" s="593">
        <f t="shared" si="21"/>
        <v>115</v>
      </c>
      <c r="AB137" s="511">
        <f>IFERROR(INDEX('[17]CN BC'!$M$10:$M$276,MATCH(B137,'[17]CN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8" t="str">
        <f>VLOOKUP(B138,TH.T5!B138:F467,5,FALSE)</f>
        <v>Giảng viên khoa KHCB</v>
      </c>
      <c r="K138" s="384">
        <f t="shared" si="27"/>
        <v>3.99</v>
      </c>
      <c r="L138" s="377">
        <f t="shared" si="28"/>
        <v>7182000</v>
      </c>
      <c r="M138" s="381" t="str">
        <f>VLOOKUP(B138,'[24]Gui chi Quynh'!$B$11:$E$400,4,FALSE)</f>
        <v>A4</v>
      </c>
      <c r="N138" s="512">
        <f t="shared" si="17"/>
        <v>7182000</v>
      </c>
      <c r="O138" s="381">
        <v>20</v>
      </c>
      <c r="P138" s="458">
        <f>IFERROR(INDEX('[17]CN BC'!$J$10:$J$276,MATCH(B138,'[17]CN BC'!$H$10:$H$276,0)),"")</f>
        <v>20</v>
      </c>
      <c r="Q138" s="512">
        <f t="shared" si="18"/>
        <v>7182000</v>
      </c>
      <c r="R138" s="478"/>
      <c r="S138" s="377">
        <f t="shared" si="22"/>
        <v>0</v>
      </c>
      <c r="T138" s="385"/>
      <c r="U138" s="377">
        <f t="shared" si="19"/>
        <v>0</v>
      </c>
      <c r="V138" s="612">
        <f t="shared" si="20"/>
        <v>71820</v>
      </c>
      <c r="W138" s="386">
        <f t="shared" si="25"/>
        <v>7182000</v>
      </c>
      <c r="X138" s="1080">
        <f t="shared" si="23"/>
        <v>3.99</v>
      </c>
      <c r="Y138" s="1116">
        <v>1800000</v>
      </c>
      <c r="Z138" s="1117">
        <f t="shared" si="24"/>
        <v>7182000</v>
      </c>
      <c r="AA138" s="593">
        <f t="shared" si="21"/>
        <v>116</v>
      </c>
      <c r="AB138" s="511">
        <f>IFERROR(INDEX('[17]CN BC'!$M$10:$M$276,MATCH(B138,'[17]CN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8" t="str">
        <f>VLOOKUP(B139,TH.T5!B139:F468,5,FALSE)</f>
        <v>Giảng viên khoa KHCB</v>
      </c>
      <c r="K139" s="384">
        <f t="shared" si="27"/>
        <v>3.66</v>
      </c>
      <c r="L139" s="377">
        <f t="shared" si="28"/>
        <v>6588000</v>
      </c>
      <c r="M139" s="381" t="str">
        <f>VLOOKUP(B139,'[24]Gui chi Quynh'!$B$11:$E$400,4,FALSE)</f>
        <v>A4</v>
      </c>
      <c r="N139" s="512">
        <f t="shared" si="17"/>
        <v>6588000</v>
      </c>
      <c r="O139" s="381">
        <v>20</v>
      </c>
      <c r="P139" s="458">
        <f>IFERROR(INDEX('[17]CN BC'!$J$10:$J$276,MATCH(B139,'[17]CN BC'!$H$10:$H$276,0)),"")</f>
        <v>20</v>
      </c>
      <c r="Q139" s="512">
        <f t="shared" si="18"/>
        <v>6588000</v>
      </c>
      <c r="R139" s="478"/>
      <c r="S139" s="377">
        <f t="shared" si="22"/>
        <v>0</v>
      </c>
      <c r="T139" s="385"/>
      <c r="U139" s="377">
        <f t="shared" si="19"/>
        <v>0</v>
      </c>
      <c r="V139" s="612">
        <f t="shared" si="20"/>
        <v>65880</v>
      </c>
      <c r="W139" s="386">
        <f t="shared" si="25"/>
        <v>6588000</v>
      </c>
      <c r="X139" s="1080">
        <f t="shared" si="23"/>
        <v>3.66</v>
      </c>
      <c r="Y139" s="1116">
        <v>1800000</v>
      </c>
      <c r="Z139" s="1117">
        <f t="shared" si="24"/>
        <v>6588000</v>
      </c>
      <c r="AA139" s="593">
        <f t="shared" si="21"/>
        <v>117</v>
      </c>
      <c r="AB139" s="511">
        <f>IFERROR(INDEX('[17]CN BC'!$M$10:$M$276,MATCH(B139,'[17]CN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8" t="str">
        <f>VLOOKUP(B140,TH.T5!B140:F469,5,FALSE)</f>
        <v>Giảng viên khoa KHCB</v>
      </c>
      <c r="K140" s="384">
        <f t="shared" si="27"/>
        <v>3.33</v>
      </c>
      <c r="L140" s="377">
        <f t="shared" si="28"/>
        <v>5994000</v>
      </c>
      <c r="M140" s="381" t="str">
        <f>VLOOKUP(B140,'[24]Gui chi Quynh'!$B$11:$E$400,4,FALSE)</f>
        <v>A4</v>
      </c>
      <c r="N140" s="512">
        <f t="shared" si="17"/>
        <v>5994000</v>
      </c>
      <c r="O140" s="381">
        <v>20</v>
      </c>
      <c r="P140" s="458">
        <f>IFERROR(INDEX('[17]CN BC'!$J$10:$J$276,MATCH(B140,'[17]CN BC'!$H$10:$H$276,0)),"")</f>
        <v>20</v>
      </c>
      <c r="Q140" s="512">
        <f t="shared" si="18"/>
        <v>5994000</v>
      </c>
      <c r="R140" s="478"/>
      <c r="S140" s="377">
        <f t="shared" si="22"/>
        <v>0</v>
      </c>
      <c r="T140" s="385"/>
      <c r="U140" s="377">
        <f t="shared" si="19"/>
        <v>0</v>
      </c>
      <c r="V140" s="612">
        <f t="shared" si="20"/>
        <v>59940</v>
      </c>
      <c r="W140" s="386">
        <f t="shared" si="25"/>
        <v>5994000</v>
      </c>
      <c r="X140" s="1080">
        <f t="shared" si="23"/>
        <v>3.33</v>
      </c>
      <c r="Y140" s="1116">
        <v>1800000</v>
      </c>
      <c r="Z140" s="1117">
        <f t="shared" si="24"/>
        <v>5994000</v>
      </c>
      <c r="AA140" s="593">
        <f t="shared" si="21"/>
        <v>118</v>
      </c>
      <c r="AB140" s="511">
        <f>IFERROR(INDEX('[17]CN BC'!$M$10:$M$276,MATCH(B140,'[17]CN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8" t="str">
        <f>VLOOKUP(B141,TH.T5!B141:F470,5,FALSE)</f>
        <v>Giảng viên khoa KHCB</v>
      </c>
      <c r="K141" s="384">
        <f t="shared" si="27"/>
        <v>3.33</v>
      </c>
      <c r="L141" s="377">
        <f t="shared" si="28"/>
        <v>5994000</v>
      </c>
      <c r="M141" s="381" t="str">
        <f>VLOOKUP(B141,'[24]Gui chi Quynh'!$B$11:$E$400,4,FALSE)</f>
        <v>A4</v>
      </c>
      <c r="N141" s="512">
        <f t="shared" si="17"/>
        <v>5994000</v>
      </c>
      <c r="O141" s="381">
        <v>20</v>
      </c>
      <c r="P141" s="458">
        <f>IFERROR(INDEX('[17]CN BC'!$J$10:$J$276,MATCH(B141,'[17]CN BC'!$H$10:$H$276,0)),"")</f>
        <v>20</v>
      </c>
      <c r="Q141" s="512">
        <f t="shared" si="18"/>
        <v>5994000</v>
      </c>
      <c r="R141" s="478"/>
      <c r="S141" s="377">
        <f t="shared" si="22"/>
        <v>0</v>
      </c>
      <c r="T141" s="385"/>
      <c r="U141" s="377">
        <f t="shared" si="19"/>
        <v>0</v>
      </c>
      <c r="V141" s="377">
        <f t="shared" si="20"/>
        <v>59940</v>
      </c>
      <c r="W141" s="386">
        <f t="shared" si="25"/>
        <v>5994000</v>
      </c>
      <c r="X141" s="1080">
        <f t="shared" si="23"/>
        <v>3.33</v>
      </c>
      <c r="Y141" s="1116">
        <v>1800000</v>
      </c>
      <c r="Z141" s="1117">
        <f t="shared" si="24"/>
        <v>5994000</v>
      </c>
      <c r="AA141" s="593">
        <f t="shared" si="21"/>
        <v>119</v>
      </c>
      <c r="AB141" s="511">
        <f>IFERROR(INDEX('[17]CN BC'!$M$10:$M$276,MATCH(B141,'[17]CN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8" t="str">
        <f>VLOOKUP(B142,TH.T5!B142:F471,5,FALSE)</f>
        <v>Giảng viên Khoa KHCB</v>
      </c>
      <c r="K142" s="384">
        <f t="shared" si="27"/>
        <v>4.24</v>
      </c>
      <c r="L142" s="377">
        <f t="shared" si="28"/>
        <v>7632000</v>
      </c>
      <c r="M142" s="381" t="str">
        <f>VLOOKUP(B142,'[24]Gui chi Quynh'!$B$11:$E$400,4,FALSE)</f>
        <v>A3</v>
      </c>
      <c r="N142" s="512">
        <f t="shared" si="17"/>
        <v>9158400</v>
      </c>
      <c r="O142" s="381">
        <v>20</v>
      </c>
      <c r="P142" s="458">
        <f>IFERROR(INDEX('[17]CN BC'!$J$10:$J$276,MATCH(B142,'[17]CN BC'!$H$10:$H$276,0)),"")</f>
        <v>20</v>
      </c>
      <c r="Q142" s="512">
        <f t="shared" si="18"/>
        <v>9158400</v>
      </c>
      <c r="R142" s="408"/>
      <c r="S142" s="377">
        <f t="shared" si="22"/>
        <v>0</v>
      </c>
      <c r="T142" s="385"/>
      <c r="U142" s="377">
        <f t="shared" si="19"/>
        <v>0</v>
      </c>
      <c r="V142" s="612">
        <f t="shared" si="20"/>
        <v>76320</v>
      </c>
      <c r="W142" s="386">
        <f t="shared" si="25"/>
        <v>9158400</v>
      </c>
      <c r="X142" s="1080">
        <f t="shared" si="23"/>
        <v>5.0880000000000001</v>
      </c>
      <c r="Y142" s="1116">
        <v>1800000</v>
      </c>
      <c r="Z142" s="1117">
        <f t="shared" si="24"/>
        <v>9158400</v>
      </c>
      <c r="AA142" s="593">
        <f t="shared" si="21"/>
        <v>120</v>
      </c>
      <c r="AB142" s="511">
        <f>IFERROR(INDEX('[17]CN BC'!$M$10:$M$276,MATCH(B142,'[17]CN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8" t="str">
        <f>VLOOKUP(B143,TH.T5!B143:F472,5,FALSE)</f>
        <v>Giảng viên khoa KHCB</v>
      </c>
      <c r="K143" s="384">
        <f t="shared" si="27"/>
        <v>4.32</v>
      </c>
      <c r="L143" s="377">
        <f t="shared" si="28"/>
        <v>7776000.0000000009</v>
      </c>
      <c r="M143" s="381" t="str">
        <f>VLOOKUP(B143,'[24]Gui chi Quynh'!$B$11:$E$400,4,FALSE)</f>
        <v>A3</v>
      </c>
      <c r="N143" s="512">
        <f t="shared" si="17"/>
        <v>9331200</v>
      </c>
      <c r="O143" s="381">
        <v>20</v>
      </c>
      <c r="P143" s="458">
        <f>IFERROR(INDEX('[17]CN BC'!$J$10:$J$276,MATCH(B143,'[17]CN BC'!$H$10:$H$276,0)),"")</f>
        <v>20</v>
      </c>
      <c r="Q143" s="512">
        <f t="shared" si="18"/>
        <v>9331200</v>
      </c>
      <c r="R143" s="478">
        <v>0</v>
      </c>
      <c r="S143" s="377">
        <f>R143*$G$19*0.8</f>
        <v>0</v>
      </c>
      <c r="T143" s="385"/>
      <c r="U143" s="377">
        <f t="shared" si="19"/>
        <v>0</v>
      </c>
      <c r="V143" s="612">
        <f t="shared" si="20"/>
        <v>77760</v>
      </c>
      <c r="W143" s="386">
        <f t="shared" si="25"/>
        <v>9331200</v>
      </c>
      <c r="X143" s="1080">
        <f t="shared" si="23"/>
        <v>5.1840000000000002</v>
      </c>
      <c r="Y143" s="1116">
        <v>1800000</v>
      </c>
      <c r="Z143" s="1117">
        <f t="shared" si="24"/>
        <v>9331200</v>
      </c>
      <c r="AA143" s="593">
        <f t="shared" si="21"/>
        <v>121</v>
      </c>
      <c r="AB143" s="511">
        <f>IFERROR(INDEX('[17]CN BC'!$M$10:$M$276,MATCH(B143,'[17]CN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8" t="str">
        <f>VLOOKUP(B144,TH.T5!B144:F473,5,FALSE)</f>
        <v>Giảng viên khoa KHCB</v>
      </c>
      <c r="K144" s="384">
        <f t="shared" si="27"/>
        <v>3.99</v>
      </c>
      <c r="L144" s="377">
        <f t="shared" si="28"/>
        <v>7182000</v>
      </c>
      <c r="M144" s="381" t="str">
        <f>VLOOKUP(B144,'[24]Gui chi Quynh'!$B$11:$E$400,4,FALSE)</f>
        <v>A3</v>
      </c>
      <c r="N144" s="512">
        <f t="shared" si="17"/>
        <v>8618400</v>
      </c>
      <c r="O144" s="381">
        <v>20</v>
      </c>
      <c r="P144" s="458">
        <f>IFERROR(INDEX('[17]CN BC'!$J$10:$J$276,MATCH(B144,'[17]CN BC'!$H$10:$H$276,0)),"")</f>
        <v>20</v>
      </c>
      <c r="Q144" s="512">
        <f t="shared" si="18"/>
        <v>8618400</v>
      </c>
      <c r="R144" s="408"/>
      <c r="S144" s="377">
        <f t="shared" ref="S144:S207" si="29">R144*$G$19*1</f>
        <v>0</v>
      </c>
      <c r="T144" s="385"/>
      <c r="U144" s="377">
        <f t="shared" si="19"/>
        <v>0</v>
      </c>
      <c r="V144" s="612">
        <f t="shared" si="20"/>
        <v>71820</v>
      </c>
      <c r="W144" s="386">
        <f t="shared" si="25"/>
        <v>8618400</v>
      </c>
      <c r="X144" s="1080">
        <f t="shared" si="23"/>
        <v>4.7880000000000003</v>
      </c>
      <c r="Y144" s="1116">
        <v>1800000</v>
      </c>
      <c r="Z144" s="1117">
        <f t="shared" si="24"/>
        <v>8618400</v>
      </c>
      <c r="AA144" s="593">
        <f t="shared" si="21"/>
        <v>122</v>
      </c>
      <c r="AB144" s="511">
        <f>IFERROR(INDEX('[17]CN BC'!$M$10:$M$276,MATCH(B144,'[17]CN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8" t="str">
        <f>VLOOKUP(B145,TH.T5!B145:F474,5,FALSE)</f>
        <v>Giảng viên khoa KHCB</v>
      </c>
      <c r="K145" s="384">
        <f t="shared" si="27"/>
        <v>3.99</v>
      </c>
      <c r="L145" s="377">
        <f t="shared" si="28"/>
        <v>7182000</v>
      </c>
      <c r="M145" s="381" t="str">
        <f>VLOOKUP(B145,'[24]Gui chi Quynh'!$B$11:$E$400,4,FALSE)</f>
        <v>A1</v>
      </c>
      <c r="N145" s="512">
        <f t="shared" si="17"/>
        <v>11491200</v>
      </c>
      <c r="O145" s="381">
        <v>20</v>
      </c>
      <c r="P145" s="458">
        <f>IFERROR(INDEX('[17]CN BC'!$J$10:$J$276,MATCH(B145,'[17]CN BC'!$H$10:$H$276,0)),"")</f>
        <v>20</v>
      </c>
      <c r="Q145" s="512">
        <f t="shared" si="18"/>
        <v>11491200</v>
      </c>
      <c r="R145" s="408"/>
      <c r="S145" s="377">
        <f t="shared" si="29"/>
        <v>0</v>
      </c>
      <c r="T145" s="401"/>
      <c r="U145" s="377">
        <f t="shared" si="19"/>
        <v>0</v>
      </c>
      <c r="V145" s="612">
        <f t="shared" si="20"/>
        <v>71820</v>
      </c>
      <c r="W145" s="386">
        <f t="shared" si="25"/>
        <v>11491200</v>
      </c>
      <c r="X145" s="1080">
        <f t="shared" si="23"/>
        <v>6.3840000000000003</v>
      </c>
      <c r="Y145" s="1116">
        <v>1800000</v>
      </c>
      <c r="Z145" s="1117">
        <f t="shared" si="24"/>
        <v>11491200</v>
      </c>
      <c r="AA145" s="593">
        <f t="shared" si="21"/>
        <v>123</v>
      </c>
      <c r="AB145" s="511">
        <f>IFERROR(INDEX('[17]CN BC'!$M$10:$M$276,MATCH(B145,'[17]CN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8" t="str">
        <f>VLOOKUP(B146,TH.T5!B146:F475,5,FALSE)</f>
        <v>Giảng viên khoa KHCB</v>
      </c>
      <c r="K146" s="384">
        <f t="shared" si="27"/>
        <v>4.32</v>
      </c>
      <c r="L146" s="377">
        <f t="shared" si="28"/>
        <v>7776000.0000000009</v>
      </c>
      <c r="M146" s="381" t="str">
        <f>VLOOKUP(B146,'[24]Gui chi Quynh'!$B$11:$E$400,4,FALSE)</f>
        <v>A2</v>
      </c>
      <c r="N146" s="512">
        <f t="shared" si="17"/>
        <v>10886400</v>
      </c>
      <c r="O146" s="381">
        <v>20</v>
      </c>
      <c r="P146" s="458">
        <f>IFERROR(INDEX('[17]CN BC'!$J$10:$J$276,MATCH(B146,'[17]CN BC'!$H$10:$H$276,0)),"")</f>
        <v>20</v>
      </c>
      <c r="Q146" s="512">
        <f t="shared" si="18"/>
        <v>10886400</v>
      </c>
      <c r="R146" s="408"/>
      <c r="S146" s="377">
        <f t="shared" si="29"/>
        <v>0</v>
      </c>
      <c r="T146" s="385"/>
      <c r="U146" s="377">
        <f t="shared" si="19"/>
        <v>0</v>
      </c>
      <c r="V146" s="612">
        <f t="shared" si="20"/>
        <v>77760</v>
      </c>
      <c r="W146" s="386">
        <f t="shared" si="25"/>
        <v>10886400</v>
      </c>
      <c r="X146" s="1080">
        <f t="shared" si="23"/>
        <v>6.048</v>
      </c>
      <c r="Y146" s="1116">
        <v>1800000</v>
      </c>
      <c r="Z146" s="1117">
        <f t="shared" si="24"/>
        <v>10886400</v>
      </c>
      <c r="AA146" s="593">
        <f t="shared" si="21"/>
        <v>124</v>
      </c>
      <c r="AB146" s="511">
        <f>IFERROR(INDEX('[17]CN BC'!$M$10:$M$276,MATCH(B146,'[17]CN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8" t="str">
        <f>VLOOKUP(B147,TH.T5!B147:F476,5,FALSE)</f>
        <v>Giảng viên khoa Ngoại ngữ</v>
      </c>
      <c r="K147" s="384">
        <f t="shared" si="27"/>
        <v>4.6500000000000004</v>
      </c>
      <c r="L147" s="377">
        <f t="shared" si="28"/>
        <v>8370000.0000000009</v>
      </c>
      <c r="M147" s="381" t="str">
        <f>VLOOKUP(B147,'[24]Gui chi Quynh'!$B$11:$E$400,4,FALSE)</f>
        <v>A4</v>
      </c>
      <c r="N147" s="512">
        <f t="shared" si="17"/>
        <v>8370000.0000000009</v>
      </c>
      <c r="O147" s="381">
        <v>20</v>
      </c>
      <c r="P147" s="458">
        <f>IFERROR(INDEX('[17]CN BC'!$J$10:$J$276,MATCH(B147,'[17]CN BC'!$H$10:$H$276,0)),"")</f>
        <v>20</v>
      </c>
      <c r="Q147" s="512">
        <f t="shared" si="18"/>
        <v>8370000.0000000009</v>
      </c>
      <c r="R147" s="478"/>
      <c r="S147" s="377">
        <f t="shared" si="29"/>
        <v>0</v>
      </c>
      <c r="T147" s="385"/>
      <c r="U147" s="377">
        <f t="shared" si="19"/>
        <v>0</v>
      </c>
      <c r="V147" s="612">
        <f t="shared" si="20"/>
        <v>83700</v>
      </c>
      <c r="W147" s="386">
        <f t="shared" si="25"/>
        <v>8370000.0000000009</v>
      </c>
      <c r="X147" s="1080">
        <f t="shared" si="23"/>
        <v>4.6500000000000004</v>
      </c>
      <c r="Y147" s="1116">
        <v>1800000</v>
      </c>
      <c r="Z147" s="1117">
        <f t="shared" si="24"/>
        <v>8370000.0000000009</v>
      </c>
      <c r="AA147" s="593">
        <f t="shared" si="21"/>
        <v>125</v>
      </c>
      <c r="AB147" s="511">
        <f>IFERROR(INDEX('[17]CN BC'!$M$10:$M$276,MATCH(B147,'[17]CN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8" t="str">
        <f>VLOOKUP(B148,TH.T5!B148:F477,5,FALSE)</f>
        <v>Giảng viên khoa Ngoại ngữ</v>
      </c>
      <c r="K148" s="384">
        <f t="shared" si="27"/>
        <v>4.6500000000000004</v>
      </c>
      <c r="L148" s="377">
        <f t="shared" si="28"/>
        <v>8370000.0000000009</v>
      </c>
      <c r="M148" s="381" t="str">
        <f>VLOOKUP(B148,'[24]Gui chi Quynh'!$B$11:$E$400,4,FALSE)</f>
        <v>A4</v>
      </c>
      <c r="N148" s="512">
        <f t="shared" si="17"/>
        <v>8370000.0000000009</v>
      </c>
      <c r="O148" s="381">
        <v>20</v>
      </c>
      <c r="P148" s="458">
        <f>IFERROR(INDEX('[17]CN BC'!$J$10:$J$276,MATCH(B148,'[17]CN BC'!$H$10:$H$276,0)),"")</f>
        <v>20</v>
      </c>
      <c r="Q148" s="512">
        <f t="shared" si="18"/>
        <v>8370000.0000000009</v>
      </c>
      <c r="R148" s="478"/>
      <c r="S148" s="377">
        <f t="shared" si="29"/>
        <v>0</v>
      </c>
      <c r="T148" s="385"/>
      <c r="U148" s="377">
        <f t="shared" si="19"/>
        <v>0</v>
      </c>
      <c r="V148" s="612">
        <f t="shared" si="20"/>
        <v>83700</v>
      </c>
      <c r="W148" s="386">
        <f t="shared" si="25"/>
        <v>8370000.0000000009</v>
      </c>
      <c r="X148" s="1080">
        <f t="shared" si="23"/>
        <v>4.6500000000000004</v>
      </c>
      <c r="Y148" s="1116">
        <v>1800000</v>
      </c>
      <c r="Z148" s="1117">
        <f t="shared" si="24"/>
        <v>8370000.0000000009</v>
      </c>
      <c r="AA148" s="593">
        <f t="shared" si="21"/>
        <v>126</v>
      </c>
      <c r="AB148" s="511">
        <f>IFERROR(INDEX('[17]CN BC'!$M$10:$M$276,MATCH(B148,'[17]CN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8" t="str">
        <f>VLOOKUP(B149,TH.T5!B149:F478,5,FALSE)</f>
        <v>Giảng viên khoa Ngoại ngữ</v>
      </c>
      <c r="K149" s="384">
        <f t="shared" si="27"/>
        <v>4.6500000000000004</v>
      </c>
      <c r="L149" s="377">
        <f t="shared" si="28"/>
        <v>8370000.0000000009</v>
      </c>
      <c r="M149" s="381" t="str">
        <f>VLOOKUP(B149,'[24]Gui chi Quynh'!$B$11:$E$400,4,FALSE)</f>
        <v>A4</v>
      </c>
      <c r="N149" s="512">
        <f t="shared" si="17"/>
        <v>8370000.0000000009</v>
      </c>
      <c r="O149" s="381">
        <v>20</v>
      </c>
      <c r="P149" s="458">
        <f>IFERROR(INDEX('[17]CN BC'!$J$10:$J$276,MATCH(B149,'[17]CN BC'!$H$10:$H$276,0)),"")</f>
        <v>20</v>
      </c>
      <c r="Q149" s="512">
        <f t="shared" si="18"/>
        <v>8370000.0000000009</v>
      </c>
      <c r="R149" s="478"/>
      <c r="S149" s="377">
        <f t="shared" si="29"/>
        <v>0</v>
      </c>
      <c r="T149" s="385"/>
      <c r="U149" s="377">
        <f t="shared" si="19"/>
        <v>0</v>
      </c>
      <c r="V149" s="612">
        <f t="shared" si="20"/>
        <v>83700</v>
      </c>
      <c r="W149" s="386">
        <f t="shared" si="25"/>
        <v>8370000.0000000009</v>
      </c>
      <c r="X149" s="1080">
        <f t="shared" si="23"/>
        <v>4.6500000000000004</v>
      </c>
      <c r="Y149" s="1116">
        <v>1800000</v>
      </c>
      <c r="Z149" s="1117">
        <f t="shared" si="24"/>
        <v>8370000.0000000009</v>
      </c>
      <c r="AA149" s="593">
        <f t="shared" si="21"/>
        <v>127</v>
      </c>
      <c r="AB149" s="511">
        <f>IFERROR(INDEX('[17]CN BC'!$M$10:$M$276,MATCH(B149,'[17]CN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8" t="str">
        <f>VLOOKUP(B150,TH.T5!B150:F479,5,FALSE)</f>
        <v>Giảng viên khoa Ngoại ngữ</v>
      </c>
      <c r="K150" s="384">
        <f t="shared" si="27"/>
        <v>3.99</v>
      </c>
      <c r="L150" s="377">
        <f t="shared" si="28"/>
        <v>7182000</v>
      </c>
      <c r="M150" s="381" t="str">
        <f>VLOOKUP(B150,'[24]Gui chi Quynh'!$B$11:$E$400,4,FALSE)</f>
        <v>A4</v>
      </c>
      <c r="N150" s="512">
        <f t="shared" si="17"/>
        <v>7182000</v>
      </c>
      <c r="O150" s="381">
        <v>20</v>
      </c>
      <c r="P150" s="458">
        <f>IFERROR(INDEX('[17]CN BC'!$J$10:$J$276,MATCH(B150,'[17]CN BC'!$H$10:$H$276,0)),"")</f>
        <v>20</v>
      </c>
      <c r="Q150" s="512">
        <f t="shared" si="18"/>
        <v>7182000</v>
      </c>
      <c r="R150" s="478"/>
      <c r="S150" s="377">
        <f t="shared" si="29"/>
        <v>0</v>
      </c>
      <c r="T150" s="385"/>
      <c r="U150" s="377">
        <f t="shared" si="19"/>
        <v>0</v>
      </c>
      <c r="V150" s="612">
        <f t="shared" si="20"/>
        <v>71820</v>
      </c>
      <c r="W150" s="386">
        <f t="shared" si="25"/>
        <v>7182000</v>
      </c>
      <c r="X150" s="1080">
        <f t="shared" si="23"/>
        <v>3.99</v>
      </c>
      <c r="Y150" s="1116">
        <v>1800000</v>
      </c>
      <c r="Z150" s="1117">
        <f t="shared" si="24"/>
        <v>7182000</v>
      </c>
      <c r="AA150" s="593">
        <f t="shared" si="21"/>
        <v>128</v>
      </c>
      <c r="AB150" s="511">
        <f>IFERROR(INDEX('[17]CN BC'!$M$10:$M$276,MATCH(B150,'[17]CN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8" t="str">
        <f>VLOOKUP(B151,TH.T5!B151:F480,5,FALSE)</f>
        <v>Giảng viên khoa Ngoại ngữ</v>
      </c>
      <c r="K151" s="384">
        <f t="shared" si="27"/>
        <v>4.9800000000000004</v>
      </c>
      <c r="L151" s="377">
        <f t="shared" si="28"/>
        <v>8964000</v>
      </c>
      <c r="M151" s="381" t="str">
        <f>VLOOKUP(B151,'[24]Gui chi Quynh'!$B$11:$E$400,4,FALSE)</f>
        <v>A4</v>
      </c>
      <c r="N151" s="512">
        <f t="shared" ref="N151:N214" si="30">IF(M151="A1",L151*1.6,IF(M151="A2",L151*1.4,IF(M151="A3",L151*1.2,IF(M151="A4",L151*1,IF(M151="B1",L151*0.7,IF(M151="B2",L151*0.5,IF(M151="C1",L151*0.3,IF(M151="C2",L151*0.2,0))))))))</f>
        <v>8964000</v>
      </c>
      <c r="O151" s="381">
        <v>20</v>
      </c>
      <c r="P151" s="458">
        <f>IFERROR(INDEX('[17]CN BC'!$J$10:$J$276,MATCH(B151,'[17]CN BC'!$H$10:$H$276,0)),"")</f>
        <v>20</v>
      </c>
      <c r="Q151" s="512">
        <f t="shared" ref="Q151" si="31">IF(P151&gt;=O151,N151,N151/O151*P151)</f>
        <v>8964000</v>
      </c>
      <c r="R151" s="478"/>
      <c r="S151" s="377">
        <f t="shared" si="29"/>
        <v>0</v>
      </c>
      <c r="T151" s="385"/>
      <c r="U151" s="377">
        <f t="shared" ref="U151" si="32">T151*$G$19*1</f>
        <v>0</v>
      </c>
      <c r="V151" s="612">
        <f t="shared" ref="V151:V214" si="33">IF(OR(M151="A DN",M151="KXL", M151=""),"0",ROUND(K151*0.01*$G$19+R151*1%*$G$19+T151*1%*$G$19,))</f>
        <v>89640</v>
      </c>
      <c r="W151" s="386">
        <f t="shared" si="25"/>
        <v>8964000</v>
      </c>
      <c r="X151" s="1080">
        <f t="shared" si="23"/>
        <v>4.9800000000000004</v>
      </c>
      <c r="Y151" s="1116">
        <v>1800000</v>
      </c>
      <c r="Z151" s="1117">
        <f t="shared" si="24"/>
        <v>8964000</v>
      </c>
      <c r="AA151" s="593">
        <f t="shared" ref="AA151:AA214" si="34">A151</f>
        <v>129</v>
      </c>
      <c r="AB151" s="511">
        <f>IFERROR(INDEX('[17]CN BC'!$M$10:$M$276,MATCH(B151,'[17]CN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8" t="str">
        <f>VLOOKUP(B152,TH.T5!B152:F481,5,FALSE)</f>
        <v>Giảng viên khoa Ngoại ngữ</v>
      </c>
      <c r="K152" s="384">
        <f t="shared" si="27"/>
        <v>3.99</v>
      </c>
      <c r="L152" s="377">
        <f t="shared" si="28"/>
        <v>7182000</v>
      </c>
      <c r="M152" s="381" t="str">
        <f>VLOOKUP(B152,'[24]Gui chi Quynh'!$B$11:$E$400,4,FALSE)</f>
        <v>A4</v>
      </c>
      <c r="N152" s="512">
        <f t="shared" si="30"/>
        <v>7182000</v>
      </c>
      <c r="O152" s="381">
        <v>20</v>
      </c>
      <c r="P152" s="458">
        <f>IFERROR(INDEX('[17]CN BC'!$J$10:$J$276,MATCH(B152,'[17]CN BC'!$H$10:$H$276,0)),"")</f>
        <v>20</v>
      </c>
      <c r="Q152" s="512">
        <f>IF(P152&gt;=O152,N152,N152/O152*P152)</f>
        <v>7182000</v>
      </c>
      <c r="R152" s="478"/>
      <c r="S152" s="377">
        <f t="shared" si="29"/>
        <v>0</v>
      </c>
      <c r="T152" s="385"/>
      <c r="U152" s="377">
        <f>T152*$G$19*1</f>
        <v>0</v>
      </c>
      <c r="V152" s="612">
        <f t="shared" si="33"/>
        <v>71820</v>
      </c>
      <c r="W152" s="386">
        <f t="shared" si="25"/>
        <v>7182000</v>
      </c>
      <c r="X152" s="1080">
        <f t="shared" ref="X152:X215" si="35">W152/Y152</f>
        <v>3.99</v>
      </c>
      <c r="Y152" s="1116">
        <v>1800000</v>
      </c>
      <c r="Z152" s="1117">
        <f t="shared" ref="Z152:Z215" si="36">X152*Y152</f>
        <v>7182000</v>
      </c>
      <c r="AA152" s="593">
        <f t="shared" si="34"/>
        <v>130</v>
      </c>
      <c r="AB152" s="511">
        <f>IFERROR(INDEX('[17]CN BC'!$M$10:$M$276,MATCH(B152,'[17]CN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8" t="str">
        <f>VLOOKUP(B153,TH.T5!B153:F482,5,FALSE)</f>
        <v>Giảng viên khoa Ngoại ngữ</v>
      </c>
      <c r="K153" s="384">
        <f t="shared" si="27"/>
        <v>3.7800000000000002</v>
      </c>
      <c r="L153" s="377">
        <f t="shared" si="28"/>
        <v>6804000</v>
      </c>
      <c r="M153" s="381" t="str">
        <f>VLOOKUP(B153,'[24]Gui chi Quynh'!$B$11:$E$400,4,FALSE)</f>
        <v>A2</v>
      </c>
      <c r="N153" s="512">
        <f t="shared" si="30"/>
        <v>9525600</v>
      </c>
      <c r="O153" s="381">
        <v>20</v>
      </c>
      <c r="P153" s="458">
        <f>IFERROR(INDEX('[17]CN BC'!$J$10:$J$276,MATCH(B153,'[17]CN BC'!$H$10:$H$276,0)),"")</f>
        <v>20</v>
      </c>
      <c r="Q153" s="512">
        <f>IF(P153&gt;=O153,N153,N153/O153*P153)</f>
        <v>9525600</v>
      </c>
      <c r="R153" s="408"/>
      <c r="S153" s="377">
        <f t="shared" si="29"/>
        <v>0</v>
      </c>
      <c r="T153" s="385"/>
      <c r="U153" s="377">
        <f>T153*$G$19*1</f>
        <v>0</v>
      </c>
      <c r="V153" s="612">
        <f t="shared" si="33"/>
        <v>68040</v>
      </c>
      <c r="W153" s="386">
        <f t="shared" si="25"/>
        <v>9525600</v>
      </c>
      <c r="X153" s="1080">
        <f t="shared" si="35"/>
        <v>5.2919999999999998</v>
      </c>
      <c r="Y153" s="1116">
        <v>1800000</v>
      </c>
      <c r="Z153" s="1117">
        <f t="shared" si="36"/>
        <v>9525600</v>
      </c>
      <c r="AA153" s="593">
        <f t="shared" si="34"/>
        <v>131</v>
      </c>
      <c r="AB153" s="511">
        <f>IFERROR(INDEX('[17]CN BC'!$M$10:$M$276,MATCH(B153,'[17]CN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8" t="str">
        <f>VLOOKUP(B154,TH.T5!B154:F483,5,FALSE)</f>
        <v>Giảng viên khoa Ngoại ngữ</v>
      </c>
      <c r="K154" s="384">
        <f t="shared" si="27"/>
        <v>3</v>
      </c>
      <c r="L154" s="377">
        <f t="shared" si="28"/>
        <v>5400000</v>
      </c>
      <c r="M154" s="381" t="str">
        <f>VLOOKUP(B154,'[24]Gui chi Quynh'!$B$11:$E$400,4,FALSE)</f>
        <v>A3</v>
      </c>
      <c r="N154" s="512">
        <f t="shared" si="30"/>
        <v>6480000</v>
      </c>
      <c r="O154" s="381">
        <v>20</v>
      </c>
      <c r="P154" s="458">
        <f>IFERROR(INDEX('[17]CN BC'!$J$10:$J$276,MATCH(B154,'[17]CN BC'!$H$10:$H$276,0)),"")</f>
        <v>20</v>
      </c>
      <c r="Q154" s="512">
        <f t="shared" ref="Q154:Q217" si="37">IF(P154&gt;=O154,N154,N154/O154*P154)</f>
        <v>6480000</v>
      </c>
      <c r="R154" s="478"/>
      <c r="S154" s="377">
        <f t="shared" si="29"/>
        <v>0</v>
      </c>
      <c r="T154" s="385"/>
      <c r="U154" s="377">
        <f>T154*$G$19*1</f>
        <v>0</v>
      </c>
      <c r="V154" s="612">
        <f t="shared" si="33"/>
        <v>54000</v>
      </c>
      <c r="W154" s="386">
        <f t="shared" ref="W154:W217" si="38">(Q154+S154+U154)</f>
        <v>6480000</v>
      </c>
      <c r="X154" s="1080">
        <f t="shared" si="35"/>
        <v>3.6</v>
      </c>
      <c r="Y154" s="1116">
        <v>1800000</v>
      </c>
      <c r="Z154" s="1117">
        <f t="shared" si="36"/>
        <v>6480000</v>
      </c>
      <c r="AA154" s="593">
        <f t="shared" si="34"/>
        <v>132</v>
      </c>
      <c r="AB154" s="511">
        <f>IFERROR(INDEX('[17]CN BC'!$M$10:$M$276,MATCH(B154,'[17]CN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8" t="str">
        <f>VLOOKUP(B155,TH.T5!B155:F484,5,FALSE)</f>
        <v>Giảng viên khoa Ngoại ngữ</v>
      </c>
      <c r="K155" s="384">
        <f t="shared" si="27"/>
        <v>2.34</v>
      </c>
      <c r="L155" s="377">
        <f t="shared" si="28"/>
        <v>4212000</v>
      </c>
      <c r="M155" s="381" t="str">
        <f>VLOOKUP(B155,'[24]Gui chi Quynh'!$B$11:$E$400,4,FALSE)</f>
        <v>A4</v>
      </c>
      <c r="N155" s="512">
        <f t="shared" si="30"/>
        <v>4212000</v>
      </c>
      <c r="O155" s="381">
        <v>20</v>
      </c>
      <c r="P155" s="458">
        <f>IFERROR(INDEX('[17]CN BC'!$J$10:$J$276,MATCH(B155,'[17]CN BC'!$H$10:$H$276,0)),"")</f>
        <v>20</v>
      </c>
      <c r="Q155" s="512">
        <f t="shared" si="37"/>
        <v>4212000</v>
      </c>
      <c r="R155" s="478"/>
      <c r="S155" s="377">
        <f t="shared" si="29"/>
        <v>0</v>
      </c>
      <c r="T155" s="385"/>
      <c r="U155" s="377">
        <f>T155*$G$19*1</f>
        <v>0</v>
      </c>
      <c r="V155" s="612">
        <f t="shared" si="33"/>
        <v>42120</v>
      </c>
      <c r="W155" s="386">
        <f t="shared" si="38"/>
        <v>4212000</v>
      </c>
      <c r="X155" s="1080">
        <f t="shared" si="35"/>
        <v>2.34</v>
      </c>
      <c r="Y155" s="1116">
        <v>1800000</v>
      </c>
      <c r="Z155" s="1117">
        <f t="shared" si="36"/>
        <v>4212000</v>
      </c>
      <c r="AA155" s="593">
        <f t="shared" si="34"/>
        <v>133</v>
      </c>
      <c r="AB155" s="511">
        <f>IFERROR(INDEX('[17]CN BC'!$M$10:$M$276,MATCH(B155,'[17]CN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8" t="str">
        <f>VLOOKUP(B156,TH.T5!B156:F485,5,FALSE)</f>
        <v>Giảng viên khoa Ngoại ngữ</v>
      </c>
      <c r="K156" s="384">
        <f t="shared" si="27"/>
        <v>3</v>
      </c>
      <c r="L156" s="377">
        <f t="shared" si="28"/>
        <v>5400000</v>
      </c>
      <c r="M156" s="381" t="str">
        <f>VLOOKUP(B156,'[24]Gui chi Quynh'!$B$11:$E$400,4,FALSE)</f>
        <v>A3</v>
      </c>
      <c r="N156" s="512">
        <f t="shared" si="30"/>
        <v>6480000</v>
      </c>
      <c r="O156" s="381">
        <v>20</v>
      </c>
      <c r="P156" s="458">
        <f>IFERROR(INDEX('[17]CN BC'!$J$10:$J$276,MATCH(B156,'[17]CN BC'!$H$10:$H$276,0)),"")</f>
        <v>20</v>
      </c>
      <c r="Q156" s="512">
        <f t="shared" si="37"/>
        <v>6480000</v>
      </c>
      <c r="R156" s="478"/>
      <c r="S156" s="377">
        <f t="shared" si="29"/>
        <v>0</v>
      </c>
      <c r="T156" s="385"/>
      <c r="U156" s="377">
        <f t="shared" ref="U156:U219" si="39">T156*$G$19*1</f>
        <v>0</v>
      </c>
      <c r="V156" s="612">
        <f t="shared" si="33"/>
        <v>54000</v>
      </c>
      <c r="W156" s="386">
        <f t="shared" si="38"/>
        <v>6480000</v>
      </c>
      <c r="X156" s="1080">
        <f t="shared" si="35"/>
        <v>3.6</v>
      </c>
      <c r="Y156" s="1116">
        <v>1800000</v>
      </c>
      <c r="Z156" s="1117">
        <f t="shared" si="36"/>
        <v>6480000</v>
      </c>
      <c r="AA156" s="593">
        <f t="shared" si="34"/>
        <v>134</v>
      </c>
      <c r="AB156" s="511">
        <f>IFERROR(INDEX('[17]CN BC'!$M$10:$M$276,MATCH(B156,'[17]CN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8" t="str">
        <f>VLOOKUP(B157,TH.T5!B157:F486,5,FALSE)</f>
        <v>Giảng viên khoa Ngoại ngữ</v>
      </c>
      <c r="K157" s="384">
        <f t="shared" si="27"/>
        <v>2.67</v>
      </c>
      <c r="L157" s="377">
        <f t="shared" si="28"/>
        <v>4806000</v>
      </c>
      <c r="M157" s="381" t="str">
        <f>VLOOKUP(B157,'[24]Gui chi Quynh'!$B$11:$E$400,4,FALSE)</f>
        <v>A3</v>
      </c>
      <c r="N157" s="512">
        <f t="shared" si="30"/>
        <v>5767200</v>
      </c>
      <c r="O157" s="381">
        <v>20</v>
      </c>
      <c r="P157" s="458">
        <f>IFERROR(INDEX('[17]CN BC'!$J$10:$J$276,MATCH(B157,'[17]CN BC'!$H$10:$H$276,0)),"")</f>
        <v>20</v>
      </c>
      <c r="Q157" s="512">
        <f t="shared" si="37"/>
        <v>5767200</v>
      </c>
      <c r="R157" s="478"/>
      <c r="S157" s="377">
        <f t="shared" si="29"/>
        <v>0</v>
      </c>
      <c r="T157" s="385"/>
      <c r="U157" s="377">
        <f t="shared" si="39"/>
        <v>0</v>
      </c>
      <c r="V157" s="612">
        <f t="shared" si="33"/>
        <v>48060</v>
      </c>
      <c r="W157" s="386">
        <f t="shared" si="38"/>
        <v>5767200</v>
      </c>
      <c r="X157" s="1080">
        <f t="shared" si="35"/>
        <v>3.2040000000000002</v>
      </c>
      <c r="Y157" s="1116">
        <v>1800000</v>
      </c>
      <c r="Z157" s="1117">
        <f t="shared" si="36"/>
        <v>5767200</v>
      </c>
      <c r="AA157" s="593">
        <f t="shared" si="34"/>
        <v>135</v>
      </c>
      <c r="AB157" s="511">
        <f>IFERROR(INDEX('[17]CN BC'!$M$10:$M$276,MATCH(B157,'[17]CN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8" t="str">
        <f>VLOOKUP(B158,TH.T5!B158:F487,5,FALSE)</f>
        <v>Giảng viên khoa Ngoại ngữ</v>
      </c>
      <c r="K158" s="580">
        <f t="shared" si="27"/>
        <v>1.9890000000000001</v>
      </c>
      <c r="L158" s="581">
        <f t="shared" si="28"/>
        <v>3580200</v>
      </c>
      <c r="M158" s="381" t="str">
        <f>VLOOKUP(B158,'[24]Gui chi Quynh'!$B$11:$E$400,4,FALSE)</f>
        <v>A DN</v>
      </c>
      <c r="N158" s="583">
        <f t="shared" si="30"/>
        <v>0</v>
      </c>
      <c r="O158" s="381">
        <v>20</v>
      </c>
      <c r="P158" s="458">
        <f>IFERROR(INDEX('[17]CN BC'!$J$10:$J$276,MATCH(B158,'[17]CN BC'!$H$10:$H$276,0)),"")</f>
        <v>0</v>
      </c>
      <c r="Q158" s="583">
        <f t="shared" si="37"/>
        <v>0</v>
      </c>
      <c r="R158" s="585"/>
      <c r="S158" s="581">
        <f t="shared" si="29"/>
        <v>0</v>
      </c>
      <c r="T158" s="586"/>
      <c r="U158" s="581">
        <f t="shared" si="39"/>
        <v>0</v>
      </c>
      <c r="V158" s="581" t="str">
        <f t="shared" si="33"/>
        <v>0</v>
      </c>
      <c r="W158" s="697">
        <f t="shared" si="38"/>
        <v>0</v>
      </c>
      <c r="X158" s="1080">
        <f t="shared" si="35"/>
        <v>0</v>
      </c>
      <c r="Y158" s="1116">
        <v>1800000</v>
      </c>
      <c r="Z158" s="1117">
        <f t="shared" si="36"/>
        <v>0</v>
      </c>
      <c r="AA158" s="593">
        <f t="shared" si="34"/>
        <v>136</v>
      </c>
      <c r="AB158" s="511" t="str">
        <f>IFERROR(INDEX('[17]CN BC'!$M$10:$M$276,MATCH(B158,'[17]CN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8" t="str">
        <f>VLOOKUP(B159,TH.T5!B159:F488,5,FALSE)</f>
        <v>Giảng viên khoa Ngoại ngữ</v>
      </c>
      <c r="K159" s="384">
        <f t="shared" si="27"/>
        <v>1.9890000000000001</v>
      </c>
      <c r="L159" s="377">
        <f t="shared" si="28"/>
        <v>3580200</v>
      </c>
      <c r="M159" s="381" t="str">
        <f>VLOOKUP(B159,'[24]Gui chi Quynh'!$B$11:$E$400,4,FALSE)</f>
        <v>A3</v>
      </c>
      <c r="N159" s="512">
        <f t="shared" si="30"/>
        <v>4296240</v>
      </c>
      <c r="O159" s="381">
        <v>20</v>
      </c>
      <c r="P159" s="458">
        <f>IFERROR(INDEX('[17]CN BC'!$J$10:$J$276,MATCH(B159,'[17]CN BC'!$H$10:$H$276,0)),"")</f>
        <v>20</v>
      </c>
      <c r="Q159" s="512">
        <f t="shared" si="37"/>
        <v>4296240</v>
      </c>
      <c r="R159" s="478"/>
      <c r="S159" s="377">
        <f t="shared" si="29"/>
        <v>0</v>
      </c>
      <c r="T159" s="385"/>
      <c r="U159" s="377">
        <f t="shared" si="39"/>
        <v>0</v>
      </c>
      <c r="V159" s="377"/>
      <c r="W159" s="386">
        <f t="shared" si="38"/>
        <v>4296240</v>
      </c>
      <c r="X159" s="1080">
        <f t="shared" si="35"/>
        <v>2.3868</v>
      </c>
      <c r="Y159" s="1116">
        <v>1800000</v>
      </c>
      <c r="Z159" s="1117">
        <f t="shared" si="36"/>
        <v>4296240</v>
      </c>
      <c r="AA159" s="593">
        <f t="shared" si="34"/>
        <v>137</v>
      </c>
      <c r="AB159" s="511">
        <f>IFERROR(INDEX('[17]CN BC'!$M$10:$M$276,MATCH(B159,'[17]CN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8" t="str">
        <f>VLOOKUP(B160,TH.T5!B160:F489,5,FALSE)</f>
        <v>Giảng viên khoa Ngoại ngữ</v>
      </c>
      <c r="K160" s="384">
        <f t="shared" si="27"/>
        <v>1.9890000000000001</v>
      </c>
      <c r="L160" s="377">
        <f t="shared" si="28"/>
        <v>3580200</v>
      </c>
      <c r="M160" s="381" t="str">
        <f>VLOOKUP(B160,'[24]Gui chi Quynh'!$B$11:$E$400,4,FALSE)</f>
        <v>A3</v>
      </c>
      <c r="N160" s="512">
        <f t="shared" si="30"/>
        <v>4296240</v>
      </c>
      <c r="O160" s="381">
        <v>20</v>
      </c>
      <c r="P160" s="458">
        <f>IFERROR(INDEX('[17]CN BC'!$J$10:$J$276,MATCH(B160,'[17]CN BC'!$H$10:$H$276,0)),"")</f>
        <v>20</v>
      </c>
      <c r="Q160" s="512">
        <f t="shared" si="37"/>
        <v>4296240</v>
      </c>
      <c r="R160" s="478"/>
      <c r="S160" s="377">
        <f t="shared" si="29"/>
        <v>0</v>
      </c>
      <c r="T160" s="385"/>
      <c r="U160" s="377">
        <f t="shared" si="39"/>
        <v>0</v>
      </c>
      <c r="V160" s="377">
        <f t="shared" si="33"/>
        <v>35802</v>
      </c>
      <c r="W160" s="386">
        <f t="shared" si="38"/>
        <v>4296240</v>
      </c>
      <c r="X160" s="1080">
        <f t="shared" si="35"/>
        <v>2.3868</v>
      </c>
      <c r="Y160" s="1116">
        <v>1800000</v>
      </c>
      <c r="Z160" s="1117">
        <f t="shared" si="36"/>
        <v>4296240</v>
      </c>
      <c r="AA160" s="593">
        <f t="shared" si="34"/>
        <v>138</v>
      </c>
      <c r="AB160" s="511">
        <f>IFERROR(INDEX('[17]CN BC'!$M$10:$M$276,MATCH(B160,'[17]CN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8" t="str">
        <f>VLOOKUP(B161,TH.T5!B161:F490,5,FALSE)</f>
        <v>Phó Trưởng khoa LLCT</v>
      </c>
      <c r="K161" s="384">
        <f t="shared" si="27"/>
        <v>4.34</v>
      </c>
      <c r="L161" s="377">
        <f t="shared" si="28"/>
        <v>7812000</v>
      </c>
      <c r="M161" s="381" t="str">
        <f>VLOOKUP(B161,'[24]Gui chi Quynh'!$B$11:$E$400,4,FALSE)</f>
        <v>A4</v>
      </c>
      <c r="N161" s="512">
        <f t="shared" si="30"/>
        <v>7812000</v>
      </c>
      <c r="O161" s="381">
        <v>20</v>
      </c>
      <c r="P161" s="458">
        <f>IFERROR(INDEX('[17]CN BC'!$J$10:$J$276,MATCH(B161,'[17]CN BC'!$H$10:$H$276,0)),"")</f>
        <v>20</v>
      </c>
      <c r="Q161" s="512">
        <f t="shared" si="37"/>
        <v>7812000</v>
      </c>
      <c r="R161" s="478"/>
      <c r="S161" s="377">
        <f t="shared" si="29"/>
        <v>0</v>
      </c>
      <c r="T161" s="385"/>
      <c r="U161" s="377">
        <f t="shared" si="39"/>
        <v>0</v>
      </c>
      <c r="V161" s="612">
        <f t="shared" si="33"/>
        <v>78120</v>
      </c>
      <c r="W161" s="386">
        <f t="shared" si="38"/>
        <v>7812000</v>
      </c>
      <c r="X161" s="1080">
        <f t="shared" si="35"/>
        <v>4.34</v>
      </c>
      <c r="Y161" s="1116">
        <v>1800000</v>
      </c>
      <c r="Z161" s="1117">
        <f t="shared" si="36"/>
        <v>7812000</v>
      </c>
      <c r="AA161" s="593">
        <f t="shared" si="34"/>
        <v>139</v>
      </c>
      <c r="AB161" s="511">
        <f>IFERROR(INDEX('[17]CN BC'!$M$10:$M$276,MATCH(B161,'[17]CN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8" t="str">
        <f>VLOOKUP(B162,TH.T5!B162:F491,5,FALSE)</f>
        <v>Phó Trưởng khoa LLCT</v>
      </c>
      <c r="K162" s="384">
        <f t="shared" si="27"/>
        <v>4.4400000000000004</v>
      </c>
      <c r="L162" s="377">
        <f t="shared" si="28"/>
        <v>7992000.0000000009</v>
      </c>
      <c r="M162" s="381" t="str">
        <f>VLOOKUP(B162,'[24]Gui chi Quynh'!$B$11:$E$400,4,FALSE)</f>
        <v>A4</v>
      </c>
      <c r="N162" s="512">
        <f t="shared" si="30"/>
        <v>7992000.0000000009</v>
      </c>
      <c r="O162" s="381">
        <v>20</v>
      </c>
      <c r="P162" s="458">
        <f>IFERROR(INDEX('[17]CN BC'!$J$10:$J$276,MATCH(B162,'[17]CN BC'!$H$10:$H$276,0)),"")</f>
        <v>20</v>
      </c>
      <c r="Q162" s="512">
        <f t="shared" si="37"/>
        <v>7992000.0000000009</v>
      </c>
      <c r="R162" s="408"/>
      <c r="S162" s="377">
        <f t="shared" si="29"/>
        <v>0</v>
      </c>
      <c r="T162" s="401"/>
      <c r="U162" s="377">
        <f t="shared" si="39"/>
        <v>0</v>
      </c>
      <c r="V162" s="612">
        <f t="shared" si="33"/>
        <v>79920</v>
      </c>
      <c r="W162" s="386">
        <f t="shared" si="38"/>
        <v>7992000.0000000009</v>
      </c>
      <c r="X162" s="1080">
        <f t="shared" si="35"/>
        <v>4.4400000000000004</v>
      </c>
      <c r="Y162" s="1116">
        <v>1800000</v>
      </c>
      <c r="Z162" s="1117">
        <f t="shared" si="36"/>
        <v>7992000.0000000009</v>
      </c>
      <c r="AA162" s="593">
        <f t="shared" si="34"/>
        <v>140</v>
      </c>
      <c r="AB162" s="511">
        <f>IFERROR(INDEX('[17]CN BC'!$M$10:$M$276,MATCH(B162,'[17]CN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8" t="str">
        <f>VLOOKUP(B163,TH.T5!B163:F492,5,FALSE)</f>
        <v>Trưởng BM khoa LLCT</v>
      </c>
      <c r="K163" s="384">
        <f t="shared" si="27"/>
        <v>4.24</v>
      </c>
      <c r="L163" s="377">
        <f t="shared" si="28"/>
        <v>7632000</v>
      </c>
      <c r="M163" s="381" t="str">
        <f>VLOOKUP(B163,'[24]Gui chi Quynh'!$B$11:$E$400,4,FALSE)</f>
        <v>A4</v>
      </c>
      <c r="N163" s="512">
        <f t="shared" si="30"/>
        <v>7632000</v>
      </c>
      <c r="O163" s="381">
        <v>20</v>
      </c>
      <c r="P163" s="458">
        <f>IFERROR(INDEX('[17]CN BC'!$J$10:$J$276,MATCH(B163,'[17]CN BC'!$H$10:$H$276,0)),"")</f>
        <v>20</v>
      </c>
      <c r="Q163" s="512">
        <f t="shared" si="37"/>
        <v>7632000</v>
      </c>
      <c r="R163" s="408"/>
      <c r="S163" s="377">
        <f t="shared" si="29"/>
        <v>0</v>
      </c>
      <c r="T163" s="385"/>
      <c r="U163" s="377">
        <f t="shared" si="39"/>
        <v>0</v>
      </c>
      <c r="V163" s="612">
        <f t="shared" si="33"/>
        <v>76320</v>
      </c>
      <c r="W163" s="386">
        <f t="shared" si="38"/>
        <v>7632000</v>
      </c>
      <c r="X163" s="1080">
        <f t="shared" si="35"/>
        <v>4.24</v>
      </c>
      <c r="Y163" s="1116">
        <v>1800000</v>
      </c>
      <c r="Z163" s="1117">
        <f t="shared" si="36"/>
        <v>7632000</v>
      </c>
      <c r="AA163" s="593">
        <f t="shared" si="34"/>
        <v>141</v>
      </c>
      <c r="AB163" s="511">
        <f>IFERROR(INDEX('[17]CN BC'!$M$10:$M$276,MATCH(B163,'[17]CN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8" t="str">
        <f>VLOOKUP(B164,TH.T5!B164:F493,5,FALSE)</f>
        <v>Giảng viên khoa LLCT</v>
      </c>
      <c r="K164" s="384">
        <f t="shared" si="27"/>
        <v>3.99</v>
      </c>
      <c r="L164" s="377">
        <f t="shared" si="28"/>
        <v>7182000</v>
      </c>
      <c r="M164" s="381" t="str">
        <f>VLOOKUP(B164,'[24]Gui chi Quynh'!$B$11:$E$400,4,FALSE)</f>
        <v>A4</v>
      </c>
      <c r="N164" s="512">
        <f t="shared" si="30"/>
        <v>7182000</v>
      </c>
      <c r="O164" s="381">
        <v>20</v>
      </c>
      <c r="P164" s="458">
        <f>IFERROR(INDEX('[17]CN BC'!$J$10:$J$276,MATCH(B164,'[17]CN BC'!$H$10:$H$276,0)),"")</f>
        <v>20</v>
      </c>
      <c r="Q164" s="512">
        <f t="shared" si="37"/>
        <v>7182000</v>
      </c>
      <c r="R164" s="478"/>
      <c r="S164" s="377">
        <f t="shared" si="29"/>
        <v>0</v>
      </c>
      <c r="T164" s="385"/>
      <c r="U164" s="377">
        <f t="shared" si="39"/>
        <v>0</v>
      </c>
      <c r="V164" s="612">
        <f t="shared" si="33"/>
        <v>71820</v>
      </c>
      <c r="W164" s="386">
        <f t="shared" si="38"/>
        <v>7182000</v>
      </c>
      <c r="X164" s="1080">
        <f t="shared" si="35"/>
        <v>3.99</v>
      </c>
      <c r="Y164" s="1116">
        <v>1800000</v>
      </c>
      <c r="Z164" s="1117">
        <f t="shared" si="36"/>
        <v>7182000</v>
      </c>
      <c r="AA164" s="593">
        <f t="shared" si="34"/>
        <v>142</v>
      </c>
      <c r="AB164" s="511">
        <f>IFERROR(INDEX('[17]CN BC'!$M$10:$M$276,MATCH(B164,'[17]CN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8" t="str">
        <f>VLOOKUP(B165,TH.T5!B165:F494,5,FALSE)</f>
        <v>Giảng viên khoa LLCT</v>
      </c>
      <c r="K165" s="384">
        <f t="shared" si="27"/>
        <v>4.6500000000000004</v>
      </c>
      <c r="L165" s="377">
        <f t="shared" si="28"/>
        <v>8370000.0000000009</v>
      </c>
      <c r="M165" s="381" t="str">
        <f>VLOOKUP(B165,'[24]Gui chi Quynh'!$B$11:$E$400,4,FALSE)</f>
        <v>A4</v>
      </c>
      <c r="N165" s="512">
        <f t="shared" si="30"/>
        <v>8370000.0000000009</v>
      </c>
      <c r="O165" s="381">
        <v>20</v>
      </c>
      <c r="P165" s="458">
        <f>IFERROR(INDEX('[17]CN BC'!$J$10:$J$276,MATCH(B165,'[17]CN BC'!$H$10:$H$276,0)),"")</f>
        <v>20</v>
      </c>
      <c r="Q165" s="512">
        <f t="shared" si="37"/>
        <v>8370000.0000000009</v>
      </c>
      <c r="R165" s="478"/>
      <c r="S165" s="377">
        <f t="shared" si="29"/>
        <v>0</v>
      </c>
      <c r="T165" s="385"/>
      <c r="U165" s="377">
        <f t="shared" si="39"/>
        <v>0</v>
      </c>
      <c r="V165" s="612">
        <f t="shared" si="33"/>
        <v>83700</v>
      </c>
      <c r="W165" s="386">
        <f t="shared" si="38"/>
        <v>8370000.0000000009</v>
      </c>
      <c r="X165" s="1080">
        <f t="shared" si="35"/>
        <v>4.6500000000000004</v>
      </c>
      <c r="Y165" s="1116">
        <v>1800000</v>
      </c>
      <c r="Z165" s="1117">
        <f t="shared" si="36"/>
        <v>8370000.0000000009</v>
      </c>
      <c r="AA165" s="593">
        <f t="shared" si="34"/>
        <v>143</v>
      </c>
      <c r="AB165" s="511">
        <f>IFERROR(INDEX('[17]CN BC'!$M$10:$M$276,MATCH(B165,'[17]CN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8" t="str">
        <f>VLOOKUP(B166,TH.T5!B166:F495,5,FALSE)</f>
        <v>Giảng viên khoa LLCT</v>
      </c>
      <c r="K166" s="384">
        <f t="shared" si="27"/>
        <v>3.66</v>
      </c>
      <c r="L166" s="377">
        <f t="shared" si="28"/>
        <v>6588000</v>
      </c>
      <c r="M166" s="381" t="str">
        <f>VLOOKUP(B166,'[24]Gui chi Quynh'!$B$11:$E$400,4,FALSE)</f>
        <v>A4</v>
      </c>
      <c r="N166" s="512">
        <f t="shared" si="30"/>
        <v>6588000</v>
      </c>
      <c r="O166" s="381">
        <v>20</v>
      </c>
      <c r="P166" s="458">
        <f>IFERROR(INDEX('[17]CN BC'!$J$10:$J$276,MATCH(B166,'[17]CN BC'!$H$10:$H$276,0)),"")</f>
        <v>20</v>
      </c>
      <c r="Q166" s="512">
        <f t="shared" si="37"/>
        <v>6588000</v>
      </c>
      <c r="R166" s="478"/>
      <c r="S166" s="377">
        <f t="shared" si="29"/>
        <v>0</v>
      </c>
      <c r="T166" s="385"/>
      <c r="U166" s="377">
        <f t="shared" si="39"/>
        <v>0</v>
      </c>
      <c r="V166" s="612">
        <f t="shared" si="33"/>
        <v>65880</v>
      </c>
      <c r="W166" s="386">
        <f t="shared" si="38"/>
        <v>6588000</v>
      </c>
      <c r="X166" s="1080">
        <f t="shared" si="35"/>
        <v>3.66</v>
      </c>
      <c r="Y166" s="1116">
        <v>1800000</v>
      </c>
      <c r="Z166" s="1117">
        <f t="shared" si="36"/>
        <v>6588000</v>
      </c>
      <c r="AA166" s="593">
        <f t="shared" si="34"/>
        <v>144</v>
      </c>
      <c r="AB166" s="511">
        <f>IFERROR(INDEX('[17]CN BC'!$M$10:$M$276,MATCH(B166,'[17]CN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8" t="str">
        <f>VLOOKUP(B167,TH.T5!B167:F496,5,FALSE)</f>
        <v>Giảng viên khoa LLCT</v>
      </c>
      <c r="K167" s="384">
        <f t="shared" si="27"/>
        <v>4.32</v>
      </c>
      <c r="L167" s="377">
        <f t="shared" si="28"/>
        <v>7776000.0000000009</v>
      </c>
      <c r="M167" s="381" t="str">
        <f>VLOOKUP(B167,'[24]Gui chi Quynh'!$B$11:$E$400,4,FALSE)</f>
        <v>A4</v>
      </c>
      <c r="N167" s="512">
        <f t="shared" si="30"/>
        <v>7776000.0000000009</v>
      </c>
      <c r="O167" s="381">
        <v>20</v>
      </c>
      <c r="P167" s="458">
        <f>IFERROR(INDEX('[17]CN BC'!$J$10:$J$276,MATCH(B167,'[17]CN BC'!$H$10:$H$276,0)),"")</f>
        <v>20</v>
      </c>
      <c r="Q167" s="512">
        <f t="shared" si="37"/>
        <v>7776000.0000000009</v>
      </c>
      <c r="R167" s="478"/>
      <c r="S167" s="377">
        <f t="shared" si="29"/>
        <v>0</v>
      </c>
      <c r="T167" s="385"/>
      <c r="U167" s="377">
        <f t="shared" si="39"/>
        <v>0</v>
      </c>
      <c r="V167" s="612">
        <f t="shared" si="33"/>
        <v>77760</v>
      </c>
      <c r="W167" s="386">
        <f t="shared" si="38"/>
        <v>7776000.0000000009</v>
      </c>
      <c r="X167" s="1080">
        <f t="shared" si="35"/>
        <v>4.32</v>
      </c>
      <c r="Y167" s="1116">
        <v>1800000</v>
      </c>
      <c r="Z167" s="1117">
        <f t="shared" si="36"/>
        <v>7776000.0000000009</v>
      </c>
      <c r="AA167" s="593">
        <f t="shared" si="34"/>
        <v>145</v>
      </c>
      <c r="AB167" s="511">
        <f>IFERROR(INDEX('[17]CN BC'!$M$10:$M$276,MATCH(B167,'[17]CN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8" t="str">
        <f>VLOOKUP(B168,TH.T5!B168:F497,5,FALSE)</f>
        <v>Giảng viên khoa LLCT</v>
      </c>
      <c r="K168" s="384">
        <f t="shared" si="27"/>
        <v>4.32</v>
      </c>
      <c r="L168" s="377">
        <f t="shared" si="28"/>
        <v>7776000.0000000009</v>
      </c>
      <c r="M168" s="381" t="str">
        <f>VLOOKUP(B168,'[24]Gui chi Quynh'!$B$11:$E$400,4,FALSE)</f>
        <v>A3</v>
      </c>
      <c r="N168" s="512">
        <f t="shared" si="30"/>
        <v>9331200</v>
      </c>
      <c r="O168" s="381">
        <v>20</v>
      </c>
      <c r="P168" s="458">
        <f>IFERROR(INDEX('[17]CN BC'!$J$10:$J$276,MATCH(B168,'[17]CN BC'!$H$10:$H$276,0)),"")</f>
        <v>20</v>
      </c>
      <c r="Q168" s="512">
        <f t="shared" si="37"/>
        <v>9331200</v>
      </c>
      <c r="R168" s="478"/>
      <c r="S168" s="377">
        <f t="shared" si="29"/>
        <v>0</v>
      </c>
      <c r="T168" s="385"/>
      <c r="U168" s="377">
        <f t="shared" si="39"/>
        <v>0</v>
      </c>
      <c r="V168" s="612">
        <f t="shared" si="33"/>
        <v>77760</v>
      </c>
      <c r="W168" s="386">
        <f t="shared" si="38"/>
        <v>9331200</v>
      </c>
      <c r="X168" s="1080">
        <f t="shared" si="35"/>
        <v>5.1840000000000002</v>
      </c>
      <c r="Y168" s="1116">
        <v>1800000</v>
      </c>
      <c r="Z168" s="1117">
        <f t="shared" si="36"/>
        <v>9331200</v>
      </c>
      <c r="AA168" s="593">
        <f t="shared" si="34"/>
        <v>146</v>
      </c>
      <c r="AB168" s="511">
        <f>IFERROR(INDEX('[17]CN BC'!$M$10:$M$276,MATCH(B168,'[17]CN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8" t="str">
        <f>VLOOKUP(B169,TH.T5!B169:F498,5,FALSE)</f>
        <v>Trưởng BM khoa LLCT</v>
      </c>
      <c r="K169" s="384">
        <f t="shared" si="27"/>
        <v>3.66</v>
      </c>
      <c r="L169" s="377">
        <f t="shared" si="28"/>
        <v>6588000</v>
      </c>
      <c r="M169" s="381" t="str">
        <f>VLOOKUP(B169,'[24]Gui chi Quynh'!$B$11:$E$400,4,FALSE)</f>
        <v>A4</v>
      </c>
      <c r="N169" s="512">
        <f t="shared" si="30"/>
        <v>6588000</v>
      </c>
      <c r="O169" s="381">
        <v>20</v>
      </c>
      <c r="P169" s="458">
        <f>IFERROR(INDEX('[17]CN BC'!$J$10:$J$276,MATCH(B169,'[17]CN BC'!$H$10:$H$276,0)),"")</f>
        <v>20</v>
      </c>
      <c r="Q169" s="512">
        <f t="shared" si="37"/>
        <v>6588000</v>
      </c>
      <c r="R169" s="478"/>
      <c r="S169" s="377">
        <f t="shared" si="29"/>
        <v>0</v>
      </c>
      <c r="T169" s="385"/>
      <c r="U169" s="377">
        <f t="shared" si="39"/>
        <v>0</v>
      </c>
      <c r="V169" s="612">
        <f t="shared" si="33"/>
        <v>65880</v>
      </c>
      <c r="W169" s="386">
        <f t="shared" si="38"/>
        <v>6588000</v>
      </c>
      <c r="X169" s="1080">
        <f t="shared" si="35"/>
        <v>3.66</v>
      </c>
      <c r="Y169" s="1116">
        <v>1800000</v>
      </c>
      <c r="Z169" s="1117">
        <f t="shared" si="36"/>
        <v>6588000</v>
      </c>
      <c r="AA169" s="593">
        <f t="shared" si="34"/>
        <v>147</v>
      </c>
      <c r="AB169" s="511">
        <f>IFERROR(INDEX('[17]CN BC'!$M$10:$M$276,MATCH(B169,'[17]CN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8" t="str">
        <f>VLOOKUP(B170,TH.T5!B170:F499,5,FALSE)</f>
        <v>Giảng viên khoa LLCT</v>
      </c>
      <c r="K170" s="580">
        <f t="shared" si="27"/>
        <v>3.66</v>
      </c>
      <c r="L170" s="581">
        <f t="shared" si="28"/>
        <v>6588000</v>
      </c>
      <c r="M170" s="381" t="str">
        <f>VLOOKUP(B170,'[24]Gui chi Quynh'!$B$11:$E$400,4,FALSE)</f>
        <v>A4</v>
      </c>
      <c r="N170" s="583">
        <f t="shared" si="30"/>
        <v>6588000</v>
      </c>
      <c r="O170" s="381">
        <v>20</v>
      </c>
      <c r="P170" s="458">
        <f>IFERROR(INDEX('[17]CN BC'!$J$10:$J$276,MATCH(B170,'[17]CN BC'!$H$10:$H$276,0)),"")</f>
        <v>13</v>
      </c>
      <c r="Q170" s="583">
        <f t="shared" si="37"/>
        <v>4282200</v>
      </c>
      <c r="R170" s="585"/>
      <c r="S170" s="581">
        <f t="shared" si="29"/>
        <v>0</v>
      </c>
      <c r="T170" s="586"/>
      <c r="U170" s="581">
        <f t="shared" si="39"/>
        <v>0</v>
      </c>
      <c r="V170" s="581">
        <v>0</v>
      </c>
      <c r="W170" s="697">
        <f t="shared" si="38"/>
        <v>4282200</v>
      </c>
      <c r="X170" s="1080">
        <f t="shared" si="35"/>
        <v>2.379</v>
      </c>
      <c r="Y170" s="1116">
        <v>1800000</v>
      </c>
      <c r="Z170" s="1117">
        <f t="shared" si="36"/>
        <v>4282200</v>
      </c>
      <c r="AA170" s="593">
        <f t="shared" si="34"/>
        <v>148</v>
      </c>
      <c r="AB170" s="511" t="str">
        <f>IFERROR(INDEX('[17]CN BC'!$M$10:$M$276,MATCH(B170,'[17]CN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8" t="str">
        <f>VLOOKUP(B171,TH.T5!B171:F500,5,FALSE)</f>
        <v>Giảng viên khoa LLCT</v>
      </c>
      <c r="K171" s="384">
        <f t="shared" si="27"/>
        <v>3.66</v>
      </c>
      <c r="L171" s="377">
        <f t="shared" si="28"/>
        <v>6588000</v>
      </c>
      <c r="M171" s="381" t="str">
        <f>VLOOKUP(B171,'[24]Gui chi Quynh'!$B$11:$E$400,4,FALSE)</f>
        <v>A3</v>
      </c>
      <c r="N171" s="512">
        <f t="shared" si="30"/>
        <v>7905600</v>
      </c>
      <c r="O171" s="381">
        <v>20</v>
      </c>
      <c r="P171" s="458">
        <f>IFERROR(INDEX('[17]CN BC'!$J$10:$J$276,MATCH(B171,'[17]CN BC'!$H$10:$H$276,0)),"")</f>
        <v>20</v>
      </c>
      <c r="Q171" s="512">
        <f t="shared" si="37"/>
        <v>7905600</v>
      </c>
      <c r="R171" s="478"/>
      <c r="S171" s="377">
        <f t="shared" si="29"/>
        <v>0</v>
      </c>
      <c r="T171" s="385"/>
      <c r="U171" s="377">
        <f t="shared" si="39"/>
        <v>0</v>
      </c>
      <c r="V171" s="612">
        <f t="shared" si="33"/>
        <v>65880</v>
      </c>
      <c r="W171" s="386">
        <f t="shared" si="38"/>
        <v>7905600</v>
      </c>
      <c r="X171" s="1080">
        <f t="shared" si="35"/>
        <v>4.3920000000000003</v>
      </c>
      <c r="Y171" s="1116">
        <v>1800000</v>
      </c>
      <c r="Z171" s="1117">
        <f t="shared" si="36"/>
        <v>7905600.0000000009</v>
      </c>
      <c r="AA171" s="593">
        <f t="shared" si="34"/>
        <v>149</v>
      </c>
      <c r="AB171" s="511">
        <f>IFERROR(INDEX('[17]CN BC'!$M$10:$M$276,MATCH(B171,'[17]CN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8" t="str">
        <f>VLOOKUP(B172,TH.T5!B172:F501,5,FALSE)</f>
        <v>Giảng viên khoa LLCT</v>
      </c>
      <c r="K172" s="384">
        <f t="shared" si="27"/>
        <v>4.32</v>
      </c>
      <c r="L172" s="377">
        <f t="shared" si="28"/>
        <v>7776000.0000000009</v>
      </c>
      <c r="M172" s="381" t="str">
        <f>VLOOKUP(B172,'[24]Gui chi Quynh'!$B$11:$E$400,4,FALSE)</f>
        <v>A4</v>
      </c>
      <c r="N172" s="512">
        <f t="shared" si="30"/>
        <v>7776000.0000000009</v>
      </c>
      <c r="O172" s="381">
        <v>20</v>
      </c>
      <c r="P172" s="458">
        <f>IFERROR(INDEX('[17]CN BC'!$J$10:$J$276,MATCH(B172,'[17]CN BC'!$H$10:$H$276,0)),"")</f>
        <v>20</v>
      </c>
      <c r="Q172" s="512">
        <f t="shared" si="37"/>
        <v>7776000.0000000009</v>
      </c>
      <c r="R172" s="478"/>
      <c r="S172" s="377">
        <f t="shared" si="29"/>
        <v>0</v>
      </c>
      <c r="T172" s="385"/>
      <c r="U172" s="377">
        <f t="shared" si="39"/>
        <v>0</v>
      </c>
      <c r="V172" s="612">
        <f t="shared" si="33"/>
        <v>77760</v>
      </c>
      <c r="W172" s="386">
        <f t="shared" si="38"/>
        <v>7776000.0000000009</v>
      </c>
      <c r="X172" s="1080">
        <f t="shared" si="35"/>
        <v>4.32</v>
      </c>
      <c r="Y172" s="1116">
        <v>1800000</v>
      </c>
      <c r="Z172" s="1117">
        <f t="shared" si="36"/>
        <v>7776000.0000000009</v>
      </c>
      <c r="AA172" s="593">
        <f t="shared" si="34"/>
        <v>150</v>
      </c>
      <c r="AB172" s="511">
        <f>IFERROR(INDEX('[17]CN BC'!$M$10:$M$276,MATCH(B172,'[17]CN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8" t="str">
        <f>VLOOKUP(B173,TH.T5!B173:F502,5,FALSE)</f>
        <v>Giảng viên khoa LLCT</v>
      </c>
      <c r="K173" s="384">
        <f t="shared" si="27"/>
        <v>3.33</v>
      </c>
      <c r="L173" s="377">
        <f t="shared" si="28"/>
        <v>5994000</v>
      </c>
      <c r="M173" s="381" t="str">
        <f>VLOOKUP(B173,'[24]Gui chi Quynh'!$B$11:$E$400,4,FALSE)</f>
        <v>A4</v>
      </c>
      <c r="N173" s="512">
        <f t="shared" si="30"/>
        <v>5994000</v>
      </c>
      <c r="O173" s="381">
        <v>20</v>
      </c>
      <c r="P173" s="458">
        <f>IFERROR(INDEX('[17]CN BC'!$J$10:$J$276,MATCH(B173,'[17]CN BC'!$H$10:$H$276,0)),"")</f>
        <v>20</v>
      </c>
      <c r="Q173" s="512">
        <f t="shared" si="37"/>
        <v>5994000</v>
      </c>
      <c r="R173" s="478"/>
      <c r="S173" s="377">
        <f t="shared" si="29"/>
        <v>0</v>
      </c>
      <c r="T173" s="385"/>
      <c r="U173" s="377">
        <f t="shared" si="39"/>
        <v>0</v>
      </c>
      <c r="V173" s="612">
        <f t="shared" si="33"/>
        <v>59940</v>
      </c>
      <c r="W173" s="386">
        <f t="shared" si="38"/>
        <v>5994000</v>
      </c>
      <c r="X173" s="1080">
        <f t="shared" si="35"/>
        <v>3.33</v>
      </c>
      <c r="Y173" s="1116">
        <v>1800000</v>
      </c>
      <c r="Z173" s="1117">
        <f t="shared" si="36"/>
        <v>5994000</v>
      </c>
      <c r="AA173" s="593">
        <f t="shared" si="34"/>
        <v>151</v>
      </c>
      <c r="AB173" s="511">
        <f>IFERROR(INDEX('[17]CN BC'!$M$10:$M$276,MATCH(B173,'[17]CN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8" t="str">
        <f>VLOOKUP(B174,TH.T5!B174:F503,5,FALSE)</f>
        <v>Giảng viên khoa LLCT</v>
      </c>
      <c r="K174" s="384">
        <f t="shared" si="27"/>
        <v>3.66</v>
      </c>
      <c r="L174" s="377">
        <f t="shared" si="28"/>
        <v>6588000</v>
      </c>
      <c r="M174" s="381" t="str">
        <f>VLOOKUP(B174,'[24]Gui chi Quynh'!$B$11:$E$400,4,FALSE)</f>
        <v>A4</v>
      </c>
      <c r="N174" s="512">
        <f t="shared" si="30"/>
        <v>6588000</v>
      </c>
      <c r="O174" s="381">
        <v>20</v>
      </c>
      <c r="P174" s="458">
        <f>IFERROR(INDEX('[17]CN BC'!$J$10:$J$276,MATCH(B174,'[17]CN BC'!$H$10:$H$276,0)),"")</f>
        <v>20</v>
      </c>
      <c r="Q174" s="512">
        <f t="shared" si="37"/>
        <v>6588000</v>
      </c>
      <c r="R174" s="478">
        <v>0</v>
      </c>
      <c r="S174" s="377">
        <f t="shared" si="29"/>
        <v>0</v>
      </c>
      <c r="T174" s="385"/>
      <c r="U174" s="377">
        <f t="shared" si="39"/>
        <v>0</v>
      </c>
      <c r="V174" s="612">
        <f t="shared" si="33"/>
        <v>65880</v>
      </c>
      <c r="W174" s="386">
        <f t="shared" si="38"/>
        <v>6588000</v>
      </c>
      <c r="X174" s="1080">
        <f t="shared" si="35"/>
        <v>3.66</v>
      </c>
      <c r="Y174" s="1116">
        <v>1800000</v>
      </c>
      <c r="Z174" s="1117">
        <f t="shared" si="36"/>
        <v>6588000</v>
      </c>
      <c r="AA174" s="593">
        <f t="shared" si="34"/>
        <v>152</v>
      </c>
      <c r="AB174" s="511">
        <f>IFERROR(INDEX('[17]CN BC'!$M$10:$M$276,MATCH(B174,'[17]CN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8" t="str">
        <f>VLOOKUP(B175,TH.T5!B175:F504,5,FALSE)</f>
        <v>Giảng viên khoa LLCT</v>
      </c>
      <c r="K175" s="384">
        <f t="shared" si="27"/>
        <v>3.33</v>
      </c>
      <c r="L175" s="377">
        <f t="shared" si="28"/>
        <v>5994000</v>
      </c>
      <c r="M175" s="381" t="str">
        <f>VLOOKUP(B175,'[24]Gui chi Quynh'!$B$11:$E$400,4,FALSE)</f>
        <v>A4</v>
      </c>
      <c r="N175" s="512">
        <f t="shared" si="30"/>
        <v>5994000</v>
      </c>
      <c r="O175" s="381">
        <v>20</v>
      </c>
      <c r="P175" s="458">
        <f>IFERROR(INDEX('[17]CN BC'!$J$10:$J$276,MATCH(B175,'[17]CN BC'!$H$10:$H$276,0)),"")</f>
        <v>20</v>
      </c>
      <c r="Q175" s="512">
        <f t="shared" si="37"/>
        <v>5994000</v>
      </c>
      <c r="R175" s="478"/>
      <c r="S175" s="377">
        <f t="shared" si="29"/>
        <v>0</v>
      </c>
      <c r="T175" s="385"/>
      <c r="U175" s="377">
        <f t="shared" si="39"/>
        <v>0</v>
      </c>
      <c r="V175" s="612">
        <f t="shared" si="33"/>
        <v>59940</v>
      </c>
      <c r="W175" s="386">
        <f t="shared" si="38"/>
        <v>5994000</v>
      </c>
      <c r="X175" s="1080">
        <f t="shared" si="35"/>
        <v>3.33</v>
      </c>
      <c r="Y175" s="1116">
        <v>1800000</v>
      </c>
      <c r="Z175" s="1117">
        <f t="shared" si="36"/>
        <v>5994000</v>
      </c>
      <c r="AA175" s="593">
        <f t="shared" si="34"/>
        <v>153</v>
      </c>
      <c r="AB175" s="511">
        <f>IFERROR(INDEX('[17]CN BC'!$M$10:$M$276,MATCH(B175,'[17]CN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8" t="str">
        <f>VLOOKUP(B176,TH.T5!B176:F505,5,FALSE)</f>
        <v>Giảng viên khoa CNTT</v>
      </c>
      <c r="K176" s="384">
        <f t="shared" si="27"/>
        <v>4.32</v>
      </c>
      <c r="L176" s="377">
        <f t="shared" si="28"/>
        <v>7776000.0000000009</v>
      </c>
      <c r="M176" s="381" t="str">
        <f>VLOOKUP(B176,'[24]Gui chi Quynh'!$B$11:$E$400,4,FALSE)</f>
        <v>A3</v>
      </c>
      <c r="N176" s="512">
        <f t="shared" si="30"/>
        <v>9331200</v>
      </c>
      <c r="O176" s="381">
        <v>20</v>
      </c>
      <c r="P176" s="458">
        <f>IFERROR(INDEX('[17]CN BC'!$J$10:$J$276,MATCH(B176,'[17]CN BC'!$H$10:$H$276,0)),"")</f>
        <v>20</v>
      </c>
      <c r="Q176" s="512">
        <f t="shared" si="37"/>
        <v>9331200</v>
      </c>
      <c r="R176" s="478"/>
      <c r="S176" s="377">
        <f t="shared" si="29"/>
        <v>0</v>
      </c>
      <c r="T176" s="385"/>
      <c r="U176" s="377">
        <f t="shared" si="39"/>
        <v>0</v>
      </c>
      <c r="V176" s="612">
        <f t="shared" si="33"/>
        <v>77760</v>
      </c>
      <c r="W176" s="386">
        <f t="shared" si="38"/>
        <v>9331200</v>
      </c>
      <c r="X176" s="1080">
        <f t="shared" si="35"/>
        <v>5.1840000000000002</v>
      </c>
      <c r="Y176" s="1116">
        <v>1800000</v>
      </c>
      <c r="Z176" s="1117">
        <f t="shared" si="36"/>
        <v>9331200</v>
      </c>
      <c r="AA176" s="593">
        <f t="shared" si="34"/>
        <v>154</v>
      </c>
      <c r="AB176" s="511">
        <f>IFERROR(INDEX('[17]CN BC'!$M$10:$M$276,MATCH(B176,'[17]CN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8" t="str">
        <f>VLOOKUP(B177,TH.T5!B177:F506,5,FALSE)</f>
        <v>Giảng viên khoa CNTT</v>
      </c>
      <c r="K177" s="384">
        <f t="shared" si="27"/>
        <v>3.99</v>
      </c>
      <c r="L177" s="377">
        <f t="shared" si="28"/>
        <v>7182000</v>
      </c>
      <c r="M177" s="381" t="str">
        <f>VLOOKUP(B177,'[24]Gui chi Quynh'!$B$11:$E$400,4,FALSE)</f>
        <v>A3</v>
      </c>
      <c r="N177" s="512">
        <f t="shared" si="30"/>
        <v>8618400</v>
      </c>
      <c r="O177" s="381">
        <v>20</v>
      </c>
      <c r="P177" s="458">
        <f>IFERROR(INDEX('[17]CN BC'!$J$10:$J$276,MATCH(B177,'[17]CN BC'!$H$10:$H$276,0)),"")</f>
        <v>20</v>
      </c>
      <c r="Q177" s="512">
        <f t="shared" si="37"/>
        <v>8618400</v>
      </c>
      <c r="R177" s="408"/>
      <c r="S177" s="377">
        <f t="shared" si="29"/>
        <v>0</v>
      </c>
      <c r="T177" s="401"/>
      <c r="U177" s="377">
        <f t="shared" si="39"/>
        <v>0</v>
      </c>
      <c r="V177" s="612">
        <f t="shared" si="33"/>
        <v>71820</v>
      </c>
      <c r="W177" s="386">
        <f t="shared" si="38"/>
        <v>8618400</v>
      </c>
      <c r="X177" s="1080">
        <f t="shared" si="35"/>
        <v>4.7880000000000003</v>
      </c>
      <c r="Y177" s="1116">
        <v>1800000</v>
      </c>
      <c r="Z177" s="1117">
        <f t="shared" si="36"/>
        <v>8618400</v>
      </c>
      <c r="AA177" s="593">
        <f t="shared" si="34"/>
        <v>155</v>
      </c>
      <c r="AB177" s="511">
        <f>IFERROR(INDEX('[17]CN BC'!$M$10:$M$276,MATCH(B177,'[17]CN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8" t="str">
        <f>VLOOKUP(B178,TH.T5!B178:F507,5,FALSE)</f>
        <v>Giảng viên khoa CNTT</v>
      </c>
      <c r="K178" s="384">
        <f t="shared" si="27"/>
        <v>3.99</v>
      </c>
      <c r="L178" s="377">
        <f t="shared" si="28"/>
        <v>7182000</v>
      </c>
      <c r="M178" s="381" t="str">
        <f>VLOOKUP(B178,'[24]Gui chi Quynh'!$B$11:$E$400,4,FALSE)</f>
        <v>A3</v>
      </c>
      <c r="N178" s="512">
        <f t="shared" si="30"/>
        <v>8618400</v>
      </c>
      <c r="O178" s="381">
        <v>20</v>
      </c>
      <c r="P178" s="458">
        <f>IFERROR(INDEX('[17]CN BC'!$J$10:$J$276,MATCH(B178,'[17]CN BC'!$H$10:$H$276,0)),"")</f>
        <v>20</v>
      </c>
      <c r="Q178" s="512">
        <f t="shared" si="37"/>
        <v>8618400</v>
      </c>
      <c r="R178" s="408"/>
      <c r="S178" s="377">
        <f t="shared" si="29"/>
        <v>0</v>
      </c>
      <c r="T178" s="401"/>
      <c r="U178" s="377">
        <f t="shared" si="39"/>
        <v>0</v>
      </c>
      <c r="V178" s="612">
        <f t="shared" si="33"/>
        <v>71820</v>
      </c>
      <c r="W178" s="386">
        <f t="shared" si="38"/>
        <v>8618400</v>
      </c>
      <c r="X178" s="1080">
        <f t="shared" si="35"/>
        <v>4.7880000000000003</v>
      </c>
      <c r="Y178" s="1116">
        <v>1800000</v>
      </c>
      <c r="Z178" s="1117">
        <f t="shared" si="36"/>
        <v>8618400</v>
      </c>
      <c r="AA178" s="593">
        <f t="shared" si="34"/>
        <v>156</v>
      </c>
      <c r="AB178" s="511">
        <f>IFERROR(INDEX('[17]CN BC'!$M$10:$M$276,MATCH(B178,'[17]CN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8" t="str">
        <f>VLOOKUP(B179,TH.T5!B179:F508,5,FALSE)</f>
        <v>Giảng viên khoa CNTT</v>
      </c>
      <c r="K179" s="384">
        <f t="shared" si="27"/>
        <v>3.66</v>
      </c>
      <c r="L179" s="377">
        <f t="shared" si="28"/>
        <v>6588000</v>
      </c>
      <c r="M179" s="381" t="str">
        <f>VLOOKUP(B179,'[24]Gui chi Quynh'!$B$11:$E$400,4,FALSE)</f>
        <v>A4</v>
      </c>
      <c r="N179" s="512">
        <f t="shared" si="30"/>
        <v>6588000</v>
      </c>
      <c r="O179" s="381">
        <v>20</v>
      </c>
      <c r="P179" s="485">
        <f>IFERROR(INDEX('[17]CN BC'!$J$10:$J$276,MATCH(B179,'[17]CN BC'!$H$10:$H$276,0)),"")</f>
        <v>20</v>
      </c>
      <c r="Q179" s="512">
        <f t="shared" si="37"/>
        <v>6588000</v>
      </c>
      <c r="R179" s="478"/>
      <c r="S179" s="377">
        <f t="shared" si="29"/>
        <v>0</v>
      </c>
      <c r="T179" s="385"/>
      <c r="U179" s="377">
        <f t="shared" si="39"/>
        <v>0</v>
      </c>
      <c r="V179" s="377">
        <f t="shared" si="33"/>
        <v>65880</v>
      </c>
      <c r="W179" s="386">
        <f t="shared" si="38"/>
        <v>6588000</v>
      </c>
      <c r="X179" s="1080">
        <f t="shared" si="35"/>
        <v>3.66</v>
      </c>
      <c r="Y179" s="1116">
        <v>1800000</v>
      </c>
      <c r="Z179" s="1117">
        <f t="shared" si="36"/>
        <v>6588000</v>
      </c>
      <c r="AA179" s="593">
        <f t="shared" si="34"/>
        <v>157</v>
      </c>
      <c r="AB179" s="576">
        <f>IFERROR(INDEX('[17]CN BC'!$M$10:$M$276,MATCH(B179,'[17]CN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8" t="str">
        <f>VLOOKUP(B180,TH.T5!B180:F509,5,FALSE)</f>
        <v>Giảng viên khoa CNTT</v>
      </c>
      <c r="K180" s="384">
        <f t="shared" si="27"/>
        <v>3.99</v>
      </c>
      <c r="L180" s="377">
        <f t="shared" si="28"/>
        <v>7182000</v>
      </c>
      <c r="M180" s="381" t="str">
        <f>VLOOKUP(B180,'[24]Gui chi Quynh'!$B$11:$E$400,4,FALSE)</f>
        <v>A3</v>
      </c>
      <c r="N180" s="512">
        <f t="shared" si="30"/>
        <v>8618400</v>
      </c>
      <c r="O180" s="381">
        <v>20</v>
      </c>
      <c r="P180" s="458">
        <f>IFERROR(INDEX('[17]CN BC'!$J$10:$J$276,MATCH(B180,'[17]CN BC'!$H$10:$H$276,0)),"")</f>
        <v>20</v>
      </c>
      <c r="Q180" s="512">
        <f t="shared" si="37"/>
        <v>8618400</v>
      </c>
      <c r="R180" s="408"/>
      <c r="S180" s="377">
        <f t="shared" si="29"/>
        <v>0</v>
      </c>
      <c r="T180" s="385"/>
      <c r="U180" s="377">
        <f t="shared" si="39"/>
        <v>0</v>
      </c>
      <c r="V180" s="612">
        <f t="shared" si="33"/>
        <v>71820</v>
      </c>
      <c r="W180" s="386">
        <f t="shared" si="38"/>
        <v>8618400</v>
      </c>
      <c r="X180" s="1080">
        <f t="shared" si="35"/>
        <v>4.7880000000000003</v>
      </c>
      <c r="Y180" s="1116">
        <v>1800000</v>
      </c>
      <c r="Z180" s="1117">
        <f t="shared" si="36"/>
        <v>8618400</v>
      </c>
      <c r="AA180" s="593">
        <f t="shared" si="34"/>
        <v>158</v>
      </c>
      <c r="AB180" s="511">
        <f>IFERROR(INDEX('[17]CN BC'!$M$10:$M$276,MATCH(B180,'[17]CN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8" t="str">
        <f>VLOOKUP(B181,TH.T5!B181:F510,5,FALSE)</f>
        <v>Giảng viên khoa CNTT</v>
      </c>
      <c r="K181" s="384">
        <f t="shared" si="27"/>
        <v>3.99</v>
      </c>
      <c r="L181" s="377">
        <f t="shared" si="28"/>
        <v>7182000</v>
      </c>
      <c r="M181" s="381" t="str">
        <f>VLOOKUP(B181,'[24]Gui chi Quynh'!$B$11:$E$400,4,FALSE)</f>
        <v>A3</v>
      </c>
      <c r="N181" s="512">
        <f t="shared" si="30"/>
        <v>8618400</v>
      </c>
      <c r="O181" s="381">
        <v>20</v>
      </c>
      <c r="P181" s="458">
        <f>IFERROR(INDEX('[17]CN BC'!$J$10:$J$276,MATCH(B181,'[17]CN BC'!$H$10:$H$276,0)),"")</f>
        <v>20</v>
      </c>
      <c r="Q181" s="512">
        <f t="shared" si="37"/>
        <v>8618400</v>
      </c>
      <c r="R181" s="478"/>
      <c r="S181" s="377">
        <f t="shared" si="29"/>
        <v>0</v>
      </c>
      <c r="T181" s="385"/>
      <c r="U181" s="377">
        <f t="shared" si="39"/>
        <v>0</v>
      </c>
      <c r="V181" s="612">
        <f t="shared" si="33"/>
        <v>71820</v>
      </c>
      <c r="W181" s="386">
        <f t="shared" si="38"/>
        <v>8618400</v>
      </c>
      <c r="X181" s="1080">
        <f t="shared" si="35"/>
        <v>4.7880000000000003</v>
      </c>
      <c r="Y181" s="1116">
        <v>1800000</v>
      </c>
      <c r="Z181" s="1117">
        <f t="shared" si="36"/>
        <v>8618400</v>
      </c>
      <c r="AA181" s="593">
        <f t="shared" si="34"/>
        <v>159</v>
      </c>
      <c r="AB181" s="511">
        <f>IFERROR(INDEX('[17]CN BC'!$M$10:$M$276,MATCH(B181,'[17]CN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8" t="str">
        <f>VLOOKUP(B182,TH.T5!B182:F511,5,FALSE)</f>
        <v>Trưởng BM khoa CNTT</v>
      </c>
      <c r="K182" s="384">
        <f t="shared" si="27"/>
        <v>4.4400000000000004</v>
      </c>
      <c r="L182" s="377">
        <f t="shared" si="28"/>
        <v>7992000.0000000009</v>
      </c>
      <c r="M182" s="381" t="str">
        <f>VLOOKUP(B182,'[24]Gui chi Quynh'!$B$11:$E$400,4,FALSE)</f>
        <v>A3</v>
      </c>
      <c r="N182" s="512">
        <f t="shared" si="30"/>
        <v>9590400</v>
      </c>
      <c r="O182" s="381">
        <v>20</v>
      </c>
      <c r="P182" s="458">
        <f>IFERROR(INDEX('[17]CN BC'!$J$10:$J$276,MATCH(B182,'[17]CN BC'!$H$10:$H$276,0)),"")</f>
        <v>20</v>
      </c>
      <c r="Q182" s="512">
        <f t="shared" si="37"/>
        <v>9590400</v>
      </c>
      <c r="R182" s="408"/>
      <c r="S182" s="377">
        <f t="shared" si="29"/>
        <v>0</v>
      </c>
      <c r="T182" s="401"/>
      <c r="U182" s="377">
        <f t="shared" si="39"/>
        <v>0</v>
      </c>
      <c r="V182" s="612">
        <f t="shared" si="33"/>
        <v>79920</v>
      </c>
      <c r="W182" s="386">
        <f t="shared" si="38"/>
        <v>9590400</v>
      </c>
      <c r="X182" s="1080">
        <f t="shared" si="35"/>
        <v>5.3280000000000003</v>
      </c>
      <c r="Y182" s="1116">
        <v>1800000</v>
      </c>
      <c r="Z182" s="1117">
        <f t="shared" si="36"/>
        <v>9590400</v>
      </c>
      <c r="AA182" s="593">
        <f t="shared" si="34"/>
        <v>160</v>
      </c>
      <c r="AB182" s="511">
        <f>IFERROR(INDEX('[17]CN BC'!$M$10:$M$276,MATCH(B182,'[17]CN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8" t="str">
        <f>VLOOKUP(B183,TH.T5!B183:F512,5,FALSE)</f>
        <v>Giảng viên khoa CNTT</v>
      </c>
      <c r="K183" s="384">
        <f t="shared" si="27"/>
        <v>3.66</v>
      </c>
      <c r="L183" s="377">
        <f t="shared" si="28"/>
        <v>6588000</v>
      </c>
      <c r="M183" s="381" t="str">
        <f>VLOOKUP(B183,'[24]Gui chi Quynh'!$B$11:$E$400,4,FALSE)</f>
        <v>A3</v>
      </c>
      <c r="N183" s="512">
        <f t="shared" si="30"/>
        <v>7905600</v>
      </c>
      <c r="O183" s="381">
        <v>20</v>
      </c>
      <c r="P183" s="458">
        <f>IFERROR(INDEX('[17]CN BC'!$J$10:$J$276,MATCH(B183,'[17]CN BC'!$H$10:$H$276,0)),"")</f>
        <v>20</v>
      </c>
      <c r="Q183" s="512">
        <f t="shared" si="37"/>
        <v>7905600</v>
      </c>
      <c r="R183" s="478"/>
      <c r="S183" s="377">
        <f t="shared" si="29"/>
        <v>0</v>
      </c>
      <c r="T183" s="385"/>
      <c r="U183" s="377">
        <f t="shared" si="39"/>
        <v>0</v>
      </c>
      <c r="V183" s="612">
        <f t="shared" si="33"/>
        <v>65880</v>
      </c>
      <c r="W183" s="386">
        <f t="shared" si="38"/>
        <v>7905600</v>
      </c>
      <c r="X183" s="1080">
        <f t="shared" si="35"/>
        <v>4.3920000000000003</v>
      </c>
      <c r="Y183" s="1116">
        <v>1800000</v>
      </c>
      <c r="Z183" s="1117">
        <f t="shared" si="36"/>
        <v>7905600.0000000009</v>
      </c>
      <c r="AA183" s="593">
        <f t="shared" si="34"/>
        <v>161</v>
      </c>
      <c r="AB183" s="511">
        <f>IFERROR(INDEX('[17]CN BC'!$M$10:$M$276,MATCH(B183,'[17]CN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8" t="str">
        <f>VLOOKUP(B184,TH.T5!B184:F513,5,FALSE)</f>
        <v>Giảng viên khoa CNTT</v>
      </c>
      <c r="K184" s="384">
        <f t="shared" si="27"/>
        <v>3.66</v>
      </c>
      <c r="L184" s="377">
        <f t="shared" si="28"/>
        <v>6588000</v>
      </c>
      <c r="M184" s="381" t="str">
        <f>VLOOKUP(B184,'[24]Gui chi Quynh'!$B$11:$E$400,4,FALSE)</f>
        <v>A3</v>
      </c>
      <c r="N184" s="512">
        <f t="shared" si="30"/>
        <v>7905600</v>
      </c>
      <c r="O184" s="381">
        <v>20</v>
      </c>
      <c r="P184" s="458">
        <f>IFERROR(INDEX('[17]CN BC'!$J$10:$J$276,MATCH(B184,'[17]CN BC'!$H$10:$H$276,0)),"")</f>
        <v>20</v>
      </c>
      <c r="Q184" s="512">
        <f t="shared" si="37"/>
        <v>7905600</v>
      </c>
      <c r="R184" s="408"/>
      <c r="S184" s="377">
        <f t="shared" si="29"/>
        <v>0</v>
      </c>
      <c r="T184" s="385"/>
      <c r="U184" s="377">
        <f t="shared" si="39"/>
        <v>0</v>
      </c>
      <c r="V184" s="612">
        <f t="shared" si="33"/>
        <v>65880</v>
      </c>
      <c r="W184" s="386">
        <f t="shared" si="38"/>
        <v>7905600</v>
      </c>
      <c r="X184" s="1080">
        <f t="shared" si="35"/>
        <v>4.3920000000000003</v>
      </c>
      <c r="Y184" s="1116">
        <v>1800000</v>
      </c>
      <c r="Z184" s="1117">
        <f t="shared" si="36"/>
        <v>7905600.0000000009</v>
      </c>
      <c r="AA184" s="593">
        <f t="shared" si="34"/>
        <v>162</v>
      </c>
      <c r="AB184" s="511">
        <f>IFERROR(INDEX('[17]CN BC'!$M$10:$M$276,MATCH(B184,'[17]CN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8" t="str">
        <f>VLOOKUP(B185,TH.T5!B185:F514,5,FALSE)</f>
        <v>Giảng viên khoa CNTT</v>
      </c>
      <c r="K185" s="384">
        <f t="shared" ref="K185:K248" si="41">H185+I185</f>
        <v>3.66</v>
      </c>
      <c r="L185" s="377">
        <f t="shared" ref="L185:L248" si="42">K185*$G$19</f>
        <v>6588000</v>
      </c>
      <c r="M185" s="381" t="str">
        <f>VLOOKUP(B185,'[24]Gui chi Quynh'!$B$11:$E$400,4,FALSE)</f>
        <v>A3</v>
      </c>
      <c r="N185" s="512">
        <f t="shared" si="30"/>
        <v>7905600</v>
      </c>
      <c r="O185" s="381">
        <v>20</v>
      </c>
      <c r="P185" s="458">
        <f>IFERROR(INDEX('[17]CN BC'!$J$10:$J$276,MATCH(B185,'[17]CN BC'!$H$10:$H$276,0)),"")</f>
        <v>20</v>
      </c>
      <c r="Q185" s="512">
        <f t="shared" si="37"/>
        <v>7905600</v>
      </c>
      <c r="R185" s="408"/>
      <c r="S185" s="377">
        <f t="shared" si="29"/>
        <v>0</v>
      </c>
      <c r="T185" s="401"/>
      <c r="U185" s="377">
        <f t="shared" si="39"/>
        <v>0</v>
      </c>
      <c r="V185" s="612">
        <f t="shared" si="33"/>
        <v>65880</v>
      </c>
      <c r="W185" s="386">
        <f t="shared" si="38"/>
        <v>7905600</v>
      </c>
      <c r="X185" s="1080">
        <f t="shared" si="35"/>
        <v>4.3920000000000003</v>
      </c>
      <c r="Y185" s="1116">
        <v>1800000</v>
      </c>
      <c r="Z185" s="1117">
        <f t="shared" si="36"/>
        <v>7905600.0000000009</v>
      </c>
      <c r="AA185" s="593">
        <f t="shared" si="34"/>
        <v>163</v>
      </c>
      <c r="AB185" s="511">
        <f>IFERROR(INDEX('[17]CN BC'!$M$10:$M$276,MATCH(B185,'[17]CN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8" t="str">
        <f>VLOOKUP(B186,TH.T5!B186:F515,5,FALSE)</f>
        <v>Phó Trưởng khoa CNTT</v>
      </c>
      <c r="K186" s="384">
        <f t="shared" si="41"/>
        <v>4.34</v>
      </c>
      <c r="L186" s="377">
        <f t="shared" si="42"/>
        <v>7812000</v>
      </c>
      <c r="M186" s="381" t="str">
        <f>VLOOKUP(B186,'[24]Gui chi Quynh'!$B$11:$E$400,4,FALSE)</f>
        <v>A2</v>
      </c>
      <c r="N186" s="512">
        <f t="shared" si="30"/>
        <v>10936800</v>
      </c>
      <c r="O186" s="381">
        <v>20</v>
      </c>
      <c r="P186" s="458">
        <f>IFERROR(INDEX('[17]CN BC'!$J$10:$J$276,MATCH(B186,'[17]CN BC'!$H$10:$H$276,0)),"")</f>
        <v>20</v>
      </c>
      <c r="Q186" s="512">
        <f t="shared" si="37"/>
        <v>10936800</v>
      </c>
      <c r="R186" s="408"/>
      <c r="S186" s="377">
        <f t="shared" si="29"/>
        <v>0</v>
      </c>
      <c r="T186" s="401"/>
      <c r="U186" s="377">
        <f t="shared" si="39"/>
        <v>0</v>
      </c>
      <c r="V186" s="612">
        <f t="shared" si="33"/>
        <v>78120</v>
      </c>
      <c r="W186" s="386">
        <f t="shared" si="38"/>
        <v>10936800</v>
      </c>
      <c r="X186" s="1080">
        <f t="shared" si="35"/>
        <v>6.0759999999999996</v>
      </c>
      <c r="Y186" s="1116">
        <v>1800000</v>
      </c>
      <c r="Z186" s="1117">
        <f t="shared" si="36"/>
        <v>10936800</v>
      </c>
      <c r="AA186" s="593">
        <f t="shared" si="34"/>
        <v>164</v>
      </c>
      <c r="AB186" s="511">
        <f>IFERROR(INDEX('[17]CN BC'!$M$10:$M$276,MATCH(B186,'[17]CN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8" t="str">
        <f>VLOOKUP(B187,TH.T5!B187:F516,5,FALSE)</f>
        <v>Giảng viên khoa CNTT</v>
      </c>
      <c r="K187" s="384">
        <f t="shared" si="41"/>
        <v>3.66</v>
      </c>
      <c r="L187" s="377">
        <f t="shared" si="42"/>
        <v>6588000</v>
      </c>
      <c r="M187" s="381" t="str">
        <f>VLOOKUP(B187,'[24]Gui chi Quynh'!$B$11:$E$400,4,FALSE)</f>
        <v>A4</v>
      </c>
      <c r="N187" s="512">
        <f t="shared" si="30"/>
        <v>6588000</v>
      </c>
      <c r="O187" s="381">
        <v>20</v>
      </c>
      <c r="P187" s="458">
        <f>IFERROR(INDEX('[17]CN BC'!$J$10:$J$276,MATCH(B187,'[17]CN BC'!$H$10:$H$276,0)),"")</f>
        <v>20</v>
      </c>
      <c r="Q187" s="512">
        <f t="shared" si="37"/>
        <v>6588000</v>
      </c>
      <c r="R187" s="478"/>
      <c r="S187" s="377">
        <f t="shared" si="29"/>
        <v>0</v>
      </c>
      <c r="T187" s="385"/>
      <c r="U187" s="377">
        <f t="shared" si="39"/>
        <v>0</v>
      </c>
      <c r="V187" s="612">
        <f t="shared" si="33"/>
        <v>65880</v>
      </c>
      <c r="W187" s="386">
        <f t="shared" si="38"/>
        <v>6588000</v>
      </c>
      <c r="X187" s="1080">
        <f t="shared" si="35"/>
        <v>3.66</v>
      </c>
      <c r="Y187" s="1116">
        <v>1800000</v>
      </c>
      <c r="Z187" s="1117">
        <f t="shared" si="36"/>
        <v>6588000</v>
      </c>
      <c r="AA187" s="593">
        <f t="shared" si="34"/>
        <v>165</v>
      </c>
      <c r="AB187" s="511">
        <f>IFERROR(INDEX('[17]CN BC'!$M$10:$M$276,MATCH(B187,'[17]CN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8" t="str">
        <f>VLOOKUP(B188,TH.T5!B188:F517,5,FALSE)</f>
        <v>Giảng viên khoa CNTT</v>
      </c>
      <c r="K188" s="384">
        <f t="shared" si="41"/>
        <v>4.24</v>
      </c>
      <c r="L188" s="377">
        <f t="shared" si="42"/>
        <v>7632000</v>
      </c>
      <c r="M188" s="381" t="str">
        <f>VLOOKUP(B188,'[24]Gui chi Quynh'!$B$11:$E$400,4,FALSE)</f>
        <v>A3</v>
      </c>
      <c r="N188" s="512">
        <f t="shared" si="30"/>
        <v>9158400</v>
      </c>
      <c r="O188" s="381">
        <v>20</v>
      </c>
      <c r="P188" s="458">
        <f>IFERROR(INDEX('[17]CN BC'!$J$10:$J$276,MATCH(B188,'[17]CN BC'!$H$10:$H$276,0)),"")</f>
        <v>20</v>
      </c>
      <c r="Q188" s="512">
        <f t="shared" si="37"/>
        <v>9158400</v>
      </c>
      <c r="R188" s="408"/>
      <c r="S188" s="377">
        <f t="shared" si="29"/>
        <v>0</v>
      </c>
      <c r="T188" s="385"/>
      <c r="U188" s="377">
        <f t="shared" si="39"/>
        <v>0</v>
      </c>
      <c r="V188" s="612">
        <f t="shared" si="33"/>
        <v>76320</v>
      </c>
      <c r="W188" s="386">
        <f t="shared" si="38"/>
        <v>9158400</v>
      </c>
      <c r="X188" s="1080">
        <f t="shared" si="35"/>
        <v>5.0880000000000001</v>
      </c>
      <c r="Y188" s="1116">
        <v>1800000</v>
      </c>
      <c r="Z188" s="1117">
        <f t="shared" si="36"/>
        <v>9158400</v>
      </c>
      <c r="AA188" s="593">
        <f t="shared" si="34"/>
        <v>166</v>
      </c>
      <c r="AB188" s="511">
        <f>IFERROR(INDEX('[17]CN BC'!$M$10:$M$276,MATCH(B188,'[17]CN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8" t="str">
        <f>VLOOKUP(B189,TH.T5!B189:F518,5,FALSE)</f>
        <v>Giảng viên khoa CNTT</v>
      </c>
      <c r="K189" s="384">
        <f t="shared" si="41"/>
        <v>3.33</v>
      </c>
      <c r="L189" s="377">
        <f t="shared" si="42"/>
        <v>5994000</v>
      </c>
      <c r="M189" s="381" t="str">
        <f>VLOOKUP(B189,'[24]Gui chi Quynh'!$B$11:$E$400,4,FALSE)</f>
        <v>A3</v>
      </c>
      <c r="N189" s="512">
        <f t="shared" si="30"/>
        <v>7192800</v>
      </c>
      <c r="O189" s="381">
        <v>20</v>
      </c>
      <c r="P189" s="458">
        <f>IFERROR(INDEX('[17]CN BC'!$J$10:$J$276,MATCH(B189,'[17]CN BC'!$H$10:$H$276,0)),"")</f>
        <v>20</v>
      </c>
      <c r="Q189" s="512">
        <f t="shared" si="37"/>
        <v>7192800</v>
      </c>
      <c r="R189" s="478"/>
      <c r="S189" s="377">
        <f t="shared" si="29"/>
        <v>0</v>
      </c>
      <c r="T189" s="385"/>
      <c r="U189" s="377">
        <f t="shared" si="39"/>
        <v>0</v>
      </c>
      <c r="V189" s="612">
        <f t="shared" si="33"/>
        <v>59940</v>
      </c>
      <c r="W189" s="386">
        <f t="shared" si="38"/>
        <v>7192800</v>
      </c>
      <c r="X189" s="1080">
        <f t="shared" si="35"/>
        <v>3.996</v>
      </c>
      <c r="Y189" s="1116">
        <v>1800000</v>
      </c>
      <c r="Z189" s="1117">
        <f t="shared" si="36"/>
        <v>7192800</v>
      </c>
      <c r="AA189" s="593">
        <f t="shared" si="34"/>
        <v>167</v>
      </c>
      <c r="AB189" s="511">
        <f>IFERROR(INDEX('[17]CN BC'!$M$10:$M$276,MATCH(B189,'[17]CN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8" t="str">
        <f>VLOOKUP(B190,TH.T5!B190:F519,5,FALSE)</f>
        <v>Giảng viên khoa CNTT</v>
      </c>
      <c r="K190" s="384">
        <f t="shared" si="41"/>
        <v>3.99</v>
      </c>
      <c r="L190" s="377">
        <f t="shared" si="42"/>
        <v>7182000</v>
      </c>
      <c r="M190" s="381" t="str">
        <f>VLOOKUP(B190,'[24]Gui chi Quynh'!$B$11:$E$400,4,FALSE)</f>
        <v>A3</v>
      </c>
      <c r="N190" s="512">
        <f t="shared" si="30"/>
        <v>8618400</v>
      </c>
      <c r="O190" s="381">
        <v>20</v>
      </c>
      <c r="P190" s="458">
        <f>IFERROR(INDEX('[17]CN BC'!$J$10:$J$276,MATCH(B190,'[17]CN BC'!$H$10:$H$276,0)),"")</f>
        <v>20</v>
      </c>
      <c r="Q190" s="512">
        <f t="shared" si="37"/>
        <v>8618400</v>
      </c>
      <c r="R190" s="408"/>
      <c r="S190" s="377">
        <f t="shared" si="29"/>
        <v>0</v>
      </c>
      <c r="T190" s="401"/>
      <c r="U190" s="377">
        <f t="shared" si="39"/>
        <v>0</v>
      </c>
      <c r="V190" s="612">
        <f t="shared" si="33"/>
        <v>71820</v>
      </c>
      <c r="W190" s="386">
        <f t="shared" si="38"/>
        <v>8618400</v>
      </c>
      <c r="X190" s="1080">
        <f t="shared" si="35"/>
        <v>4.7880000000000003</v>
      </c>
      <c r="Y190" s="1116">
        <v>1800000</v>
      </c>
      <c r="Z190" s="1117">
        <f t="shared" si="36"/>
        <v>8618400</v>
      </c>
      <c r="AA190" s="593">
        <f t="shared" si="34"/>
        <v>168</v>
      </c>
      <c r="AB190" s="511">
        <f>IFERROR(INDEX('[17]CN BC'!$M$10:$M$276,MATCH(B190,'[17]CN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8" t="str">
        <f>VLOOKUP(B191,TH.T5!B191:F520,5,FALSE)</f>
        <v>Giảng viên khoa CNTT</v>
      </c>
      <c r="K191" s="384">
        <f t="shared" si="41"/>
        <v>3.66</v>
      </c>
      <c r="L191" s="377">
        <f t="shared" si="42"/>
        <v>6588000</v>
      </c>
      <c r="M191" s="381" t="str">
        <f>VLOOKUP(B191,'[24]Gui chi Quynh'!$B$11:$E$400,4,FALSE)</f>
        <v>A3</v>
      </c>
      <c r="N191" s="512">
        <f t="shared" si="30"/>
        <v>7905600</v>
      </c>
      <c r="O191" s="381">
        <v>20</v>
      </c>
      <c r="P191" s="458">
        <f>IFERROR(INDEX('[17]CN BC'!$J$10:$J$276,MATCH(B191,'[17]CN BC'!$H$10:$H$276,0)),"")</f>
        <v>20</v>
      </c>
      <c r="Q191" s="512">
        <f t="shared" si="37"/>
        <v>7905600</v>
      </c>
      <c r="R191" s="408"/>
      <c r="S191" s="377">
        <f t="shared" si="29"/>
        <v>0</v>
      </c>
      <c r="T191" s="401"/>
      <c r="U191" s="377">
        <f t="shared" si="39"/>
        <v>0</v>
      </c>
      <c r="V191" s="612">
        <f t="shared" si="33"/>
        <v>65880</v>
      </c>
      <c r="W191" s="386">
        <f t="shared" si="38"/>
        <v>7905600</v>
      </c>
      <c r="X191" s="1080">
        <f t="shared" si="35"/>
        <v>4.3920000000000003</v>
      </c>
      <c r="Y191" s="1116">
        <v>1800000</v>
      </c>
      <c r="Z191" s="1117">
        <f t="shared" si="36"/>
        <v>7905600.0000000009</v>
      </c>
      <c r="AA191" s="593">
        <f t="shared" si="34"/>
        <v>169</v>
      </c>
      <c r="AB191" s="511">
        <f>IFERROR(INDEX('[17]CN BC'!$M$10:$M$276,MATCH(B191,'[17]CN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8" t="str">
        <f>VLOOKUP(B192,TH.T5!B192:F521,5,FALSE)</f>
        <v>Giảng viên khoa CNTT</v>
      </c>
      <c r="K192" s="384">
        <f t="shared" si="41"/>
        <v>4.24</v>
      </c>
      <c r="L192" s="377">
        <f t="shared" si="42"/>
        <v>7632000</v>
      </c>
      <c r="M192" s="381" t="str">
        <f>VLOOKUP(B192,'[24]Gui chi Quynh'!$B$11:$E$400,4,FALSE)</f>
        <v>A1</v>
      </c>
      <c r="N192" s="512">
        <f t="shared" si="30"/>
        <v>12211200</v>
      </c>
      <c r="O192" s="381">
        <v>20</v>
      </c>
      <c r="P192" s="458">
        <f>IFERROR(INDEX('[17]CN BC'!$J$10:$J$276,MATCH(B192,'[17]CN BC'!$H$10:$H$276,0)),"")</f>
        <v>20</v>
      </c>
      <c r="Q192" s="512">
        <f t="shared" si="37"/>
        <v>12211200</v>
      </c>
      <c r="R192" s="478"/>
      <c r="S192" s="377">
        <f t="shared" si="29"/>
        <v>0</v>
      </c>
      <c r="T192" s="385"/>
      <c r="U192" s="377">
        <f t="shared" si="39"/>
        <v>0</v>
      </c>
      <c r="V192" s="377">
        <f t="shared" si="33"/>
        <v>76320</v>
      </c>
      <c r="W192" s="386">
        <f t="shared" si="38"/>
        <v>12211200</v>
      </c>
      <c r="X192" s="1080">
        <f t="shared" si="35"/>
        <v>6.7839999999999998</v>
      </c>
      <c r="Y192" s="1116">
        <v>1800000</v>
      </c>
      <c r="Z192" s="1117">
        <f t="shared" si="36"/>
        <v>12211200</v>
      </c>
      <c r="AA192" s="593">
        <f t="shared" si="34"/>
        <v>170</v>
      </c>
      <c r="AB192" s="511">
        <f>IFERROR(INDEX('[17]CN BC'!$M$10:$M$276,MATCH(B192,'[17]CN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8" t="str">
        <f>VLOOKUP(B193,TH.T5!B193:F522,5,FALSE)</f>
        <v>Giảng viên khoa CNTT</v>
      </c>
      <c r="K193" s="384">
        <f>H193+I193</f>
        <v>4.32</v>
      </c>
      <c r="L193" s="377">
        <f>K193*$G$19</f>
        <v>7776000.0000000009</v>
      </c>
      <c r="M193" s="381" t="str">
        <f>VLOOKUP(B193,'[24]Gui chi Quynh'!$B$11:$E$400,4,FALSE)</f>
        <v>A3</v>
      </c>
      <c r="N193" s="512">
        <f t="shared" si="30"/>
        <v>9331200</v>
      </c>
      <c r="O193" s="381">
        <v>20</v>
      </c>
      <c r="P193" s="458">
        <f>IFERROR(INDEX('[17]CN BC'!$J$10:$J$276,MATCH(B193,'[17]CN BC'!$H$10:$H$276,0)),"")</f>
        <v>20</v>
      </c>
      <c r="Q193" s="512">
        <f t="shared" si="37"/>
        <v>9331200</v>
      </c>
      <c r="R193" s="478"/>
      <c r="S193" s="377">
        <f t="shared" si="29"/>
        <v>0</v>
      </c>
      <c r="T193" s="385"/>
      <c r="U193" s="377">
        <f t="shared" si="39"/>
        <v>0</v>
      </c>
      <c r="V193" s="612">
        <f>IF(OR(M193="A DN",M193="KXL", M193=""),"0",ROUND(K193*0.01*$G$19+R193*1%*$G$19+T193*1%*$G$19,))</f>
        <v>77760</v>
      </c>
      <c r="W193" s="386">
        <f t="shared" si="38"/>
        <v>9331200</v>
      </c>
      <c r="X193" s="1080">
        <f t="shared" si="35"/>
        <v>5.1840000000000002</v>
      </c>
      <c r="Y193" s="1116">
        <v>1800000</v>
      </c>
      <c r="Z193" s="1117">
        <f t="shared" si="36"/>
        <v>9331200</v>
      </c>
      <c r="AA193" s="593">
        <f t="shared" si="34"/>
        <v>171</v>
      </c>
      <c r="AB193" s="511">
        <f>IFERROR(INDEX('[17]CN BC'!$M$10:$M$276,MATCH(B193,'[17]CN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8" t="str">
        <f>VLOOKUP(B194,TH.T5!B194:F523,5,FALSE)</f>
        <v>Giảng viên khoa CNTT</v>
      </c>
      <c r="K194" s="384">
        <f>H194+I194</f>
        <v>2.2690000000000001</v>
      </c>
      <c r="L194" s="377">
        <f>K194*$G$19</f>
        <v>4084200</v>
      </c>
      <c r="M194" s="381" t="str">
        <f>VLOOKUP(B194,'[24]Gui chi Quynh'!$B$11:$E$400,4,FALSE)</f>
        <v>A3</v>
      </c>
      <c r="N194" s="512">
        <f t="shared" si="30"/>
        <v>4901040</v>
      </c>
      <c r="O194" s="381">
        <v>20</v>
      </c>
      <c r="P194" s="458">
        <f>IFERROR(INDEX('[17]CN BC'!$J$10:$J$276,MATCH(B194,'[17]CN BC'!$H$10:$H$276,0)),"")</f>
        <v>20</v>
      </c>
      <c r="Q194" s="512">
        <f t="shared" si="37"/>
        <v>4901040</v>
      </c>
      <c r="R194" s="478"/>
      <c r="S194" s="377">
        <f t="shared" si="29"/>
        <v>0</v>
      </c>
      <c r="T194" s="385"/>
      <c r="U194" s="377">
        <f t="shared" si="39"/>
        <v>0</v>
      </c>
      <c r="V194" s="612">
        <f>IF(OR(M194="A DN",M194="KXL", M194=""),"0",ROUND(K194*0.01*$G$19+R194*1%*$G$19+T194*1%*$G$19,))</f>
        <v>40842</v>
      </c>
      <c r="W194" s="386">
        <f t="shared" si="38"/>
        <v>4901040</v>
      </c>
      <c r="X194" s="1080">
        <f t="shared" si="35"/>
        <v>2.7227999999999999</v>
      </c>
      <c r="Y194" s="1116">
        <v>1800000</v>
      </c>
      <c r="Z194" s="1117">
        <f t="shared" si="36"/>
        <v>4901040</v>
      </c>
      <c r="AA194" s="593">
        <f t="shared" si="34"/>
        <v>172</v>
      </c>
      <c r="AB194" s="511">
        <f>IFERROR(INDEX('[17]CN BC'!$M$10:$M$276,MATCH(B194,'[17]CN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8" t="str">
        <f>VLOOKUP(B195,TH.T5!B195:F524,5,FALSE)</f>
        <v>Giảng viên khoa CNTT</v>
      </c>
      <c r="K195" s="384">
        <f>H195+I195</f>
        <v>1.9890000000000001</v>
      </c>
      <c r="L195" s="377">
        <f>K195*$G$19</f>
        <v>3580200</v>
      </c>
      <c r="M195" s="381" t="str">
        <f>VLOOKUP(B195,'[24]Gui chi Quynh'!$B$11:$E$400,4,FALSE)</f>
        <v>A3</v>
      </c>
      <c r="N195" s="512">
        <f t="shared" si="30"/>
        <v>4296240</v>
      </c>
      <c r="O195" s="381">
        <v>20</v>
      </c>
      <c r="P195" s="458">
        <f>IFERROR(INDEX('[17]CN BC'!$J$10:$J$276,MATCH(B195,'[17]CN BC'!$H$10:$H$276,0)),"")</f>
        <v>20</v>
      </c>
      <c r="Q195" s="512">
        <f t="shared" si="37"/>
        <v>4296240</v>
      </c>
      <c r="R195" s="478"/>
      <c r="S195" s="377">
        <f t="shared" si="29"/>
        <v>0</v>
      </c>
      <c r="T195" s="385"/>
      <c r="U195" s="377">
        <f t="shared" si="39"/>
        <v>0</v>
      </c>
      <c r="V195" s="612">
        <f>IF(OR(M195="A DN",M195="KXL", M195=""),"0",ROUND(K195*0.01*$G$19+R195*1%*$G$19+T195*1%*$G$19,))</f>
        <v>35802</v>
      </c>
      <c r="W195" s="386">
        <f t="shared" si="38"/>
        <v>4296240</v>
      </c>
      <c r="X195" s="1080">
        <f t="shared" si="35"/>
        <v>2.3868</v>
      </c>
      <c r="Y195" s="1116">
        <v>1800000</v>
      </c>
      <c r="Z195" s="1117">
        <f t="shared" si="36"/>
        <v>4296240</v>
      </c>
      <c r="AA195" s="593">
        <f t="shared" si="34"/>
        <v>173</v>
      </c>
      <c r="AB195" s="511">
        <f>IFERROR(INDEX('[17]CN BC'!$M$10:$M$276,MATCH(B195,'[17]CN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8" t="str">
        <f>VLOOKUP(B196,TH.T5!B196:F525,5,FALSE)</f>
        <v>Trưởng khoa Cơ khí</v>
      </c>
      <c r="K196" s="384">
        <f t="shared" si="41"/>
        <v>5.1000000000000005</v>
      </c>
      <c r="L196" s="377">
        <f t="shared" si="42"/>
        <v>9180000.0000000019</v>
      </c>
      <c r="M196" s="381" t="str">
        <f>VLOOKUP(B196,'[24]Gui chi Quynh'!$B$11:$E$400,4,FALSE)</f>
        <v>A1</v>
      </c>
      <c r="N196" s="512">
        <f t="shared" si="30"/>
        <v>14688000.000000004</v>
      </c>
      <c r="O196" s="381">
        <v>20</v>
      </c>
      <c r="P196" s="458">
        <f>IFERROR(INDEX('[17]CN BC'!$J$10:$J$276,MATCH(B196,'[17]CN BC'!$H$10:$H$276,0)),"")</f>
        <v>24</v>
      </c>
      <c r="Q196" s="512">
        <f t="shared" si="37"/>
        <v>14688000.000000004</v>
      </c>
      <c r="R196" s="408"/>
      <c r="S196" s="377">
        <f t="shared" si="29"/>
        <v>0</v>
      </c>
      <c r="T196" s="385"/>
      <c r="U196" s="377">
        <f t="shared" si="39"/>
        <v>0</v>
      </c>
      <c r="V196" s="612">
        <f>IF(OR(M196="A DN",M196="KXL", M196=""),"0",ROUND(K196*0.01*$G$19+R196*1%*$G$19+T196*1%*$G$19,))</f>
        <v>91800</v>
      </c>
      <c r="W196" s="386">
        <f t="shared" si="38"/>
        <v>14688000.000000004</v>
      </c>
      <c r="X196" s="1080">
        <f t="shared" si="35"/>
        <v>8.1600000000000019</v>
      </c>
      <c r="Y196" s="1116">
        <v>1800000</v>
      </c>
      <c r="Z196" s="1117">
        <f t="shared" si="36"/>
        <v>14688000.000000004</v>
      </c>
      <c r="AA196" s="593">
        <f t="shared" si="34"/>
        <v>174</v>
      </c>
      <c r="AB196" s="511">
        <f>IFERROR(INDEX('[17]CN BC'!$M$10:$M$276,MATCH(B196,'[17]CN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8" t="str">
        <f>VLOOKUP(B197,TH.T5!B197:F526,5,FALSE)</f>
        <v>Giảng viên khoa Cơ khí</v>
      </c>
      <c r="K197" s="384">
        <f t="shared" si="41"/>
        <v>5.3286000000000007</v>
      </c>
      <c r="L197" s="377">
        <f t="shared" si="42"/>
        <v>9591480.0000000019</v>
      </c>
      <c r="M197" s="381" t="str">
        <f>VLOOKUP(B197,'[24]Gui chi Quynh'!$B$11:$E$400,4,FALSE)</f>
        <v>A1</v>
      </c>
      <c r="N197" s="512">
        <f t="shared" si="30"/>
        <v>15346368.000000004</v>
      </c>
      <c r="O197" s="381">
        <v>20</v>
      </c>
      <c r="P197" s="458">
        <f>IFERROR(INDEX('[17]CN BC'!$J$10:$J$276,MATCH(B197,'[17]CN BC'!$H$10:$H$276,0)),"")</f>
        <v>20</v>
      </c>
      <c r="Q197" s="512">
        <f t="shared" si="37"/>
        <v>15346368.000000004</v>
      </c>
      <c r="R197" s="408"/>
      <c r="S197" s="377">
        <f t="shared" si="29"/>
        <v>0</v>
      </c>
      <c r="T197" s="401"/>
      <c r="U197" s="377">
        <f t="shared" si="39"/>
        <v>0</v>
      </c>
      <c r="V197" s="612">
        <f t="shared" si="33"/>
        <v>95915</v>
      </c>
      <c r="W197" s="386">
        <f t="shared" si="38"/>
        <v>15346368.000000004</v>
      </c>
      <c r="X197" s="1080">
        <f t="shared" si="35"/>
        <v>8.5257600000000018</v>
      </c>
      <c r="Y197" s="1116">
        <v>1800000</v>
      </c>
      <c r="Z197" s="1117">
        <f t="shared" si="36"/>
        <v>15346368.000000004</v>
      </c>
      <c r="AA197" s="593">
        <f t="shared" si="34"/>
        <v>175</v>
      </c>
      <c r="AB197" s="511">
        <f>IFERROR(INDEX('[17]CN BC'!$M$10:$M$276,MATCH(B197,'[17]CN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8" t="str">
        <f>VLOOKUP(B198,TH.T5!B198:F527,5,FALSE)</f>
        <v>Giảng viên khoa Cơ khí</v>
      </c>
      <c r="K198" s="384">
        <f t="shared" si="41"/>
        <v>5.3286000000000007</v>
      </c>
      <c r="L198" s="377">
        <f t="shared" si="42"/>
        <v>9591480.0000000019</v>
      </c>
      <c r="M198" s="381" t="str">
        <f>VLOOKUP(B198,'[24]Gui chi Quynh'!$B$11:$E$400,4,FALSE)</f>
        <v>A1</v>
      </c>
      <c r="N198" s="512">
        <f t="shared" si="30"/>
        <v>15346368.000000004</v>
      </c>
      <c r="O198" s="381">
        <v>20</v>
      </c>
      <c r="P198" s="458">
        <f>IFERROR(INDEX('[17]CN BC'!$J$10:$J$276,MATCH(B198,'[17]CN BC'!$H$10:$H$276,0)),"")</f>
        <v>20</v>
      </c>
      <c r="Q198" s="512">
        <f t="shared" si="37"/>
        <v>15346368.000000004</v>
      </c>
      <c r="R198" s="408"/>
      <c r="S198" s="377">
        <f t="shared" si="29"/>
        <v>0</v>
      </c>
      <c r="T198" s="385"/>
      <c r="U198" s="377">
        <f t="shared" si="39"/>
        <v>0</v>
      </c>
      <c r="V198" s="612">
        <f t="shared" si="33"/>
        <v>95915</v>
      </c>
      <c r="W198" s="386">
        <f t="shared" si="38"/>
        <v>15346368.000000004</v>
      </c>
      <c r="X198" s="1080">
        <f t="shared" si="35"/>
        <v>8.5257600000000018</v>
      </c>
      <c r="Y198" s="1116">
        <v>1800000</v>
      </c>
      <c r="Z198" s="1117">
        <f t="shared" si="36"/>
        <v>15346368.000000004</v>
      </c>
      <c r="AA198" s="593">
        <f t="shared" si="34"/>
        <v>176</v>
      </c>
      <c r="AB198" s="511">
        <f>IFERROR(INDEX('[17]CN BC'!$M$10:$M$276,MATCH(B198,'[17]CN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8" t="str">
        <f>VLOOKUP(B199,TH.T5!B199:F528,5,FALSE)</f>
        <v>Giảng viên khoa Cơ khí</v>
      </c>
      <c r="K199" s="384">
        <f t="shared" si="41"/>
        <v>4.32</v>
      </c>
      <c r="L199" s="377">
        <f t="shared" si="42"/>
        <v>7776000.0000000009</v>
      </c>
      <c r="M199" s="381" t="str">
        <f>VLOOKUP(B199,'[24]Gui chi Quynh'!$B$11:$E$400,4,FALSE)</f>
        <v>A4</v>
      </c>
      <c r="N199" s="512">
        <f t="shared" si="30"/>
        <v>7776000.0000000009</v>
      </c>
      <c r="O199" s="381">
        <v>20</v>
      </c>
      <c r="P199" s="458">
        <f>IFERROR(INDEX('[17]CN BC'!$J$10:$J$276,MATCH(B199,'[17]CN BC'!$H$10:$H$276,0)),"")</f>
        <v>20</v>
      </c>
      <c r="Q199" s="512">
        <f t="shared" si="37"/>
        <v>7776000.0000000009</v>
      </c>
      <c r="R199" s="478"/>
      <c r="S199" s="377">
        <f t="shared" si="29"/>
        <v>0</v>
      </c>
      <c r="T199" s="385"/>
      <c r="U199" s="377">
        <f t="shared" si="39"/>
        <v>0</v>
      </c>
      <c r="V199" s="612">
        <f t="shared" si="33"/>
        <v>77760</v>
      </c>
      <c r="W199" s="386">
        <f t="shared" si="38"/>
        <v>7776000.0000000009</v>
      </c>
      <c r="X199" s="1080">
        <f t="shared" si="35"/>
        <v>4.32</v>
      </c>
      <c r="Y199" s="1116">
        <v>1800000</v>
      </c>
      <c r="Z199" s="1117">
        <f t="shared" si="36"/>
        <v>7776000.0000000009</v>
      </c>
      <c r="AA199" s="593">
        <f t="shared" si="34"/>
        <v>177</v>
      </c>
      <c r="AB199" s="511">
        <f>IFERROR(INDEX('[17]CN BC'!$M$10:$M$276,MATCH(B199,'[17]CN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8" t="str">
        <f>VLOOKUP(B200,TH.T5!B200:F529,5,FALSE)</f>
        <v>Giảng viên khoa Cơ khí</v>
      </c>
      <c r="K200" s="384">
        <f t="shared" si="41"/>
        <v>5.7270000000000003</v>
      </c>
      <c r="L200" s="377">
        <f t="shared" si="42"/>
        <v>10308600</v>
      </c>
      <c r="M200" s="381" t="str">
        <f>VLOOKUP(B200,'[24]Gui chi Quynh'!$B$11:$E$400,4,FALSE)</f>
        <v>A3</v>
      </c>
      <c r="N200" s="512">
        <f t="shared" si="30"/>
        <v>12370320</v>
      </c>
      <c r="O200" s="381">
        <v>20</v>
      </c>
      <c r="P200" s="458">
        <f>IFERROR(INDEX('[17]CN BC'!$J$10:$J$276,MATCH(B200,'[17]CN BC'!$H$10:$H$276,0)),"")</f>
        <v>20</v>
      </c>
      <c r="Q200" s="512">
        <f t="shared" si="37"/>
        <v>12370320</v>
      </c>
      <c r="R200" s="478"/>
      <c r="S200" s="377">
        <f t="shared" si="29"/>
        <v>0</v>
      </c>
      <c r="T200" s="385"/>
      <c r="U200" s="377">
        <f t="shared" si="39"/>
        <v>0</v>
      </c>
      <c r="V200" s="612">
        <f t="shared" si="33"/>
        <v>103086</v>
      </c>
      <c r="W200" s="386">
        <f t="shared" si="38"/>
        <v>12370320</v>
      </c>
      <c r="X200" s="1080">
        <f t="shared" si="35"/>
        <v>6.8723999999999998</v>
      </c>
      <c r="Y200" s="1116">
        <v>1800000</v>
      </c>
      <c r="Z200" s="1117">
        <f t="shared" si="36"/>
        <v>12370320</v>
      </c>
      <c r="AA200" s="593">
        <f t="shared" si="34"/>
        <v>178</v>
      </c>
      <c r="AB200" s="511">
        <f>IFERROR(INDEX('[17]CN BC'!$M$10:$M$276,MATCH(B200,'[17]CN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8" t="str">
        <f>VLOOKUP(B201,TH.T5!B201:F530,5,FALSE)</f>
        <v>Giảng viên khoa Cơ khí</v>
      </c>
      <c r="K201" s="384">
        <f t="shared" si="41"/>
        <v>4.9000000000000004</v>
      </c>
      <c r="L201" s="377">
        <f t="shared" si="42"/>
        <v>8820000</v>
      </c>
      <c r="M201" s="381" t="str">
        <f>VLOOKUP(B201,'[24]Gui chi Quynh'!$B$11:$E$400,4,FALSE)</f>
        <v>A1</v>
      </c>
      <c r="N201" s="512">
        <f t="shared" si="30"/>
        <v>14112000</v>
      </c>
      <c r="O201" s="381">
        <v>20</v>
      </c>
      <c r="P201" s="458">
        <f>IFERROR(INDEX('[17]CN BC'!$J$10:$J$276,MATCH(B201,'[17]CN BC'!$H$10:$H$276,0)),"")</f>
        <v>20</v>
      </c>
      <c r="Q201" s="512">
        <f t="shared" si="37"/>
        <v>14112000</v>
      </c>
      <c r="R201" s="478"/>
      <c r="S201" s="377">
        <f t="shared" si="29"/>
        <v>0</v>
      </c>
      <c r="T201" s="385"/>
      <c r="U201" s="377">
        <f t="shared" si="39"/>
        <v>0</v>
      </c>
      <c r="V201" s="612">
        <f t="shared" si="33"/>
        <v>88200</v>
      </c>
      <c r="W201" s="386">
        <f t="shared" si="38"/>
        <v>14112000</v>
      </c>
      <c r="X201" s="1080">
        <f t="shared" si="35"/>
        <v>7.84</v>
      </c>
      <c r="Y201" s="1116">
        <v>1800000</v>
      </c>
      <c r="Z201" s="1117">
        <f t="shared" si="36"/>
        <v>14112000</v>
      </c>
      <c r="AA201" s="593">
        <f t="shared" si="34"/>
        <v>179</v>
      </c>
      <c r="AB201" s="511">
        <f>IFERROR(INDEX('[17]CN BC'!$M$10:$M$276,MATCH(B201,'[17]CN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8" t="str">
        <f>VLOOKUP(B202,TH.T5!B202:F531,5,FALSE)</f>
        <v>Giảng viên khoa Cơ khí</v>
      </c>
      <c r="K202" s="384">
        <f t="shared" si="41"/>
        <v>5.5288000000000004</v>
      </c>
      <c r="L202" s="377">
        <f t="shared" si="42"/>
        <v>9951840</v>
      </c>
      <c r="M202" s="381" t="str">
        <f>VLOOKUP(B202,'[24]Gui chi Quynh'!$B$11:$E$400,4,FALSE)</f>
        <v>A3</v>
      </c>
      <c r="N202" s="512">
        <f t="shared" si="30"/>
        <v>11942208</v>
      </c>
      <c r="O202" s="381">
        <v>20</v>
      </c>
      <c r="P202" s="458">
        <f>IFERROR(INDEX('[17]CN BC'!$J$10:$J$276,MATCH(B202,'[17]CN BC'!$H$10:$H$276,0)),"")</f>
        <v>20</v>
      </c>
      <c r="Q202" s="512">
        <f t="shared" si="37"/>
        <v>11942208</v>
      </c>
      <c r="R202" s="408"/>
      <c r="S202" s="377">
        <f t="shared" si="29"/>
        <v>0</v>
      </c>
      <c r="T202" s="385"/>
      <c r="U202" s="377">
        <f t="shared" si="39"/>
        <v>0</v>
      </c>
      <c r="V202" s="612">
        <f t="shared" si="33"/>
        <v>99518</v>
      </c>
      <c r="W202" s="386">
        <f t="shared" si="38"/>
        <v>11942208</v>
      </c>
      <c r="X202" s="1080">
        <f t="shared" si="35"/>
        <v>6.6345599999999996</v>
      </c>
      <c r="Y202" s="1116">
        <v>1800000</v>
      </c>
      <c r="Z202" s="1117">
        <f t="shared" si="36"/>
        <v>11942208</v>
      </c>
      <c r="AA202" s="593">
        <f t="shared" si="34"/>
        <v>180</v>
      </c>
      <c r="AB202" s="511">
        <f>IFERROR(INDEX('[17]CN BC'!$M$10:$M$276,MATCH(B202,'[17]CN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8" t="str">
        <f>VLOOKUP(B203,TH.T5!B203:F532,5,FALSE)</f>
        <v>Giảng viên khoa Cơ khí</v>
      </c>
      <c r="K203" s="384">
        <f t="shared" si="41"/>
        <v>3.99</v>
      </c>
      <c r="L203" s="377">
        <f t="shared" si="42"/>
        <v>7182000</v>
      </c>
      <c r="M203" s="381" t="str">
        <f>VLOOKUP(B203,'[24]Gui chi Quynh'!$B$11:$E$400,4,FALSE)</f>
        <v>A4</v>
      </c>
      <c r="N203" s="512">
        <f t="shared" si="30"/>
        <v>7182000</v>
      </c>
      <c r="O203" s="381">
        <v>20</v>
      </c>
      <c r="P203" s="458">
        <f>IFERROR(INDEX('[17]CN BC'!$J$10:$J$276,MATCH(B203,'[17]CN BC'!$H$10:$H$276,0)),"")</f>
        <v>20</v>
      </c>
      <c r="Q203" s="512">
        <f t="shared" si="37"/>
        <v>7182000</v>
      </c>
      <c r="R203" s="478"/>
      <c r="S203" s="377">
        <f t="shared" si="29"/>
        <v>0</v>
      </c>
      <c r="T203" s="385"/>
      <c r="U203" s="377">
        <f t="shared" si="39"/>
        <v>0</v>
      </c>
      <c r="V203" s="612">
        <f t="shared" si="33"/>
        <v>71820</v>
      </c>
      <c r="W203" s="386">
        <f t="shared" si="38"/>
        <v>7182000</v>
      </c>
      <c r="X203" s="1080">
        <f t="shared" si="35"/>
        <v>3.99</v>
      </c>
      <c r="Y203" s="1116">
        <v>1800000</v>
      </c>
      <c r="Z203" s="1117">
        <f t="shared" si="36"/>
        <v>7182000</v>
      </c>
      <c r="AA203" s="593">
        <f t="shared" si="34"/>
        <v>181</v>
      </c>
      <c r="AB203" s="511">
        <f>IFERROR(INDEX('[17]CN BC'!$M$10:$M$276,MATCH(B203,'[17]CN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8" t="str">
        <f>VLOOKUP(B204,TH.T5!B204:F533,5,FALSE)</f>
        <v>Giảng viên khoa Cơ khí</v>
      </c>
      <c r="K204" s="384">
        <f t="shared" si="41"/>
        <v>5.2290000000000001</v>
      </c>
      <c r="L204" s="377">
        <f t="shared" si="42"/>
        <v>9412200</v>
      </c>
      <c r="M204" s="381" t="str">
        <f>VLOOKUP(B204,'[24]Gui chi Quynh'!$B$11:$E$400,4,FALSE)</f>
        <v>A4</v>
      </c>
      <c r="N204" s="512">
        <f t="shared" si="30"/>
        <v>9412200</v>
      </c>
      <c r="O204" s="381">
        <v>20</v>
      </c>
      <c r="P204" s="458">
        <f>IFERROR(INDEX('[17]CN BC'!$J$10:$J$276,MATCH(B204,'[17]CN BC'!$H$10:$H$276,0)),"")</f>
        <v>20</v>
      </c>
      <c r="Q204" s="512">
        <f t="shared" si="37"/>
        <v>9412200</v>
      </c>
      <c r="R204" s="408"/>
      <c r="S204" s="377">
        <f t="shared" si="29"/>
        <v>0</v>
      </c>
      <c r="T204" s="385"/>
      <c r="U204" s="377">
        <f t="shared" si="39"/>
        <v>0</v>
      </c>
      <c r="V204" s="612">
        <f t="shared" si="33"/>
        <v>94122</v>
      </c>
      <c r="W204" s="386">
        <f t="shared" si="38"/>
        <v>9412200</v>
      </c>
      <c r="X204" s="1080">
        <f t="shared" si="35"/>
        <v>5.2290000000000001</v>
      </c>
      <c r="Y204" s="1116">
        <v>1800000</v>
      </c>
      <c r="Z204" s="1117">
        <f t="shared" si="36"/>
        <v>9412200</v>
      </c>
      <c r="AA204" s="593">
        <f t="shared" si="34"/>
        <v>182</v>
      </c>
      <c r="AB204" s="511">
        <f>IFERROR(INDEX('[17]CN BC'!$M$10:$M$276,MATCH(B204,'[17]CN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8" t="str">
        <f>VLOOKUP(B205,TH.T5!B205:F534,5,FALSE)</f>
        <v>Phó Trưởng khoa Cơ khí</v>
      </c>
      <c r="K205" s="384">
        <f t="shared" si="41"/>
        <v>4.01</v>
      </c>
      <c r="L205" s="377">
        <f t="shared" si="42"/>
        <v>7218000</v>
      </c>
      <c r="M205" s="381" t="str">
        <f>VLOOKUP(B205,'[24]Gui chi Quynh'!$B$11:$E$400,4,FALSE)</f>
        <v>A2</v>
      </c>
      <c r="N205" s="512">
        <f t="shared" si="30"/>
        <v>10105200</v>
      </c>
      <c r="O205" s="381">
        <v>20</v>
      </c>
      <c r="P205" s="458">
        <f>IFERROR(INDEX('[17]CN BC'!$J$10:$J$276,MATCH(B205,'[17]CN BC'!$H$10:$H$276,0)),"")</f>
        <v>20</v>
      </c>
      <c r="Q205" s="512">
        <f t="shared" si="37"/>
        <v>10105200</v>
      </c>
      <c r="R205" s="478"/>
      <c r="S205" s="377">
        <f t="shared" si="29"/>
        <v>0</v>
      </c>
      <c r="T205" s="385"/>
      <c r="U205" s="377">
        <f t="shared" si="39"/>
        <v>0</v>
      </c>
      <c r="V205" s="612">
        <f t="shared" si="33"/>
        <v>72180</v>
      </c>
      <c r="W205" s="386">
        <f t="shared" si="38"/>
        <v>10105200</v>
      </c>
      <c r="X205" s="1080">
        <f t="shared" si="35"/>
        <v>5.6139999999999999</v>
      </c>
      <c r="Y205" s="1116">
        <v>1800000</v>
      </c>
      <c r="Z205" s="1117">
        <f t="shared" si="36"/>
        <v>10105200</v>
      </c>
      <c r="AA205" s="593">
        <f t="shared" si="34"/>
        <v>183</v>
      </c>
      <c r="AB205" s="511">
        <f>IFERROR(INDEX('[17]CN BC'!$M$10:$M$276,MATCH(B205,'[17]CN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8" t="str">
        <f>VLOOKUP(B206,TH.T5!B206:F535,5,FALSE)</f>
        <v>Giảng viên khoa Cơ khí</v>
      </c>
      <c r="K206" s="384">
        <f t="shared" si="41"/>
        <v>3.66</v>
      </c>
      <c r="L206" s="377">
        <f t="shared" si="42"/>
        <v>6588000</v>
      </c>
      <c r="M206" s="381" t="str">
        <f>VLOOKUP(B206,'[24]Gui chi Quynh'!$B$11:$E$400,4,FALSE)</f>
        <v>A3</v>
      </c>
      <c r="N206" s="512">
        <f t="shared" si="30"/>
        <v>7905600</v>
      </c>
      <c r="O206" s="381">
        <v>20</v>
      </c>
      <c r="P206" s="458">
        <f>IFERROR(INDEX('[17]CN BC'!$J$10:$J$276,MATCH(B206,'[17]CN BC'!$H$10:$H$276,0)),"")</f>
        <v>20</v>
      </c>
      <c r="Q206" s="512">
        <f t="shared" si="37"/>
        <v>7905600</v>
      </c>
      <c r="R206" s="478"/>
      <c r="S206" s="377">
        <f t="shared" si="29"/>
        <v>0</v>
      </c>
      <c r="T206" s="385"/>
      <c r="U206" s="377">
        <f t="shared" si="39"/>
        <v>0</v>
      </c>
      <c r="V206" s="612">
        <f t="shared" si="33"/>
        <v>65880</v>
      </c>
      <c r="W206" s="386">
        <f t="shared" si="38"/>
        <v>7905600</v>
      </c>
      <c r="X206" s="1080">
        <f t="shared" si="35"/>
        <v>4.3920000000000003</v>
      </c>
      <c r="Y206" s="1116">
        <v>1800000</v>
      </c>
      <c r="Z206" s="1117">
        <f t="shared" si="36"/>
        <v>7905600.0000000009</v>
      </c>
      <c r="AA206" s="593">
        <f t="shared" si="34"/>
        <v>184</v>
      </c>
      <c r="AB206" s="511">
        <f>IFERROR(INDEX('[17]CN BC'!$M$10:$M$276,MATCH(B206,'[17]CN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8" t="str">
        <f>VLOOKUP(B207,TH.T5!B207:F536,5,FALSE)</f>
        <v>Giảng viên khoa Cơ khí</v>
      </c>
      <c r="K207" s="384">
        <f t="shared" si="41"/>
        <v>3.66</v>
      </c>
      <c r="L207" s="377">
        <f t="shared" si="42"/>
        <v>6588000</v>
      </c>
      <c r="M207" s="381" t="str">
        <f>VLOOKUP(B207,'[24]Gui chi Quynh'!$B$11:$E$400,4,FALSE)</f>
        <v>A3</v>
      </c>
      <c r="N207" s="512">
        <f t="shared" si="30"/>
        <v>7905600</v>
      </c>
      <c r="O207" s="381">
        <v>20</v>
      </c>
      <c r="P207" s="458">
        <f>IFERROR(INDEX('[17]CN BC'!$J$10:$J$276,MATCH(B207,'[17]CN BC'!$H$10:$H$276,0)),"")</f>
        <v>20</v>
      </c>
      <c r="Q207" s="512">
        <f t="shared" si="37"/>
        <v>7905600</v>
      </c>
      <c r="R207" s="408"/>
      <c r="S207" s="377">
        <f t="shared" si="29"/>
        <v>0</v>
      </c>
      <c r="T207" s="385"/>
      <c r="U207" s="377">
        <f t="shared" si="39"/>
        <v>0</v>
      </c>
      <c r="V207" s="612">
        <f t="shared" si="33"/>
        <v>65880</v>
      </c>
      <c r="W207" s="386">
        <f t="shared" si="38"/>
        <v>7905600</v>
      </c>
      <c r="X207" s="1080">
        <f t="shared" si="35"/>
        <v>4.3920000000000003</v>
      </c>
      <c r="Y207" s="1116">
        <v>1800000</v>
      </c>
      <c r="Z207" s="1117">
        <f t="shared" si="36"/>
        <v>7905600.0000000009</v>
      </c>
      <c r="AA207" s="593">
        <f t="shared" si="34"/>
        <v>185</v>
      </c>
      <c r="AB207" s="511">
        <f>IFERROR(INDEX('[17]CN BC'!$M$10:$M$276,MATCH(B207,'[17]CN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8" t="str">
        <f>VLOOKUP(B208,TH.T5!B208:F537,5,FALSE)</f>
        <v>Giảng viên khoa Cơ khí</v>
      </c>
      <c r="K208" s="384">
        <f t="shared" si="41"/>
        <v>3.66</v>
      </c>
      <c r="L208" s="377">
        <f t="shared" si="42"/>
        <v>6588000</v>
      </c>
      <c r="M208" s="381" t="str">
        <f>VLOOKUP(B208,'[24]Gui chi Quynh'!$B$11:$E$400,4,FALSE)</f>
        <v>A3</v>
      </c>
      <c r="N208" s="512">
        <f t="shared" si="30"/>
        <v>7905600</v>
      </c>
      <c r="O208" s="381">
        <v>20</v>
      </c>
      <c r="P208" s="458">
        <f>IFERROR(INDEX('[17]CN BC'!$J$10:$J$276,MATCH(B208,'[17]CN BC'!$H$10:$H$276,0)),"")</f>
        <v>20</v>
      </c>
      <c r="Q208" s="512">
        <f t="shared" si="37"/>
        <v>7905600</v>
      </c>
      <c r="R208" s="478"/>
      <c r="S208" s="377">
        <f t="shared" ref="S208:S272" si="43">R208*$G$19*1</f>
        <v>0</v>
      </c>
      <c r="T208" s="385"/>
      <c r="U208" s="377">
        <f t="shared" si="39"/>
        <v>0</v>
      </c>
      <c r="V208" s="612">
        <f t="shared" si="33"/>
        <v>65880</v>
      </c>
      <c r="W208" s="386">
        <f t="shared" si="38"/>
        <v>7905600</v>
      </c>
      <c r="X208" s="1080">
        <f t="shared" si="35"/>
        <v>4.3920000000000003</v>
      </c>
      <c r="Y208" s="1116">
        <v>1800000</v>
      </c>
      <c r="Z208" s="1117">
        <f t="shared" si="36"/>
        <v>7905600.0000000009</v>
      </c>
      <c r="AA208" s="593">
        <f t="shared" si="34"/>
        <v>186</v>
      </c>
      <c r="AB208" s="511">
        <f>IFERROR(INDEX('[17]CN BC'!$M$10:$M$276,MATCH(B208,'[17]CN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0" t="s">
        <v>364</v>
      </c>
      <c r="D209" s="451" t="s">
        <v>1770</v>
      </c>
      <c r="E209" s="440" t="s">
        <v>386</v>
      </c>
      <c r="F209" s="388">
        <v>3.66</v>
      </c>
      <c r="G209" s="382"/>
      <c r="H209" s="383">
        <f t="shared" si="40"/>
        <v>3.66</v>
      </c>
      <c r="I209" s="383"/>
      <c r="J209" s="1058" t="str">
        <f>VLOOKUP(B209,TH.T5!B209:F538,5,FALSE)</f>
        <v>Giảng viên khoa Cơ khí</v>
      </c>
      <c r="K209" s="384">
        <f t="shared" si="41"/>
        <v>3.66</v>
      </c>
      <c r="L209" s="377">
        <f t="shared" si="42"/>
        <v>6588000</v>
      </c>
      <c r="M209" s="381" t="str">
        <f>VLOOKUP(B209,'[24]Gui chi Quynh'!$B$11:$E$400,4,FALSE)</f>
        <v>A4</v>
      </c>
      <c r="N209" s="512">
        <f t="shared" si="30"/>
        <v>6588000</v>
      </c>
      <c r="O209" s="381">
        <v>20</v>
      </c>
      <c r="P209" s="458">
        <f>IFERROR(INDEX('[17]CN BC'!$J$10:$J$276,MATCH(B209,'[17]CN BC'!$H$10:$H$276,0)),"")</f>
        <v>20</v>
      </c>
      <c r="Q209" s="512">
        <f t="shared" si="37"/>
        <v>6588000</v>
      </c>
      <c r="R209" s="478"/>
      <c r="S209" s="377">
        <f t="shared" si="43"/>
        <v>0</v>
      </c>
      <c r="T209" s="385"/>
      <c r="U209" s="377">
        <f t="shared" si="39"/>
        <v>0</v>
      </c>
      <c r="V209" s="377">
        <f t="shared" si="33"/>
        <v>65880</v>
      </c>
      <c r="W209" s="386">
        <f t="shared" si="38"/>
        <v>6588000</v>
      </c>
      <c r="X209" s="1080">
        <f t="shared" si="35"/>
        <v>3.66</v>
      </c>
      <c r="Y209" s="1116">
        <v>1800000</v>
      </c>
      <c r="Z209" s="1117">
        <f t="shared" si="36"/>
        <v>6588000</v>
      </c>
      <c r="AA209" s="593">
        <f t="shared" si="34"/>
        <v>187</v>
      </c>
      <c r="AB209" s="511">
        <f>IFERROR(INDEX('[17]CN BC'!$M$10:$M$276,MATCH(B209,'[17]CN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8" t="str">
        <f>VLOOKUP(B210,TH.T5!B210:F539,5,FALSE)</f>
        <v>Giảng viên khoa Cơ khí</v>
      </c>
      <c r="K210" s="384">
        <f t="shared" si="41"/>
        <v>3.66</v>
      </c>
      <c r="L210" s="377">
        <f t="shared" si="42"/>
        <v>6588000</v>
      </c>
      <c r="M210" s="381" t="str">
        <f>VLOOKUP(B210,'[24]Gui chi Quynh'!$B$11:$E$400,4,FALSE)</f>
        <v>A4</v>
      </c>
      <c r="N210" s="512">
        <f t="shared" si="30"/>
        <v>6588000</v>
      </c>
      <c r="O210" s="381">
        <v>20</v>
      </c>
      <c r="P210" s="458">
        <f>IFERROR(INDEX('[17]CN BC'!$J$10:$J$276,MATCH(B210,'[17]CN BC'!$H$10:$H$276,0)),"")</f>
        <v>20</v>
      </c>
      <c r="Q210" s="512">
        <f t="shared" si="37"/>
        <v>6588000</v>
      </c>
      <c r="R210" s="408"/>
      <c r="S210" s="377">
        <f t="shared" si="43"/>
        <v>0</v>
      </c>
      <c r="T210" s="385"/>
      <c r="U210" s="377">
        <f t="shared" si="39"/>
        <v>0</v>
      </c>
      <c r="V210" s="612">
        <f t="shared" si="33"/>
        <v>65880</v>
      </c>
      <c r="W210" s="386">
        <f t="shared" si="38"/>
        <v>6588000</v>
      </c>
      <c r="X210" s="1080">
        <f t="shared" si="35"/>
        <v>3.66</v>
      </c>
      <c r="Y210" s="1116">
        <v>1800000</v>
      </c>
      <c r="Z210" s="1117">
        <f t="shared" si="36"/>
        <v>6588000</v>
      </c>
      <c r="AA210" s="593">
        <f t="shared" si="34"/>
        <v>188</v>
      </c>
      <c r="AB210" s="511">
        <f>IFERROR(INDEX('[17]CN BC'!$M$10:$M$276,MATCH(B210,'[17]CN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8" t="str">
        <f>VLOOKUP(B211,TH.T5!B211:F540,5,FALSE)</f>
        <v>Giảng viên - Trưởng BM khoa Cơ khí</v>
      </c>
      <c r="K211" s="384">
        <f t="shared" si="41"/>
        <v>3.58</v>
      </c>
      <c r="L211" s="377">
        <f t="shared" si="42"/>
        <v>6444000</v>
      </c>
      <c r="M211" s="381" t="str">
        <f>VLOOKUP(B211,'[24]Gui chi Quynh'!$B$11:$E$400,4,FALSE)</f>
        <v>A1</v>
      </c>
      <c r="N211" s="512">
        <f t="shared" si="30"/>
        <v>10310400</v>
      </c>
      <c r="O211" s="381">
        <v>20</v>
      </c>
      <c r="P211" s="458">
        <f>IFERROR(INDEX('[17]CN BC'!$J$10:$J$276,MATCH(B211,'[17]CN BC'!$H$10:$H$276,0)),"")</f>
        <v>20</v>
      </c>
      <c r="Q211" s="512">
        <f t="shared" si="37"/>
        <v>10310400</v>
      </c>
      <c r="R211" s="408"/>
      <c r="S211" s="377">
        <f t="shared" si="43"/>
        <v>0</v>
      </c>
      <c r="T211" s="401"/>
      <c r="U211" s="377">
        <f t="shared" si="39"/>
        <v>0</v>
      </c>
      <c r="V211" s="612">
        <f t="shared" si="33"/>
        <v>64440</v>
      </c>
      <c r="W211" s="386">
        <f t="shared" si="38"/>
        <v>10310400</v>
      </c>
      <c r="X211" s="1080">
        <f t="shared" si="35"/>
        <v>5.7279999999999998</v>
      </c>
      <c r="Y211" s="1116">
        <v>1800000</v>
      </c>
      <c r="Z211" s="1117">
        <f t="shared" si="36"/>
        <v>10310400</v>
      </c>
      <c r="AA211" s="593">
        <f t="shared" si="34"/>
        <v>189</v>
      </c>
      <c r="AB211" s="511">
        <f>IFERROR(INDEX('[17]CN BC'!$M$10:$M$276,MATCH(B211,'[17]CN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8" t="str">
        <f>VLOOKUP(B212,TH.T5!B212:F541,5,FALSE)</f>
        <v>Giảng viên khoa Cơ khí</v>
      </c>
      <c r="K212" s="384">
        <f t="shared" si="41"/>
        <v>3.66</v>
      </c>
      <c r="L212" s="377">
        <f t="shared" si="42"/>
        <v>6588000</v>
      </c>
      <c r="M212" s="381" t="str">
        <f>VLOOKUP(B212,'[24]Gui chi Quynh'!$B$11:$E$400,4,FALSE)</f>
        <v>A4</v>
      </c>
      <c r="N212" s="512">
        <f t="shared" si="30"/>
        <v>6588000</v>
      </c>
      <c r="O212" s="381">
        <v>20</v>
      </c>
      <c r="P212" s="458">
        <f>IFERROR(INDEX('[17]CN BC'!$J$10:$J$276,MATCH(B212,'[17]CN BC'!$H$10:$H$276,0)),"")</f>
        <v>20</v>
      </c>
      <c r="Q212" s="512">
        <f t="shared" si="37"/>
        <v>6588000</v>
      </c>
      <c r="R212" s="478"/>
      <c r="S212" s="377">
        <f t="shared" si="43"/>
        <v>0</v>
      </c>
      <c r="T212" s="385"/>
      <c r="U212" s="377">
        <f t="shared" si="39"/>
        <v>0</v>
      </c>
      <c r="V212" s="612">
        <f t="shared" si="33"/>
        <v>65880</v>
      </c>
      <c r="W212" s="386">
        <f t="shared" si="38"/>
        <v>6588000</v>
      </c>
      <c r="X212" s="1080">
        <f t="shared" si="35"/>
        <v>3.66</v>
      </c>
      <c r="Y212" s="1116">
        <v>1800000</v>
      </c>
      <c r="Z212" s="1117">
        <f t="shared" si="36"/>
        <v>6588000</v>
      </c>
      <c r="AA212" s="593">
        <f t="shared" si="34"/>
        <v>190</v>
      </c>
      <c r="AB212" s="511">
        <f>IFERROR(INDEX('[17]CN BC'!$M$10:$M$276,MATCH(B212,'[17]CN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8" t="str">
        <f>VLOOKUP(B213,TH.T5!B213:F542,5,FALSE)</f>
        <v>Giảng viên khoa Cơ khí</v>
      </c>
      <c r="K213" s="384">
        <f t="shared" si="41"/>
        <v>3.33</v>
      </c>
      <c r="L213" s="377">
        <f t="shared" si="42"/>
        <v>5994000</v>
      </c>
      <c r="M213" s="381" t="str">
        <f>VLOOKUP(B213,'[24]Gui chi Quynh'!$B$11:$E$400,4,FALSE)</f>
        <v>A2</v>
      </c>
      <c r="N213" s="512">
        <f t="shared" si="30"/>
        <v>8391600</v>
      </c>
      <c r="O213" s="381">
        <v>20</v>
      </c>
      <c r="P213" s="458">
        <f>IFERROR(INDEX('[17]CN BC'!$J$10:$J$276,MATCH(B213,'[17]CN BC'!$H$10:$H$276,0)),"")</f>
        <v>20</v>
      </c>
      <c r="Q213" s="512">
        <f t="shared" si="37"/>
        <v>8391600</v>
      </c>
      <c r="R213" s="408"/>
      <c r="S213" s="377">
        <f t="shared" si="43"/>
        <v>0</v>
      </c>
      <c r="T213" s="385"/>
      <c r="U213" s="377">
        <f t="shared" si="39"/>
        <v>0</v>
      </c>
      <c r="V213" s="612">
        <f t="shared" si="33"/>
        <v>59940</v>
      </c>
      <c r="W213" s="386">
        <f t="shared" si="38"/>
        <v>8391600</v>
      </c>
      <c r="X213" s="1080">
        <f t="shared" si="35"/>
        <v>4.6619999999999999</v>
      </c>
      <c r="Y213" s="1116">
        <v>1800000</v>
      </c>
      <c r="Z213" s="1117">
        <f t="shared" si="36"/>
        <v>8391600</v>
      </c>
      <c r="AA213" s="593">
        <f t="shared" si="34"/>
        <v>191</v>
      </c>
      <c r="AB213" s="511">
        <f>IFERROR(INDEX('[17]CN BC'!$M$10:$M$276,MATCH(B213,'[17]CN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8" t="str">
        <f>VLOOKUP(B214,TH.T5!B214:F543,5,FALSE)</f>
        <v>Giảng viên khoa Cơ khí</v>
      </c>
      <c r="K214" s="384">
        <f t="shared" si="41"/>
        <v>5.3286000000000007</v>
      </c>
      <c r="L214" s="377">
        <f t="shared" si="42"/>
        <v>9591480.0000000019</v>
      </c>
      <c r="M214" s="381" t="str">
        <f>VLOOKUP(B214,'[24]Gui chi Quynh'!$B$11:$E$400,4,FALSE)</f>
        <v>A4</v>
      </c>
      <c r="N214" s="512">
        <f t="shared" si="30"/>
        <v>9591480.0000000019</v>
      </c>
      <c r="O214" s="381">
        <v>20</v>
      </c>
      <c r="P214" s="458">
        <f>IFERROR(INDEX('[17]CN BC'!$J$10:$J$276,MATCH(B214,'[17]CN BC'!$H$10:$H$276,0)),"")</f>
        <v>20</v>
      </c>
      <c r="Q214" s="512">
        <f t="shared" si="37"/>
        <v>9591480.0000000019</v>
      </c>
      <c r="R214" s="408"/>
      <c r="S214" s="377">
        <f t="shared" si="43"/>
        <v>0</v>
      </c>
      <c r="T214" s="385"/>
      <c r="U214" s="377">
        <f t="shared" si="39"/>
        <v>0</v>
      </c>
      <c r="V214" s="612">
        <f t="shared" si="33"/>
        <v>95915</v>
      </c>
      <c r="W214" s="386">
        <f t="shared" si="38"/>
        <v>9591480.0000000019</v>
      </c>
      <c r="X214" s="1080">
        <f t="shared" si="35"/>
        <v>5.3286000000000007</v>
      </c>
      <c r="Y214" s="1116">
        <v>1800000</v>
      </c>
      <c r="Z214" s="1117">
        <f t="shared" si="36"/>
        <v>9591480.0000000019</v>
      </c>
      <c r="AA214" s="593">
        <f t="shared" si="34"/>
        <v>192</v>
      </c>
      <c r="AB214" s="511">
        <f>IFERROR(INDEX('[17]CN BC'!$M$10:$M$276,MATCH(B214,'[17]CN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8" t="str">
        <f>VLOOKUP(B215,TH.T5!B215:F544,5,FALSE)</f>
        <v>Giảng viên khoa Cơ khí</v>
      </c>
      <c r="K215" s="384">
        <f t="shared" si="41"/>
        <v>5.5278000000000009</v>
      </c>
      <c r="L215" s="377">
        <f t="shared" si="42"/>
        <v>9950040.0000000019</v>
      </c>
      <c r="M215" s="381" t="str">
        <f>VLOOKUP(B215,'[24]Gui chi Quynh'!$B$11:$E$400,4,FALSE)</f>
        <v>A4</v>
      </c>
      <c r="N215" s="512">
        <f t="shared" ref="N215:N278" si="44">IF(M215="A1",L215*1.6,IF(M215="A2",L215*1.4,IF(M215="A3",L215*1.2,IF(M215="A4",L215*1,IF(M215="B1",L215*0.7,IF(M215="B2",L215*0.5,IF(M215="C1",L215*0.3,IF(M215="C2",L215*0.2,0))))))))</f>
        <v>9950040.0000000019</v>
      </c>
      <c r="O215" s="381">
        <v>20</v>
      </c>
      <c r="P215" s="458">
        <f>IFERROR(INDEX('[17]CN BC'!$J$10:$J$276,MATCH(B215,'[17]CN BC'!$H$10:$H$276,0)),"")</f>
        <v>20</v>
      </c>
      <c r="Q215" s="512">
        <f t="shared" si="37"/>
        <v>9950040.0000000019</v>
      </c>
      <c r="R215" s="503"/>
      <c r="S215" s="377">
        <f>R215*$G$19*0.8</f>
        <v>0</v>
      </c>
      <c r="T215" s="385"/>
      <c r="U215" s="377">
        <f t="shared" si="39"/>
        <v>0</v>
      </c>
      <c r="V215" s="612">
        <f t="shared" ref="V215:V287" si="45">IF(OR(M215="A DN",M215="KXL", M215=""),"0",ROUND(K215*0.01*$G$19+R215*1%*$G$19+T215*1%*$G$19,))</f>
        <v>99500</v>
      </c>
      <c r="W215" s="386">
        <f t="shared" si="38"/>
        <v>9950040.0000000019</v>
      </c>
      <c r="X215" s="1080">
        <f t="shared" si="35"/>
        <v>5.5278000000000009</v>
      </c>
      <c r="Y215" s="1116">
        <v>1800000</v>
      </c>
      <c r="Z215" s="1117">
        <f t="shared" si="36"/>
        <v>9950040.0000000019</v>
      </c>
      <c r="AA215" s="593">
        <f t="shared" ref="AA215:AA278" si="46">A215</f>
        <v>193</v>
      </c>
      <c r="AB215" s="511">
        <f>IFERROR(INDEX('[17]CN BC'!$M$10:$M$276,MATCH(B215,'[17]CN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8" t="str">
        <f>VLOOKUP(B216,TH.T5!B216:F545,5,FALSE)</f>
        <v>Giảng viên khoa Cơ khí</v>
      </c>
      <c r="K216" s="384">
        <f t="shared" si="41"/>
        <v>3.33</v>
      </c>
      <c r="L216" s="377">
        <f t="shared" si="42"/>
        <v>5994000</v>
      </c>
      <c r="M216" s="381" t="str">
        <f>VLOOKUP(B216,'[24]Gui chi Quynh'!$B$11:$E$400,4,FALSE)</f>
        <v>A3</v>
      </c>
      <c r="N216" s="512">
        <f t="shared" si="44"/>
        <v>7192800</v>
      </c>
      <c r="O216" s="381">
        <v>20</v>
      </c>
      <c r="P216" s="458">
        <f>IFERROR(INDEX('[17]CN BC'!$J$10:$J$276,MATCH(B216,'[17]CN BC'!$H$10:$H$276,0)),"")</f>
        <v>20</v>
      </c>
      <c r="Q216" s="512">
        <f t="shared" si="37"/>
        <v>7192800</v>
      </c>
      <c r="R216" s="473"/>
      <c r="S216" s="377">
        <f t="shared" si="43"/>
        <v>0</v>
      </c>
      <c r="T216" s="385"/>
      <c r="U216" s="377">
        <f t="shared" si="39"/>
        <v>0</v>
      </c>
      <c r="V216" s="612">
        <f t="shared" si="45"/>
        <v>59940</v>
      </c>
      <c r="W216" s="386">
        <f t="shared" si="38"/>
        <v>7192800</v>
      </c>
      <c r="X216" s="1080">
        <f t="shared" ref="X216:X279" si="47">W216/Y216</f>
        <v>3.996</v>
      </c>
      <c r="Y216" s="1116">
        <v>1800000</v>
      </c>
      <c r="Z216" s="1117">
        <f t="shared" ref="Z216:Z279" si="48">X216*Y216</f>
        <v>7192800</v>
      </c>
      <c r="AA216" s="593">
        <f t="shared" si="46"/>
        <v>194</v>
      </c>
      <c r="AB216" s="511">
        <f>IFERROR(INDEX('[17]CN BC'!$M$10:$M$276,MATCH(B216,'[17]CN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8" t="str">
        <f>VLOOKUP(B217,TH.T5!B217:F546,5,FALSE)</f>
        <v>Giảng viên khoa Cơ khí</v>
      </c>
      <c r="K217" s="384">
        <f t="shared" si="41"/>
        <v>3</v>
      </c>
      <c r="L217" s="377">
        <f t="shared" si="42"/>
        <v>5400000</v>
      </c>
      <c r="M217" s="381" t="str">
        <f>VLOOKUP(B217,'[24]Gui chi Quynh'!$B$11:$E$400,4,FALSE)</f>
        <v>A2</v>
      </c>
      <c r="N217" s="512">
        <f t="shared" si="44"/>
        <v>7559999.9999999991</v>
      </c>
      <c r="O217" s="381">
        <v>20</v>
      </c>
      <c r="P217" s="458">
        <f>IFERROR(INDEX('[17]CN BC'!$J$10:$J$276,MATCH(B217,'[17]CN BC'!$H$10:$H$276,0)),"")</f>
        <v>20</v>
      </c>
      <c r="Q217" s="512">
        <f t="shared" si="37"/>
        <v>7559999.9999999991</v>
      </c>
      <c r="R217" s="478"/>
      <c r="S217" s="377">
        <f t="shared" si="43"/>
        <v>0</v>
      </c>
      <c r="T217" s="385"/>
      <c r="U217" s="377">
        <f t="shared" si="39"/>
        <v>0</v>
      </c>
      <c r="V217" s="612">
        <f t="shared" si="45"/>
        <v>54000</v>
      </c>
      <c r="W217" s="386">
        <f t="shared" si="38"/>
        <v>7559999.9999999991</v>
      </c>
      <c r="X217" s="1080">
        <f t="shared" si="47"/>
        <v>4.1999999999999993</v>
      </c>
      <c r="Y217" s="1116">
        <v>1800000</v>
      </c>
      <c r="Z217" s="1117">
        <f t="shared" si="48"/>
        <v>7559999.9999999991</v>
      </c>
      <c r="AA217" s="593">
        <f t="shared" si="46"/>
        <v>195</v>
      </c>
      <c r="AB217" s="511">
        <f>IFERROR(INDEX('[17]CN BC'!$M$10:$M$276,MATCH(B217,'[17]CN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8" t="str">
        <f>VLOOKUP(B218,TH.T5!B218:F547,5,FALSE)</f>
        <v>Giảng viên khoa Cơ khí</v>
      </c>
      <c r="K218" s="384">
        <f t="shared" si="41"/>
        <v>3</v>
      </c>
      <c r="L218" s="377">
        <f t="shared" si="42"/>
        <v>5400000</v>
      </c>
      <c r="M218" s="381" t="str">
        <f>VLOOKUP(B218,'[24]Gui chi Quynh'!$B$11:$E$400,4,FALSE)</f>
        <v>A1</v>
      </c>
      <c r="N218" s="512">
        <f t="shared" si="44"/>
        <v>8640000</v>
      </c>
      <c r="O218" s="381">
        <v>20</v>
      </c>
      <c r="P218" s="458">
        <f>IFERROR(INDEX('[17]CN BC'!$J$10:$J$276,MATCH(B218,'[17]CN BC'!$H$10:$H$276,0)),"")</f>
        <v>20</v>
      </c>
      <c r="Q218" s="512">
        <f t="shared" ref="Q218:Q283" si="49">IF(P218&gt;=O218,N218,N218/O218*P218)</f>
        <v>8640000</v>
      </c>
      <c r="R218" s="408"/>
      <c r="S218" s="377">
        <f t="shared" si="43"/>
        <v>0</v>
      </c>
      <c r="T218" s="385"/>
      <c r="U218" s="377">
        <f t="shared" si="39"/>
        <v>0</v>
      </c>
      <c r="V218" s="612">
        <f t="shared" si="45"/>
        <v>54000</v>
      </c>
      <c r="W218" s="386">
        <f t="shared" ref="W218:W281" si="50">(Q218+S218+U218)</f>
        <v>8640000</v>
      </c>
      <c r="X218" s="1080">
        <f t="shared" si="47"/>
        <v>4.8</v>
      </c>
      <c r="Y218" s="1116">
        <v>1800000</v>
      </c>
      <c r="Z218" s="1117">
        <f t="shared" si="48"/>
        <v>8640000</v>
      </c>
      <c r="AA218" s="593">
        <f t="shared" si="46"/>
        <v>196</v>
      </c>
      <c r="AB218" s="511">
        <f>IFERROR(INDEX('[17]CN BC'!$M$10:$M$276,MATCH(B218,'[17]CN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8" t="str">
        <f>VLOOKUP(B219,TH.T5!B219:F548,5,FALSE)</f>
        <v>Giảng viên khoa Cơ khí</v>
      </c>
      <c r="K219" s="384">
        <f t="shared" si="41"/>
        <v>5.5776000000000003</v>
      </c>
      <c r="L219" s="377">
        <f t="shared" si="42"/>
        <v>10039680</v>
      </c>
      <c r="M219" s="381" t="str">
        <f>VLOOKUP(B219,'[24]Gui chi Quynh'!$B$11:$E$400,4,FALSE)</f>
        <v>A4</v>
      </c>
      <c r="N219" s="512">
        <f t="shared" si="44"/>
        <v>10039680</v>
      </c>
      <c r="O219" s="381">
        <v>20</v>
      </c>
      <c r="P219" s="458">
        <f>IFERROR(INDEX('[17]CN BC'!$J$10:$J$276,MATCH(B219,'[17]CN BC'!$H$10:$H$276,0)),"")</f>
        <v>20</v>
      </c>
      <c r="Q219" s="512">
        <f t="shared" si="49"/>
        <v>10039680</v>
      </c>
      <c r="R219" s="478"/>
      <c r="S219" s="377">
        <f>R219*$G$19*0.8</f>
        <v>0</v>
      </c>
      <c r="T219" s="385"/>
      <c r="U219" s="377">
        <f t="shared" si="39"/>
        <v>0</v>
      </c>
      <c r="V219" s="612">
        <f t="shared" si="45"/>
        <v>100397</v>
      </c>
      <c r="W219" s="386">
        <f t="shared" si="50"/>
        <v>10039680</v>
      </c>
      <c r="X219" s="1080">
        <f t="shared" si="47"/>
        <v>5.5776000000000003</v>
      </c>
      <c r="Y219" s="1116">
        <v>1800000</v>
      </c>
      <c r="Z219" s="1117">
        <f t="shared" si="48"/>
        <v>10039680</v>
      </c>
      <c r="AA219" s="593">
        <f t="shared" si="46"/>
        <v>197</v>
      </c>
      <c r="AB219" s="511">
        <f>IFERROR(INDEX('[17]CN BC'!$M$10:$M$276,MATCH(B219,'[17]CN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8" t="str">
        <f>VLOOKUP(B220,TH.T5!B220:F549,5,FALSE)</f>
        <v>Giảng viên khoa Cơ khí</v>
      </c>
      <c r="K220" s="384">
        <f t="shared" si="41"/>
        <v>2.67</v>
      </c>
      <c r="L220" s="377">
        <f t="shared" si="42"/>
        <v>4806000</v>
      </c>
      <c r="M220" s="381" t="str">
        <f>VLOOKUP(B220,'[24]Gui chi Quynh'!$B$11:$E$400,4,FALSE)</f>
        <v>A3</v>
      </c>
      <c r="N220" s="512">
        <f t="shared" si="44"/>
        <v>5767200</v>
      </c>
      <c r="O220" s="381">
        <v>20</v>
      </c>
      <c r="P220" s="458">
        <f>IFERROR(INDEX('[17]CN BC'!$J$10:$J$276,MATCH(B220,'[17]CN BC'!$H$10:$H$276,0)),"")</f>
        <v>20</v>
      </c>
      <c r="Q220" s="512">
        <f t="shared" si="49"/>
        <v>5767200</v>
      </c>
      <c r="R220" s="408"/>
      <c r="S220" s="377">
        <f t="shared" si="43"/>
        <v>0</v>
      </c>
      <c r="T220" s="385"/>
      <c r="U220" s="377">
        <f t="shared" ref="U220:U285" si="51">T220*$G$19*1</f>
        <v>0</v>
      </c>
      <c r="V220" s="612">
        <f t="shared" si="45"/>
        <v>48060</v>
      </c>
      <c r="W220" s="386">
        <f t="shared" si="50"/>
        <v>5767200</v>
      </c>
      <c r="X220" s="1080">
        <f t="shared" si="47"/>
        <v>3.2040000000000002</v>
      </c>
      <c r="Y220" s="1116">
        <v>1800000</v>
      </c>
      <c r="Z220" s="1117">
        <f t="shared" si="48"/>
        <v>5767200</v>
      </c>
      <c r="AA220" s="593">
        <f t="shared" si="46"/>
        <v>198</v>
      </c>
      <c r="AB220" s="511">
        <f>IFERROR(INDEX('[17]CN BC'!$M$10:$M$276,MATCH(B220,'[17]CN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8" t="str">
        <f>VLOOKUP(B221,TH.T5!B221:F550,5,FALSE)</f>
        <v>Giảng viên khoa Cơ khí</v>
      </c>
      <c r="K221" s="384">
        <f t="shared" si="41"/>
        <v>3</v>
      </c>
      <c r="L221" s="377">
        <f t="shared" si="42"/>
        <v>5400000</v>
      </c>
      <c r="M221" s="381" t="str">
        <f>VLOOKUP(B221,'[24]Gui chi Quynh'!$B$11:$E$400,4,FALSE)</f>
        <v>A4</v>
      </c>
      <c r="N221" s="512">
        <f t="shared" si="44"/>
        <v>5400000</v>
      </c>
      <c r="O221" s="381">
        <v>20</v>
      </c>
      <c r="P221" s="458">
        <f>IFERROR(INDEX('[17]CN BC'!$J$10:$J$276,MATCH(B221,'[17]CN BC'!$H$10:$H$276,0)),"")</f>
        <v>20</v>
      </c>
      <c r="Q221" s="512">
        <f t="shared" si="49"/>
        <v>5400000</v>
      </c>
      <c r="R221" s="478"/>
      <c r="S221" s="377">
        <f t="shared" si="43"/>
        <v>0</v>
      </c>
      <c r="T221" s="385"/>
      <c r="U221" s="377">
        <f t="shared" si="51"/>
        <v>0</v>
      </c>
      <c r="V221" s="612">
        <f t="shared" si="45"/>
        <v>54000</v>
      </c>
      <c r="W221" s="386">
        <f t="shared" si="50"/>
        <v>5400000</v>
      </c>
      <c r="X221" s="1080">
        <f t="shared" si="47"/>
        <v>3</v>
      </c>
      <c r="Y221" s="1116">
        <v>1800000</v>
      </c>
      <c r="Z221" s="1117">
        <f t="shared" si="48"/>
        <v>5400000</v>
      </c>
      <c r="AA221" s="593">
        <f t="shared" si="46"/>
        <v>199</v>
      </c>
      <c r="AB221" s="511">
        <f>IFERROR(INDEX('[17]CN BC'!$M$10:$M$276,MATCH(B221,'[17]CN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8" t="str">
        <f>VLOOKUP(B222,TH.T5!B222:F551,5,FALSE)</f>
        <v>Giảng viên khoa Cơ khí</v>
      </c>
      <c r="K222" s="384">
        <f t="shared" si="41"/>
        <v>4.32</v>
      </c>
      <c r="L222" s="377">
        <f t="shared" si="42"/>
        <v>7776000.0000000009</v>
      </c>
      <c r="M222" s="381" t="str">
        <f>VLOOKUP(B222,'[24]Gui chi Quynh'!$B$11:$E$400,4,FALSE)</f>
        <v>A4</v>
      </c>
      <c r="N222" s="512">
        <f t="shared" si="44"/>
        <v>7776000.0000000009</v>
      </c>
      <c r="O222" s="381">
        <v>20</v>
      </c>
      <c r="P222" s="458">
        <f>IFERROR(INDEX('[17]CN BC'!$J$10:$J$276,MATCH(B222,'[17]CN BC'!$H$10:$H$276,0)),"")</f>
        <v>20</v>
      </c>
      <c r="Q222" s="512">
        <f t="shared" si="49"/>
        <v>7776000.0000000009</v>
      </c>
      <c r="R222" s="478"/>
      <c r="S222" s="377">
        <f t="shared" si="43"/>
        <v>0</v>
      </c>
      <c r="T222" s="385"/>
      <c r="U222" s="377">
        <f t="shared" si="51"/>
        <v>0</v>
      </c>
      <c r="V222" s="612">
        <f t="shared" si="45"/>
        <v>77760</v>
      </c>
      <c r="W222" s="386">
        <f t="shared" si="50"/>
        <v>7776000.0000000009</v>
      </c>
      <c r="X222" s="1080">
        <f t="shared" si="47"/>
        <v>4.32</v>
      </c>
      <c r="Y222" s="1116">
        <v>1800000</v>
      </c>
      <c r="Z222" s="1117">
        <f t="shared" si="48"/>
        <v>7776000.0000000009</v>
      </c>
      <c r="AA222" s="593">
        <f t="shared" si="46"/>
        <v>200</v>
      </c>
      <c r="AB222" s="511">
        <f>IFERROR(INDEX('[17]CN BC'!$M$10:$M$276,MATCH(B222,'[17]CN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8" t="str">
        <f>VLOOKUP(B223,TH.T5!B223:F552,5,FALSE)</f>
        <v>Giảng viên khoa Cơ khí</v>
      </c>
      <c r="K223" s="384">
        <f t="shared" si="41"/>
        <v>2.67</v>
      </c>
      <c r="L223" s="377">
        <f t="shared" si="42"/>
        <v>4806000</v>
      </c>
      <c r="M223" s="381" t="str">
        <f>VLOOKUP(B223,'[24]Gui chi Quynh'!$B$11:$E$400,4,FALSE)</f>
        <v>A4</v>
      </c>
      <c r="N223" s="512">
        <f t="shared" si="44"/>
        <v>4806000</v>
      </c>
      <c r="O223" s="381">
        <v>20</v>
      </c>
      <c r="P223" s="458">
        <f>IFERROR(INDEX('[17]CN BC'!$J$10:$J$276,MATCH(B223,'[17]CN BC'!$H$10:$H$276,0)),"")</f>
        <v>20</v>
      </c>
      <c r="Q223" s="512">
        <f t="shared" si="49"/>
        <v>4806000</v>
      </c>
      <c r="R223" s="478"/>
      <c r="S223" s="377">
        <f>R223*$G$19*1.2</f>
        <v>0</v>
      </c>
      <c r="T223" s="385"/>
      <c r="U223" s="377">
        <f t="shared" si="51"/>
        <v>0</v>
      </c>
      <c r="V223" s="612">
        <f t="shared" si="45"/>
        <v>48060</v>
      </c>
      <c r="W223" s="386">
        <f t="shared" si="50"/>
        <v>4806000</v>
      </c>
      <c r="X223" s="1080">
        <f t="shared" si="47"/>
        <v>2.67</v>
      </c>
      <c r="Y223" s="1116">
        <v>1800000</v>
      </c>
      <c r="Z223" s="1117">
        <f t="shared" si="48"/>
        <v>4806000</v>
      </c>
      <c r="AA223" s="593">
        <f t="shared" si="46"/>
        <v>201</v>
      </c>
      <c r="AB223" s="511">
        <f>IFERROR(INDEX('[17]CN BC'!$M$10:$M$276,MATCH(B223,'[17]CN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8" t="str">
        <f>VLOOKUP(B224,TH.T5!B224:F553,5,FALSE)</f>
        <v>Giảng viên khoa Cơ khí</v>
      </c>
      <c r="K224" s="384">
        <f>H224+I224</f>
        <v>5.6786000000000003</v>
      </c>
      <c r="L224" s="377">
        <f>K224*$G$19</f>
        <v>10221480</v>
      </c>
      <c r="M224" s="381" t="str">
        <f>VLOOKUP(B224,'[24]Gui chi Quynh'!$B$11:$E$400,4,FALSE)</f>
        <v>A3</v>
      </c>
      <c r="N224" s="512">
        <f>IF(M224="A1",L224*1.6,IF(M224="A2",L224*1.4,IF(M224="A3",L224*1.2,IF(M224="A4",L224*1,IF(M224="B1",L224*0.7,IF(M224="B2",L224*0.5,IF(M224="C1",L224*0.3,IF(M224="C2",L224*0.2,0))))))))</f>
        <v>12265776</v>
      </c>
      <c r="O224" s="381">
        <v>20</v>
      </c>
      <c r="P224" s="458">
        <f>IFERROR(INDEX('[17]CN BC'!$J$10:$J$276,MATCH(B224,'[17]CN BC'!$H$10:$H$276,0)),"")</f>
        <v>20</v>
      </c>
      <c r="Q224" s="512">
        <f>IF(P224&gt;=O224,N224,N224/O224*P224)</f>
        <v>12265776</v>
      </c>
      <c r="R224" s="478"/>
      <c r="S224" s="377">
        <f>R224*$G$19*1</f>
        <v>0</v>
      </c>
      <c r="T224" s="385"/>
      <c r="U224" s="377">
        <f>T224*$G$19*1</f>
        <v>0</v>
      </c>
      <c r="V224" s="612">
        <f>IF(OR(M224="A DN",M224="KXL", M224=""),"0",ROUND(K224*0.01*$G$19+R224*1%*$G$19+T224*1%*$G$19,))</f>
        <v>102215</v>
      </c>
      <c r="W224" s="386">
        <f>(Q224+S224+U224)</f>
        <v>12265776</v>
      </c>
      <c r="X224" s="1080">
        <f t="shared" si="47"/>
        <v>6.8143200000000004</v>
      </c>
      <c r="Y224" s="1116">
        <v>1800000</v>
      </c>
      <c r="Z224" s="1117">
        <f t="shared" si="48"/>
        <v>12265776</v>
      </c>
      <c r="AA224" s="593">
        <f t="shared" si="46"/>
        <v>202</v>
      </c>
      <c r="AB224" s="511">
        <f>IFERROR(INDEX('[17]CN BC'!$M$10:$M$276,MATCH(B224,'[17]CN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8" t="str">
        <f>VLOOKUP(B225,TH.T5!B225:F554,5,FALSE)</f>
        <v>Trưởng khoa Điện - Điện tử</v>
      </c>
      <c r="K225" s="384">
        <f t="shared" si="41"/>
        <v>5.1000000000000005</v>
      </c>
      <c r="L225" s="377">
        <f t="shared" si="42"/>
        <v>9180000.0000000019</v>
      </c>
      <c r="M225" s="381" t="str">
        <f>VLOOKUP(B225,'[24]Gui chi Quynh'!$B$11:$E$400,4,FALSE)</f>
        <v>A1</v>
      </c>
      <c r="N225" s="512">
        <f t="shared" si="44"/>
        <v>14688000.000000004</v>
      </c>
      <c r="O225" s="381">
        <v>20</v>
      </c>
      <c r="P225" s="458">
        <f>IFERROR(INDEX('[17]CN BC'!$J$10:$J$276,MATCH(B225,'[17]CN BC'!$H$10:$H$276,0)),"")</f>
        <v>20</v>
      </c>
      <c r="Q225" s="512">
        <f t="shared" si="49"/>
        <v>14688000.000000004</v>
      </c>
      <c r="R225" s="408"/>
      <c r="S225" s="377">
        <f>R225*$G$19*1</f>
        <v>0</v>
      </c>
      <c r="T225" s="401"/>
      <c r="U225" s="377">
        <f t="shared" si="51"/>
        <v>0</v>
      </c>
      <c r="V225" s="612">
        <f t="shared" si="45"/>
        <v>91800</v>
      </c>
      <c r="W225" s="386">
        <f t="shared" si="50"/>
        <v>14688000.000000004</v>
      </c>
      <c r="X225" s="1080">
        <f t="shared" si="47"/>
        <v>8.1600000000000019</v>
      </c>
      <c r="Y225" s="1116">
        <v>1800000</v>
      </c>
      <c r="Z225" s="1117">
        <f t="shared" si="48"/>
        <v>14688000.000000004</v>
      </c>
      <c r="AA225" s="593">
        <f t="shared" si="46"/>
        <v>203</v>
      </c>
      <c r="AB225" s="511">
        <f>IFERROR(INDEX('[17]CN BC'!$M$10:$M$276,MATCH(B225,'[17]CN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8" t="str">
        <f>VLOOKUP(B226,TH.T5!B226:F555,5,FALSE)</f>
        <v>Phó Trưởng khoa Điện - Điện tử</v>
      </c>
      <c r="K226" s="384">
        <f t="shared" si="41"/>
        <v>6.1268000000000002</v>
      </c>
      <c r="L226" s="377">
        <f t="shared" si="42"/>
        <v>11028240</v>
      </c>
      <c r="M226" s="381" t="str">
        <f>VLOOKUP(B226,'[24]Gui chi Quynh'!$B$11:$E$400,4,FALSE)</f>
        <v>A3</v>
      </c>
      <c r="N226" s="512">
        <f t="shared" si="44"/>
        <v>13233888</v>
      </c>
      <c r="O226" s="381">
        <v>20</v>
      </c>
      <c r="P226" s="458">
        <f>IFERROR(INDEX('[17]CN BC'!$J$10:$J$276,MATCH(B226,'[17]CN BC'!$H$10:$H$276,0)),"")</f>
        <v>20</v>
      </c>
      <c r="Q226" s="512">
        <f t="shared" si="49"/>
        <v>13233888</v>
      </c>
      <c r="R226" s="408"/>
      <c r="S226" s="377">
        <f>R226*$G$19*1</f>
        <v>0</v>
      </c>
      <c r="T226" s="401"/>
      <c r="U226" s="377">
        <f t="shared" si="51"/>
        <v>0</v>
      </c>
      <c r="V226" s="612">
        <f>IF(OR(M226="A DN",M226="KXL", M226=""),"0",ROUND(K226*0.01*$G$19+R226*1%*$G$19+T226*1%*$G$19,))</f>
        <v>110282</v>
      </c>
      <c r="W226" s="386">
        <f t="shared" si="50"/>
        <v>13233888</v>
      </c>
      <c r="X226" s="1080">
        <f t="shared" si="47"/>
        <v>7.3521599999999996</v>
      </c>
      <c r="Y226" s="1116">
        <v>1800000</v>
      </c>
      <c r="Z226" s="1117">
        <f t="shared" si="48"/>
        <v>13233888</v>
      </c>
      <c r="AA226" s="593">
        <f t="shared" si="46"/>
        <v>204</v>
      </c>
      <c r="AB226" s="511">
        <f>IFERROR(INDEX('[17]CN BC'!$M$10:$M$276,MATCH(B226,'[17]CN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8" t="str">
        <f>VLOOKUP(B227,TH.T5!B227:F556,5,FALSE)</f>
        <v>Giảng viên khoa Điện - Điện tử</v>
      </c>
      <c r="K227" s="384">
        <f t="shared" si="41"/>
        <v>5.2788000000000004</v>
      </c>
      <c r="L227" s="377">
        <f t="shared" si="42"/>
        <v>9501840</v>
      </c>
      <c r="M227" s="381" t="str">
        <f>VLOOKUP(B227,'[24]Gui chi Quynh'!$B$11:$E$400,4,FALSE)</f>
        <v>A3</v>
      </c>
      <c r="N227" s="512">
        <f t="shared" si="44"/>
        <v>11402208</v>
      </c>
      <c r="O227" s="381">
        <v>20</v>
      </c>
      <c r="P227" s="458">
        <f>IFERROR(INDEX('[17]CN BC'!$J$10:$J$276,MATCH(B227,'[17]CN BC'!$H$10:$H$276,0)),"")</f>
        <v>20</v>
      </c>
      <c r="Q227" s="512">
        <f t="shared" si="49"/>
        <v>11402208</v>
      </c>
      <c r="R227" s="408"/>
      <c r="S227" s="377">
        <f t="shared" si="43"/>
        <v>0</v>
      </c>
      <c r="T227" s="421"/>
      <c r="U227" s="377">
        <f t="shared" si="51"/>
        <v>0</v>
      </c>
      <c r="V227" s="612">
        <f t="shared" si="45"/>
        <v>95018</v>
      </c>
      <c r="W227" s="386">
        <f t="shared" si="50"/>
        <v>11402208</v>
      </c>
      <c r="X227" s="1080">
        <f t="shared" si="47"/>
        <v>6.3345599999999997</v>
      </c>
      <c r="Y227" s="1116">
        <v>1800000</v>
      </c>
      <c r="Z227" s="1117">
        <f t="shared" si="48"/>
        <v>11402208</v>
      </c>
      <c r="AA227" s="593">
        <f t="shared" si="46"/>
        <v>205</v>
      </c>
      <c r="AB227" s="511">
        <f>IFERROR(INDEX('[17]CN BC'!$M$10:$M$276,MATCH(B227,'[17]CN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8" t="str">
        <f>VLOOKUP(B228,TH.T5!B228:F557,5,FALSE)</f>
        <v>Giảng viên khoa Điện - Điện tử</v>
      </c>
      <c r="K228" s="384">
        <f t="shared" si="41"/>
        <v>5.2788000000000004</v>
      </c>
      <c r="L228" s="377">
        <f t="shared" si="42"/>
        <v>9501840</v>
      </c>
      <c r="M228" s="381" t="str">
        <f>VLOOKUP(B228,'[24]Gui chi Quynh'!$B$11:$E$400,4,FALSE)</f>
        <v>A3</v>
      </c>
      <c r="N228" s="512">
        <f t="shared" si="44"/>
        <v>11402208</v>
      </c>
      <c r="O228" s="381">
        <v>20</v>
      </c>
      <c r="P228" s="458">
        <f>IFERROR(INDEX('[17]CN BC'!$J$10:$J$276,MATCH(B228,'[17]CN BC'!$H$10:$H$276,0)),"")</f>
        <v>20</v>
      </c>
      <c r="Q228" s="512">
        <f t="shared" si="49"/>
        <v>11402208</v>
      </c>
      <c r="R228" s="478"/>
      <c r="S228" s="377">
        <f t="shared" si="43"/>
        <v>0</v>
      </c>
      <c r="T228" s="385"/>
      <c r="U228" s="377">
        <f t="shared" si="51"/>
        <v>0</v>
      </c>
      <c r="V228" s="612">
        <f t="shared" si="45"/>
        <v>95018</v>
      </c>
      <c r="W228" s="386">
        <f t="shared" si="50"/>
        <v>11402208</v>
      </c>
      <c r="X228" s="1080">
        <f t="shared" si="47"/>
        <v>6.3345599999999997</v>
      </c>
      <c r="Y228" s="1116">
        <v>1800000</v>
      </c>
      <c r="Z228" s="1117">
        <f t="shared" si="48"/>
        <v>11402208</v>
      </c>
      <c r="AA228" s="593">
        <f t="shared" si="46"/>
        <v>206</v>
      </c>
      <c r="AB228" s="511">
        <f>IFERROR(INDEX('[17]CN BC'!$M$10:$M$276,MATCH(B228,'[17]CN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8" t="str">
        <f>VLOOKUP(B229,TH.T5!B229:F558,5,FALSE)</f>
        <v>Giảng viên khoa Điện - Điện tử</v>
      </c>
      <c r="K229" s="384">
        <f t="shared" si="41"/>
        <v>4.6500000000000004</v>
      </c>
      <c r="L229" s="377">
        <f t="shared" si="42"/>
        <v>8370000.0000000009</v>
      </c>
      <c r="M229" s="381" t="str">
        <f>VLOOKUP(B229,'[24]Gui chi Quynh'!$B$11:$E$400,4,FALSE)</f>
        <v>A3</v>
      </c>
      <c r="N229" s="512">
        <f t="shared" si="44"/>
        <v>10044000</v>
      </c>
      <c r="O229" s="381">
        <v>20</v>
      </c>
      <c r="P229" s="458">
        <f>IFERROR(INDEX('[17]CN BC'!$J$10:$J$276,MATCH(B229,'[17]CN BC'!$H$10:$H$276,0)),"")</f>
        <v>20</v>
      </c>
      <c r="Q229" s="512">
        <f t="shared" si="49"/>
        <v>10044000</v>
      </c>
      <c r="R229" s="408"/>
      <c r="S229" s="377">
        <f t="shared" si="43"/>
        <v>0</v>
      </c>
      <c r="T229" s="401"/>
      <c r="U229" s="377">
        <f t="shared" si="51"/>
        <v>0</v>
      </c>
      <c r="V229" s="612">
        <f t="shared" si="45"/>
        <v>83700</v>
      </c>
      <c r="W229" s="386">
        <f t="shared" si="50"/>
        <v>10044000</v>
      </c>
      <c r="X229" s="1080">
        <f t="shared" si="47"/>
        <v>5.58</v>
      </c>
      <c r="Y229" s="1116">
        <v>1800000</v>
      </c>
      <c r="Z229" s="1117">
        <f t="shared" si="48"/>
        <v>10044000</v>
      </c>
      <c r="AA229" s="593">
        <f t="shared" si="46"/>
        <v>207</v>
      </c>
      <c r="AB229" s="511">
        <f>IFERROR(INDEX('[17]CN BC'!$M$10:$M$276,MATCH(B229,'[17]CN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8" t="str">
        <f>VLOOKUP(B230,TH.T5!B230:F559,5,FALSE)</f>
        <v>Giảng viên khoa Điện - Điện tử</v>
      </c>
      <c r="K230" s="384">
        <f t="shared" si="41"/>
        <v>4.32</v>
      </c>
      <c r="L230" s="377">
        <f t="shared" si="42"/>
        <v>7776000.0000000009</v>
      </c>
      <c r="M230" s="381" t="str">
        <f>VLOOKUP(B230,'[24]Gui chi Quynh'!$B$11:$E$400,4,FALSE)</f>
        <v>A3</v>
      </c>
      <c r="N230" s="512">
        <f t="shared" si="44"/>
        <v>9331200</v>
      </c>
      <c r="O230" s="381">
        <v>20</v>
      </c>
      <c r="P230" s="458">
        <f>IFERROR(INDEX('[17]CN BC'!$J$10:$J$276,MATCH(B230,'[17]CN BC'!$H$10:$H$276,0)),"")</f>
        <v>20</v>
      </c>
      <c r="Q230" s="512">
        <f t="shared" si="49"/>
        <v>9331200</v>
      </c>
      <c r="R230" s="408"/>
      <c r="S230" s="377">
        <f t="shared" si="43"/>
        <v>0</v>
      </c>
      <c r="T230" s="401"/>
      <c r="U230" s="377">
        <f t="shared" si="51"/>
        <v>0</v>
      </c>
      <c r="V230" s="612">
        <f t="shared" si="45"/>
        <v>77760</v>
      </c>
      <c r="W230" s="386">
        <f t="shared" si="50"/>
        <v>9331200</v>
      </c>
      <c r="X230" s="1080">
        <f t="shared" si="47"/>
        <v>5.1840000000000002</v>
      </c>
      <c r="Y230" s="1116">
        <v>1800000</v>
      </c>
      <c r="Z230" s="1117">
        <f t="shared" si="48"/>
        <v>9331200</v>
      </c>
      <c r="AA230" s="593">
        <f t="shared" si="46"/>
        <v>208</v>
      </c>
      <c r="AB230" s="511">
        <f>IFERROR(INDEX('[17]CN BC'!$M$10:$M$276,MATCH(B230,'[17]CN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8" t="str">
        <f>VLOOKUP(B231,TH.T5!B231:F560,5,FALSE)</f>
        <v>Giảng viên khoa
Điện - Điện tử</v>
      </c>
      <c r="K231" s="384">
        <f t="shared" si="41"/>
        <v>4.32</v>
      </c>
      <c r="L231" s="377">
        <f t="shared" si="42"/>
        <v>7776000.0000000009</v>
      </c>
      <c r="M231" s="381" t="str">
        <f>VLOOKUP(B231,'[24]Gui chi Quynh'!$B$11:$E$400,4,FALSE)</f>
        <v>A3</v>
      </c>
      <c r="N231" s="512">
        <f t="shared" si="44"/>
        <v>9331200</v>
      </c>
      <c r="O231" s="381">
        <v>20</v>
      </c>
      <c r="P231" s="458">
        <f>IFERROR(INDEX('[17]CN BC'!$J$10:$J$276,MATCH(B231,'[17]CN BC'!$H$10:$H$276,0)),"")</f>
        <v>20</v>
      </c>
      <c r="Q231" s="512">
        <f t="shared" si="49"/>
        <v>9331200</v>
      </c>
      <c r="R231" s="408"/>
      <c r="S231" s="377">
        <f t="shared" si="43"/>
        <v>0</v>
      </c>
      <c r="T231" s="401"/>
      <c r="U231" s="377">
        <f t="shared" si="51"/>
        <v>0</v>
      </c>
      <c r="V231" s="612">
        <f t="shared" si="45"/>
        <v>77760</v>
      </c>
      <c r="W231" s="386">
        <f t="shared" si="50"/>
        <v>9331200</v>
      </c>
      <c r="X231" s="1080">
        <f t="shared" si="47"/>
        <v>5.1840000000000002</v>
      </c>
      <c r="Y231" s="1116">
        <v>1800000</v>
      </c>
      <c r="Z231" s="1117">
        <f t="shared" si="48"/>
        <v>9331200</v>
      </c>
      <c r="AA231" s="593">
        <f t="shared" si="46"/>
        <v>209</v>
      </c>
      <c r="AB231" s="511">
        <f>IFERROR(INDEX('[17]CN BC'!$M$10:$M$276,MATCH(B231,'[17]CN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8" t="str">
        <f>VLOOKUP(B232,TH.T5!B232:F561,5,FALSE)</f>
        <v>Trưởng BM Cơ điện tử và Tự động hóa</v>
      </c>
      <c r="K232" s="384">
        <f t="shared" si="41"/>
        <v>3.58</v>
      </c>
      <c r="L232" s="377">
        <f t="shared" si="42"/>
        <v>6444000</v>
      </c>
      <c r="M232" s="381" t="str">
        <f>VLOOKUP(B232,'[24]Gui chi Quynh'!$B$11:$E$400,4,FALSE)</f>
        <v>A2</v>
      </c>
      <c r="N232" s="512">
        <f t="shared" si="44"/>
        <v>9021600</v>
      </c>
      <c r="O232" s="381">
        <v>20</v>
      </c>
      <c r="P232" s="458">
        <f>IFERROR(INDEX('[17]CN BC'!$J$10:$J$276,MATCH(B232,'[17]CN BC'!$H$10:$H$276,0)),"")</f>
        <v>20</v>
      </c>
      <c r="Q232" s="512">
        <f t="shared" si="49"/>
        <v>9021600</v>
      </c>
      <c r="R232" s="478"/>
      <c r="S232" s="377">
        <f t="shared" si="43"/>
        <v>0</v>
      </c>
      <c r="T232" s="385"/>
      <c r="U232" s="377">
        <f t="shared" si="51"/>
        <v>0</v>
      </c>
      <c r="V232" s="612">
        <f t="shared" si="45"/>
        <v>64440</v>
      </c>
      <c r="W232" s="386">
        <f t="shared" si="50"/>
        <v>9021600</v>
      </c>
      <c r="X232" s="1080">
        <f t="shared" si="47"/>
        <v>5.0119999999999996</v>
      </c>
      <c r="Y232" s="1116">
        <v>1800000</v>
      </c>
      <c r="Z232" s="1117">
        <f t="shared" si="48"/>
        <v>9021600</v>
      </c>
      <c r="AA232" s="593">
        <f t="shared" si="46"/>
        <v>210</v>
      </c>
      <c r="AB232" s="511">
        <f>IFERROR(INDEX('[17]CN BC'!$M$10:$M$276,MATCH(B232,'[17]CN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8" t="str">
        <f>VLOOKUP(B233,TH.T5!B233:F562,5,FALSE)</f>
        <v>Giảng viên khoa Điện - Điện tử</v>
      </c>
      <c r="K233" s="384">
        <f t="shared" si="41"/>
        <v>4.32</v>
      </c>
      <c r="L233" s="377">
        <f t="shared" si="42"/>
        <v>7776000.0000000009</v>
      </c>
      <c r="M233" s="381" t="str">
        <f>VLOOKUP(B233,'[24]Gui chi Quynh'!$B$11:$E$400,4,FALSE)</f>
        <v>A3</v>
      </c>
      <c r="N233" s="512">
        <f t="shared" si="44"/>
        <v>9331200</v>
      </c>
      <c r="O233" s="381">
        <v>20</v>
      </c>
      <c r="P233" s="458">
        <f>IFERROR(INDEX('[17]CN BC'!$J$10:$J$276,MATCH(B233,'[17]CN BC'!$H$10:$H$276,0)),"")</f>
        <v>20</v>
      </c>
      <c r="Q233" s="512">
        <f t="shared" si="49"/>
        <v>9331200</v>
      </c>
      <c r="R233" s="478"/>
      <c r="S233" s="377">
        <f t="shared" si="43"/>
        <v>0</v>
      </c>
      <c r="T233" s="385"/>
      <c r="U233" s="377">
        <f t="shared" si="51"/>
        <v>0</v>
      </c>
      <c r="V233" s="612">
        <f t="shared" si="45"/>
        <v>77760</v>
      </c>
      <c r="W233" s="386">
        <f t="shared" si="50"/>
        <v>9331200</v>
      </c>
      <c r="X233" s="1080">
        <f t="shared" si="47"/>
        <v>5.1840000000000002</v>
      </c>
      <c r="Y233" s="1116">
        <v>1800000</v>
      </c>
      <c r="Z233" s="1117">
        <f t="shared" si="48"/>
        <v>9331200</v>
      </c>
      <c r="AA233" s="593">
        <f t="shared" si="46"/>
        <v>211</v>
      </c>
      <c r="AB233" s="511">
        <f>IFERROR(INDEX('[17]CN BC'!$M$10:$M$276,MATCH(B233,'[17]CN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8" t="str">
        <f>VLOOKUP(B234,TH.T5!B234:F563,5,FALSE)</f>
        <v>Giảng viên khoa Điện - Điện tử</v>
      </c>
      <c r="K234" s="384">
        <f t="shared" si="41"/>
        <v>4.6500000000000004</v>
      </c>
      <c r="L234" s="377">
        <f t="shared" si="42"/>
        <v>8370000.0000000009</v>
      </c>
      <c r="M234" s="381" t="str">
        <f>VLOOKUP(B234,'[24]Gui chi Quynh'!$B$11:$E$400,4,FALSE)</f>
        <v>A3</v>
      </c>
      <c r="N234" s="512">
        <f t="shared" si="44"/>
        <v>10044000</v>
      </c>
      <c r="O234" s="381">
        <v>20</v>
      </c>
      <c r="P234" s="458">
        <f>IFERROR(INDEX('[17]CN BC'!$J$10:$J$276,MATCH(B234,'[17]CN BC'!$H$10:$H$276,0)),"")</f>
        <v>20</v>
      </c>
      <c r="Q234" s="512">
        <f t="shared" si="49"/>
        <v>10044000</v>
      </c>
      <c r="R234" s="408"/>
      <c r="S234" s="377">
        <f t="shared" si="43"/>
        <v>0</v>
      </c>
      <c r="T234" s="401"/>
      <c r="U234" s="377">
        <f t="shared" si="51"/>
        <v>0</v>
      </c>
      <c r="V234" s="612">
        <f t="shared" si="45"/>
        <v>83700</v>
      </c>
      <c r="W234" s="386">
        <f t="shared" si="50"/>
        <v>10044000</v>
      </c>
      <c r="X234" s="1080">
        <f t="shared" si="47"/>
        <v>5.58</v>
      </c>
      <c r="Y234" s="1116">
        <v>1800000</v>
      </c>
      <c r="Z234" s="1117">
        <f t="shared" si="48"/>
        <v>10044000</v>
      </c>
      <c r="AA234" s="593">
        <f t="shared" si="46"/>
        <v>212</v>
      </c>
      <c r="AB234" s="511">
        <f>IFERROR(INDEX('[17]CN BC'!$M$10:$M$276,MATCH(B234,'[17]CN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8" t="str">
        <f>VLOOKUP(B235,TH.T5!B235:F564,5,FALSE)</f>
        <v>Giảng viên khoa
Điện - Điện tử</v>
      </c>
      <c r="K235" s="384">
        <f t="shared" si="41"/>
        <v>3.66</v>
      </c>
      <c r="L235" s="377">
        <f t="shared" si="42"/>
        <v>6588000</v>
      </c>
      <c r="M235" s="381" t="str">
        <f>VLOOKUP(B235,'[24]Gui chi Quynh'!$B$11:$E$400,4,FALSE)</f>
        <v>A3</v>
      </c>
      <c r="N235" s="512">
        <f t="shared" si="44"/>
        <v>7905600</v>
      </c>
      <c r="O235" s="381">
        <v>20</v>
      </c>
      <c r="P235" s="458">
        <f>IFERROR(INDEX('[17]CN BC'!$J$10:$J$276,MATCH(B235,'[17]CN BC'!$H$10:$H$276,0)),"")</f>
        <v>20</v>
      </c>
      <c r="Q235" s="512">
        <f t="shared" si="49"/>
        <v>7905600</v>
      </c>
      <c r="R235" s="478"/>
      <c r="S235" s="377">
        <f t="shared" si="43"/>
        <v>0</v>
      </c>
      <c r="T235" s="385"/>
      <c r="U235" s="377">
        <f t="shared" si="51"/>
        <v>0</v>
      </c>
      <c r="V235" s="612">
        <f t="shared" si="45"/>
        <v>65880</v>
      </c>
      <c r="W235" s="386">
        <f t="shared" si="50"/>
        <v>7905600</v>
      </c>
      <c r="X235" s="1080">
        <f t="shared" si="47"/>
        <v>4.3920000000000003</v>
      </c>
      <c r="Y235" s="1116">
        <v>1800000</v>
      </c>
      <c r="Z235" s="1117">
        <f t="shared" si="48"/>
        <v>7905600.0000000009</v>
      </c>
      <c r="AA235" s="593">
        <f t="shared" si="46"/>
        <v>213</v>
      </c>
      <c r="AB235" s="511">
        <f>IFERROR(INDEX('[17]CN BC'!$M$10:$M$276,MATCH(B235,'[17]CN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8" t="str">
        <f>VLOOKUP(B236,TH.T5!B236:F565,5,FALSE)</f>
        <v>Giảng viên khoa
Điện - Điện tử</v>
      </c>
      <c r="K236" s="384">
        <f t="shared" si="41"/>
        <v>3.99</v>
      </c>
      <c r="L236" s="377">
        <f t="shared" si="42"/>
        <v>7182000</v>
      </c>
      <c r="M236" s="381" t="str">
        <f>VLOOKUP(B236,'[24]Gui chi Quynh'!$B$11:$E$400,4,FALSE)</f>
        <v>A3</v>
      </c>
      <c r="N236" s="512">
        <f t="shared" si="44"/>
        <v>8618400</v>
      </c>
      <c r="O236" s="381">
        <v>20</v>
      </c>
      <c r="P236" s="458">
        <f>IFERROR(INDEX('[17]CN BC'!$J$10:$J$276,MATCH(B236,'[17]CN BC'!$H$10:$H$276,0)),"")</f>
        <v>20</v>
      </c>
      <c r="Q236" s="512">
        <f t="shared" si="49"/>
        <v>8618400</v>
      </c>
      <c r="R236" s="408"/>
      <c r="S236" s="377">
        <f t="shared" si="43"/>
        <v>0</v>
      </c>
      <c r="T236" s="385"/>
      <c r="U236" s="377">
        <f t="shared" si="51"/>
        <v>0</v>
      </c>
      <c r="V236" s="612">
        <f t="shared" si="45"/>
        <v>71820</v>
      </c>
      <c r="W236" s="386">
        <f t="shared" si="50"/>
        <v>8618400</v>
      </c>
      <c r="X236" s="1080">
        <f t="shared" si="47"/>
        <v>4.7880000000000003</v>
      </c>
      <c r="Y236" s="1116">
        <v>1800000</v>
      </c>
      <c r="Z236" s="1117">
        <f t="shared" si="48"/>
        <v>8618400</v>
      </c>
      <c r="AA236" s="593">
        <f t="shared" si="46"/>
        <v>214</v>
      </c>
      <c r="AB236" s="511">
        <f>IFERROR(INDEX('[17]CN BC'!$M$10:$M$276,MATCH(B236,'[17]CN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8" t="str">
        <f>VLOOKUP(B237,TH.T5!B237:F566,5,FALSE)</f>
        <v>Giảng viên khoa Điện - Điện tử</v>
      </c>
      <c r="K237" s="384">
        <f t="shared" si="41"/>
        <v>3.66</v>
      </c>
      <c r="L237" s="377">
        <f t="shared" si="42"/>
        <v>6588000</v>
      </c>
      <c r="M237" s="381" t="str">
        <f>VLOOKUP(B237,'[24]Gui chi Quynh'!$B$11:$E$400,4,FALSE)</f>
        <v>A3</v>
      </c>
      <c r="N237" s="512">
        <f t="shared" si="44"/>
        <v>7905600</v>
      </c>
      <c r="O237" s="381">
        <v>20</v>
      </c>
      <c r="P237" s="458">
        <f>IFERROR(INDEX('[17]CN BC'!$J$10:$J$276,MATCH(B237,'[17]CN BC'!$H$10:$H$276,0)),"")</f>
        <v>20</v>
      </c>
      <c r="Q237" s="512">
        <f t="shared" si="49"/>
        <v>7905600</v>
      </c>
      <c r="R237" s="408"/>
      <c r="S237" s="377">
        <f t="shared" si="43"/>
        <v>0</v>
      </c>
      <c r="T237" s="401"/>
      <c r="U237" s="377">
        <f t="shared" si="51"/>
        <v>0</v>
      </c>
      <c r="V237" s="612">
        <f t="shared" si="45"/>
        <v>65880</v>
      </c>
      <c r="W237" s="386">
        <f t="shared" si="50"/>
        <v>7905600</v>
      </c>
      <c r="X237" s="1080">
        <f t="shared" si="47"/>
        <v>4.3920000000000003</v>
      </c>
      <c r="Y237" s="1116">
        <v>1800000</v>
      </c>
      <c r="Z237" s="1117">
        <f t="shared" si="48"/>
        <v>7905600.0000000009</v>
      </c>
      <c r="AA237" s="593">
        <f t="shared" si="46"/>
        <v>215</v>
      </c>
      <c r="AB237" s="511">
        <f>IFERROR(INDEX('[17]CN BC'!$M$10:$M$276,MATCH(B237,'[17]CN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8" t="str">
        <f>VLOOKUP(B238,TH.T5!B238:F567,5,FALSE)</f>
        <v>Giảng viên khoa
Điện - Điện tử</v>
      </c>
      <c r="K238" s="384">
        <f t="shared" si="41"/>
        <v>3.66</v>
      </c>
      <c r="L238" s="377">
        <f t="shared" si="42"/>
        <v>6588000</v>
      </c>
      <c r="M238" s="381" t="str">
        <f>VLOOKUP(B238,'[24]Gui chi Quynh'!$B$11:$E$400,4,FALSE)</f>
        <v>A1</v>
      </c>
      <c r="N238" s="512">
        <f t="shared" si="44"/>
        <v>10540800</v>
      </c>
      <c r="O238" s="381">
        <v>20</v>
      </c>
      <c r="P238" s="458">
        <f>IFERROR(INDEX('[17]CN BC'!$J$10:$J$276,MATCH(B238,'[17]CN BC'!$H$10:$H$276,0)),"")</f>
        <v>20</v>
      </c>
      <c r="Q238" s="512">
        <f t="shared" si="49"/>
        <v>10540800</v>
      </c>
      <c r="R238" s="408"/>
      <c r="S238" s="377">
        <f t="shared" si="43"/>
        <v>0</v>
      </c>
      <c r="T238" s="401"/>
      <c r="U238" s="377">
        <f t="shared" si="51"/>
        <v>0</v>
      </c>
      <c r="V238" s="612">
        <f t="shared" si="45"/>
        <v>65880</v>
      </c>
      <c r="W238" s="386">
        <f t="shared" si="50"/>
        <v>10540800</v>
      </c>
      <c r="X238" s="1080">
        <f t="shared" si="47"/>
        <v>5.8559999999999999</v>
      </c>
      <c r="Y238" s="1116">
        <v>1800000</v>
      </c>
      <c r="Z238" s="1117">
        <f t="shared" si="48"/>
        <v>10540800</v>
      </c>
      <c r="AA238" s="593">
        <f t="shared" si="46"/>
        <v>216</v>
      </c>
      <c r="AB238" s="511">
        <f>IFERROR(INDEX('[17]CN BC'!$M$10:$M$276,MATCH(B238,'[17]CN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8" t="str">
        <f>VLOOKUP(B239,TH.T5!B239:F568,5,FALSE)</f>
        <v>Giảng viên khoa Điện - Điện tử</v>
      </c>
      <c r="K239" s="384">
        <f t="shared" si="41"/>
        <v>5.7782</v>
      </c>
      <c r="L239" s="377">
        <f t="shared" si="42"/>
        <v>10400760</v>
      </c>
      <c r="M239" s="381" t="str">
        <f>VLOOKUP(B239,'[24]Gui chi Quynh'!$B$11:$E$400,4,FALSE)</f>
        <v>A3</v>
      </c>
      <c r="N239" s="512">
        <f t="shared" si="44"/>
        <v>12480912</v>
      </c>
      <c r="O239" s="381">
        <v>20</v>
      </c>
      <c r="P239" s="458">
        <f>IFERROR(INDEX('[17]CN BC'!$J$10:$J$276,MATCH(B239,'[17]CN BC'!$H$10:$H$276,0)),"")</f>
        <v>20</v>
      </c>
      <c r="Q239" s="512">
        <f t="shared" si="49"/>
        <v>12480912</v>
      </c>
      <c r="R239" s="478"/>
      <c r="S239" s="377">
        <f t="shared" si="43"/>
        <v>0</v>
      </c>
      <c r="T239" s="385"/>
      <c r="U239" s="377">
        <f t="shared" si="51"/>
        <v>0</v>
      </c>
      <c r="V239" s="612">
        <f t="shared" si="45"/>
        <v>104008</v>
      </c>
      <c r="W239" s="386">
        <f t="shared" si="50"/>
        <v>12480912</v>
      </c>
      <c r="X239" s="1080">
        <f t="shared" si="47"/>
        <v>6.93384</v>
      </c>
      <c r="Y239" s="1116">
        <v>1800000</v>
      </c>
      <c r="Z239" s="1117">
        <f t="shared" si="48"/>
        <v>12480912</v>
      </c>
      <c r="AA239" s="593">
        <f t="shared" si="46"/>
        <v>217</v>
      </c>
      <c r="AB239" s="511">
        <f>IFERROR(INDEX('[17]CN BC'!$M$10:$M$276,MATCH(B239,'[17]CN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8" t="str">
        <f>VLOOKUP(B240,TH.T5!B240:F569,5,FALSE)</f>
        <v>Giảng viên khoa Điện - Điện tử</v>
      </c>
      <c r="K240" s="384">
        <f t="shared" si="41"/>
        <v>5.5776000000000003</v>
      </c>
      <c r="L240" s="377">
        <f t="shared" si="42"/>
        <v>10039680</v>
      </c>
      <c r="M240" s="381" t="str">
        <f>VLOOKUP(B240,'[24]Gui chi Quynh'!$B$11:$E$400,4,FALSE)</f>
        <v>A4</v>
      </c>
      <c r="N240" s="512">
        <f t="shared" si="44"/>
        <v>10039680</v>
      </c>
      <c r="O240" s="381">
        <v>20</v>
      </c>
      <c r="P240" s="458">
        <f>IFERROR(INDEX('[17]CN BC'!$J$10:$J$276,MATCH(B240,'[17]CN BC'!$H$10:$H$276,0)),"")</f>
        <v>20</v>
      </c>
      <c r="Q240" s="512">
        <f t="shared" si="49"/>
        <v>10039680</v>
      </c>
      <c r="R240" s="478"/>
      <c r="S240" s="377">
        <f t="shared" si="43"/>
        <v>0</v>
      </c>
      <c r="T240" s="385"/>
      <c r="U240" s="377">
        <f t="shared" si="51"/>
        <v>0</v>
      </c>
      <c r="V240" s="612">
        <f t="shared" si="45"/>
        <v>100397</v>
      </c>
      <c r="W240" s="386">
        <f t="shared" si="50"/>
        <v>10039680</v>
      </c>
      <c r="X240" s="1080">
        <f t="shared" si="47"/>
        <v>5.5776000000000003</v>
      </c>
      <c r="Y240" s="1116">
        <v>1800000</v>
      </c>
      <c r="Z240" s="1117">
        <f t="shared" si="48"/>
        <v>10039680</v>
      </c>
      <c r="AA240" s="593">
        <f t="shared" si="46"/>
        <v>218</v>
      </c>
      <c r="AB240" s="511">
        <f>IFERROR(INDEX('[17]CN BC'!$M$10:$M$276,MATCH(B240,'[17]CN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8" t="str">
        <f>VLOOKUP(B241,TH.T5!B241:F570,5,FALSE)</f>
        <v>Giảng viên khoa Điện - Điện tử</v>
      </c>
      <c r="K241" s="384">
        <f t="shared" si="41"/>
        <v>5.4282000000000004</v>
      </c>
      <c r="L241" s="377">
        <f t="shared" si="42"/>
        <v>9770760</v>
      </c>
      <c r="M241" s="381" t="str">
        <f>VLOOKUP(B241,'[24]Gui chi Quynh'!$B$11:$E$400,4,FALSE)</f>
        <v>A3</v>
      </c>
      <c r="N241" s="512">
        <f t="shared" si="44"/>
        <v>11724912</v>
      </c>
      <c r="O241" s="381">
        <v>20</v>
      </c>
      <c r="P241" s="458">
        <f>IFERROR(INDEX('[17]CN BC'!$J$10:$J$276,MATCH(B241,'[17]CN BC'!$H$10:$H$276,0)),"")</f>
        <v>20</v>
      </c>
      <c r="Q241" s="512">
        <f t="shared" si="49"/>
        <v>11724912</v>
      </c>
      <c r="R241" s="478"/>
      <c r="S241" s="377">
        <f t="shared" si="43"/>
        <v>0</v>
      </c>
      <c r="T241" s="385"/>
      <c r="U241" s="377">
        <f t="shared" si="51"/>
        <v>0</v>
      </c>
      <c r="V241" s="612">
        <f t="shared" si="45"/>
        <v>97708</v>
      </c>
      <c r="W241" s="386">
        <f t="shared" si="50"/>
        <v>11724912</v>
      </c>
      <c r="X241" s="1080">
        <f t="shared" si="47"/>
        <v>6.5138400000000001</v>
      </c>
      <c r="Y241" s="1116">
        <v>1800000</v>
      </c>
      <c r="Z241" s="1117">
        <f t="shared" si="48"/>
        <v>11724912</v>
      </c>
      <c r="AA241" s="593">
        <f t="shared" si="46"/>
        <v>219</v>
      </c>
      <c r="AB241" s="511">
        <f>IFERROR(INDEX('[17]CN BC'!$M$10:$M$276,MATCH(B241,'[17]CN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8" t="str">
        <f>VLOOKUP(B242,TH.T5!B242:F571,5,FALSE)</f>
        <v>Giảng viên khoa Điện - Điện tử</v>
      </c>
      <c r="K242" s="384">
        <f t="shared" si="41"/>
        <v>4.32</v>
      </c>
      <c r="L242" s="377">
        <f t="shared" si="42"/>
        <v>7776000.0000000009</v>
      </c>
      <c r="M242" s="381" t="str">
        <f>VLOOKUP(B242,'[24]Gui chi Quynh'!$B$11:$E$400,4,FALSE)</f>
        <v>A4</v>
      </c>
      <c r="N242" s="512">
        <f t="shared" si="44"/>
        <v>7776000.0000000009</v>
      </c>
      <c r="O242" s="381">
        <v>20</v>
      </c>
      <c r="P242" s="458">
        <f>IFERROR(INDEX('[17]CN BC'!$J$10:$J$276,MATCH(B242,'[17]CN BC'!$H$10:$H$276,0)),"")</f>
        <v>20</v>
      </c>
      <c r="Q242" s="512">
        <f t="shared" si="49"/>
        <v>7776000.0000000009</v>
      </c>
      <c r="R242" s="408"/>
      <c r="S242" s="377">
        <f t="shared" si="43"/>
        <v>0</v>
      </c>
      <c r="T242" s="425"/>
      <c r="U242" s="377">
        <f t="shared" si="51"/>
        <v>0</v>
      </c>
      <c r="V242" s="612">
        <f t="shared" si="45"/>
        <v>77760</v>
      </c>
      <c r="W242" s="386">
        <f t="shared" si="50"/>
        <v>7776000.0000000009</v>
      </c>
      <c r="X242" s="1080">
        <f t="shared" si="47"/>
        <v>4.32</v>
      </c>
      <c r="Y242" s="1116">
        <v>1800000</v>
      </c>
      <c r="Z242" s="1117">
        <f t="shared" si="48"/>
        <v>7776000.0000000009</v>
      </c>
      <c r="AA242" s="593">
        <f t="shared" si="46"/>
        <v>220</v>
      </c>
      <c r="AB242" s="511">
        <f>IFERROR(INDEX('[17]CN BC'!$M$10:$M$276,MATCH(B242,'[17]CN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8" t="str">
        <f>VLOOKUP(B243,TH.T5!B243:F572,5,FALSE)</f>
        <v>Giảng viên khoa
Điện - Điện tử</v>
      </c>
      <c r="K243" s="384">
        <f t="shared" si="41"/>
        <v>4.32</v>
      </c>
      <c r="L243" s="377">
        <f t="shared" si="42"/>
        <v>7776000.0000000009</v>
      </c>
      <c r="M243" s="381" t="str">
        <f>VLOOKUP(B243,'[24]Gui chi Quynh'!$B$11:$E$400,4,FALSE)</f>
        <v>A3</v>
      </c>
      <c r="N243" s="512">
        <f t="shared" si="44"/>
        <v>9331200</v>
      </c>
      <c r="O243" s="381">
        <v>20</v>
      </c>
      <c r="P243" s="458">
        <f>IFERROR(INDEX('[17]CN BC'!$J$10:$J$276,MATCH(B243,'[17]CN BC'!$H$10:$H$276,0)),"")</f>
        <v>20</v>
      </c>
      <c r="Q243" s="512">
        <f t="shared" si="49"/>
        <v>9331200</v>
      </c>
      <c r="R243" s="408"/>
      <c r="S243" s="377">
        <f t="shared" si="43"/>
        <v>0</v>
      </c>
      <c r="T243" s="401"/>
      <c r="U243" s="377">
        <f t="shared" si="51"/>
        <v>0</v>
      </c>
      <c r="V243" s="612">
        <f t="shared" si="45"/>
        <v>77760</v>
      </c>
      <c r="W243" s="386">
        <f t="shared" si="50"/>
        <v>9331200</v>
      </c>
      <c r="X243" s="1080">
        <f t="shared" si="47"/>
        <v>5.1840000000000002</v>
      </c>
      <c r="Y243" s="1116">
        <v>1800000</v>
      </c>
      <c r="Z243" s="1117">
        <f t="shared" si="48"/>
        <v>9331200</v>
      </c>
      <c r="AA243" s="593">
        <f t="shared" si="46"/>
        <v>221</v>
      </c>
      <c r="AB243" s="511">
        <f>IFERROR(INDEX('[17]CN BC'!$M$10:$M$276,MATCH(B243,'[17]CN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8" t="str">
        <f>VLOOKUP(B244,TH.T5!B244:F573,5,FALSE)</f>
        <v>Giảng viên khoa Điện - Điện tử</v>
      </c>
      <c r="K244" s="384">
        <f t="shared" si="41"/>
        <v>4.6500000000000004</v>
      </c>
      <c r="L244" s="377">
        <f t="shared" si="42"/>
        <v>8370000.0000000009</v>
      </c>
      <c r="M244" s="381" t="str">
        <f>VLOOKUP(B244,'[24]Gui chi Quynh'!$B$11:$E$400,4,FALSE)</f>
        <v>A3</v>
      </c>
      <c r="N244" s="512">
        <f t="shared" si="44"/>
        <v>10044000</v>
      </c>
      <c r="O244" s="381">
        <v>20</v>
      </c>
      <c r="P244" s="458">
        <f>IFERROR(INDEX('[17]CN BC'!$J$10:$J$276,MATCH(B244,'[17]CN BC'!$H$10:$H$276,0)),"")</f>
        <v>20</v>
      </c>
      <c r="Q244" s="512">
        <f t="shared" si="49"/>
        <v>10044000</v>
      </c>
      <c r="R244" s="408"/>
      <c r="S244" s="377">
        <f t="shared" si="43"/>
        <v>0</v>
      </c>
      <c r="T244" s="401"/>
      <c r="U244" s="377">
        <f t="shared" si="51"/>
        <v>0</v>
      </c>
      <c r="V244" s="612">
        <f t="shared" si="45"/>
        <v>83700</v>
      </c>
      <c r="W244" s="386">
        <f t="shared" si="50"/>
        <v>10044000</v>
      </c>
      <c r="X244" s="1080">
        <f t="shared" si="47"/>
        <v>5.58</v>
      </c>
      <c r="Y244" s="1116">
        <v>1800000</v>
      </c>
      <c r="Z244" s="1117">
        <f t="shared" si="48"/>
        <v>10044000</v>
      </c>
      <c r="AA244" s="593">
        <f t="shared" si="46"/>
        <v>222</v>
      </c>
      <c r="AB244" s="511">
        <f>IFERROR(INDEX('[17]CN BC'!$M$10:$M$276,MATCH(B244,'[17]CN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8" t="str">
        <f>VLOOKUP(B245,TH.T5!B245:F574,5,FALSE)</f>
        <v>Giảng viên khoa Điện - Điện tử</v>
      </c>
      <c r="K245" s="384">
        <f t="shared" si="41"/>
        <v>4.6500000000000004</v>
      </c>
      <c r="L245" s="377">
        <f t="shared" si="42"/>
        <v>8370000.0000000009</v>
      </c>
      <c r="M245" s="381" t="str">
        <f>VLOOKUP(B245,'[24]Gui chi Quynh'!$B$11:$E$400,4,FALSE)</f>
        <v>A3</v>
      </c>
      <c r="N245" s="512">
        <f t="shared" si="44"/>
        <v>10044000</v>
      </c>
      <c r="O245" s="381">
        <v>20</v>
      </c>
      <c r="P245" s="458">
        <f>IFERROR(INDEX('[17]CN BC'!$J$10:$J$276,MATCH(B245,'[17]CN BC'!$H$10:$H$276,0)),"")</f>
        <v>20</v>
      </c>
      <c r="Q245" s="512">
        <f t="shared" si="49"/>
        <v>10044000</v>
      </c>
      <c r="R245" s="408"/>
      <c r="S245" s="377">
        <f t="shared" si="43"/>
        <v>0</v>
      </c>
      <c r="T245" s="385"/>
      <c r="U245" s="377">
        <f t="shared" si="51"/>
        <v>0</v>
      </c>
      <c r="V245" s="612">
        <f t="shared" si="45"/>
        <v>83700</v>
      </c>
      <c r="W245" s="386">
        <f t="shared" si="50"/>
        <v>10044000</v>
      </c>
      <c r="X245" s="1080">
        <f t="shared" si="47"/>
        <v>5.58</v>
      </c>
      <c r="Y245" s="1116">
        <v>1800000</v>
      </c>
      <c r="Z245" s="1117">
        <f t="shared" si="48"/>
        <v>10044000</v>
      </c>
      <c r="AA245" s="593">
        <f t="shared" si="46"/>
        <v>223</v>
      </c>
      <c r="AB245" s="511">
        <f>IFERROR(INDEX('[17]CN BC'!$M$10:$M$276,MATCH(B245,'[17]CN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8" t="str">
        <f>VLOOKUP(B246,TH.T5!B246:F575,5,FALSE)</f>
        <v>Giảng viên khoa Điện - Điện tử</v>
      </c>
      <c r="K246" s="384">
        <f t="shared" si="41"/>
        <v>4.6500000000000004</v>
      </c>
      <c r="L246" s="377">
        <f t="shared" si="42"/>
        <v>8370000.0000000009</v>
      </c>
      <c r="M246" s="381" t="str">
        <f>VLOOKUP(B246,'[24]Gui chi Quynh'!$B$11:$E$400,4,FALSE)</f>
        <v>A3</v>
      </c>
      <c r="N246" s="512">
        <f t="shared" si="44"/>
        <v>10044000</v>
      </c>
      <c r="O246" s="381">
        <v>20</v>
      </c>
      <c r="P246" s="458">
        <f>IFERROR(INDEX('[17]CN BC'!$J$10:$J$276,MATCH(B246,'[17]CN BC'!$H$10:$H$276,0)),"")</f>
        <v>20</v>
      </c>
      <c r="Q246" s="512">
        <f t="shared" si="49"/>
        <v>10044000</v>
      </c>
      <c r="R246" s="408"/>
      <c r="S246" s="377">
        <f t="shared" si="43"/>
        <v>0</v>
      </c>
      <c r="T246" s="401"/>
      <c r="U246" s="377">
        <f t="shared" si="51"/>
        <v>0</v>
      </c>
      <c r="V246" s="612">
        <f t="shared" si="45"/>
        <v>83700</v>
      </c>
      <c r="W246" s="386">
        <f t="shared" si="50"/>
        <v>10044000</v>
      </c>
      <c r="X246" s="1080">
        <f t="shared" si="47"/>
        <v>5.58</v>
      </c>
      <c r="Y246" s="1116">
        <v>1800000</v>
      </c>
      <c r="Z246" s="1117">
        <f t="shared" si="48"/>
        <v>10044000</v>
      </c>
      <c r="AA246" s="593">
        <f t="shared" si="46"/>
        <v>224</v>
      </c>
      <c r="AB246" s="511">
        <f>IFERROR(INDEX('[17]CN BC'!$M$10:$M$276,MATCH(B246,'[17]CN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8" t="str">
        <f>VLOOKUP(B247,TH.T5!B247:F576,5,FALSE)</f>
        <v>Giảng viên khoa Điện - Điện tử</v>
      </c>
      <c r="K247" s="384">
        <f t="shared" si="41"/>
        <v>4.6500000000000004</v>
      </c>
      <c r="L247" s="377">
        <f t="shared" si="42"/>
        <v>8370000.0000000009</v>
      </c>
      <c r="M247" s="381" t="str">
        <f>VLOOKUP(B247,'[24]Gui chi Quynh'!$B$11:$E$400,4,FALSE)</f>
        <v>A4</v>
      </c>
      <c r="N247" s="512">
        <f t="shared" si="44"/>
        <v>8370000.0000000009</v>
      </c>
      <c r="O247" s="381">
        <v>20</v>
      </c>
      <c r="P247" s="458">
        <f>IFERROR(INDEX('[17]CN BC'!$J$10:$J$276,MATCH(B247,'[17]CN BC'!$H$10:$H$276,0)),"")</f>
        <v>20</v>
      </c>
      <c r="Q247" s="512">
        <f t="shared" si="49"/>
        <v>8370000.0000000009</v>
      </c>
      <c r="R247" s="408"/>
      <c r="S247" s="377">
        <f t="shared" si="43"/>
        <v>0</v>
      </c>
      <c r="T247" s="401"/>
      <c r="U247" s="377">
        <f t="shared" si="51"/>
        <v>0</v>
      </c>
      <c r="V247" s="612">
        <f t="shared" si="45"/>
        <v>83700</v>
      </c>
      <c r="W247" s="386">
        <f t="shared" si="50"/>
        <v>8370000.0000000009</v>
      </c>
      <c r="X247" s="1080">
        <f t="shared" si="47"/>
        <v>4.6500000000000004</v>
      </c>
      <c r="Y247" s="1116">
        <v>1800000</v>
      </c>
      <c r="Z247" s="1117">
        <f t="shared" si="48"/>
        <v>8370000.0000000009</v>
      </c>
      <c r="AA247" s="593">
        <f t="shared" si="46"/>
        <v>225</v>
      </c>
      <c r="AB247" s="511">
        <f>IFERROR(INDEX('[17]CN BC'!$M$10:$M$276,MATCH(B247,'[17]CN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8" t="str">
        <f>VLOOKUP(B248,TH.T5!B248:F577,5,FALSE)</f>
        <v>Giảng viên khoa
Điện - Điện tử</v>
      </c>
      <c r="K248" s="384">
        <f t="shared" si="41"/>
        <v>3.99</v>
      </c>
      <c r="L248" s="377">
        <f t="shared" si="42"/>
        <v>7182000</v>
      </c>
      <c r="M248" s="381" t="str">
        <f>VLOOKUP(B248,'[24]Gui chi Quynh'!$B$11:$E$400,4,FALSE)</f>
        <v>A4</v>
      </c>
      <c r="N248" s="512">
        <f t="shared" si="44"/>
        <v>7182000</v>
      </c>
      <c r="O248" s="381">
        <v>20</v>
      </c>
      <c r="P248" s="458">
        <f>IFERROR(INDEX('[17]CN BC'!$J$10:$J$276,MATCH(B248,'[17]CN BC'!$H$10:$H$276,0)),"")</f>
        <v>20</v>
      </c>
      <c r="Q248" s="512">
        <f t="shared" si="49"/>
        <v>7182000</v>
      </c>
      <c r="R248" s="408"/>
      <c r="S248" s="377">
        <f t="shared" si="43"/>
        <v>0</v>
      </c>
      <c r="T248" s="401"/>
      <c r="U248" s="377">
        <f t="shared" si="51"/>
        <v>0</v>
      </c>
      <c r="V248" s="612">
        <f t="shared" si="45"/>
        <v>71820</v>
      </c>
      <c r="W248" s="386">
        <f t="shared" si="50"/>
        <v>7182000</v>
      </c>
      <c r="X248" s="1080">
        <f t="shared" si="47"/>
        <v>3.99</v>
      </c>
      <c r="Y248" s="1116">
        <v>1800000</v>
      </c>
      <c r="Z248" s="1117">
        <f t="shared" si="48"/>
        <v>7182000</v>
      </c>
      <c r="AA248" s="593">
        <f t="shared" si="46"/>
        <v>226</v>
      </c>
      <c r="AB248" s="511">
        <f>IFERROR(INDEX('[17]CN BC'!$M$10:$M$276,MATCH(B248,'[17]CN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8" t="str">
        <f>VLOOKUP(B249,TH.T5!B249:F578,5,FALSE)</f>
        <v>Giảng viên khoa
Điện - Điện tử</v>
      </c>
      <c r="K249" s="384">
        <f t="shared" ref="K249:K288" si="53">H249+I249</f>
        <v>3.33</v>
      </c>
      <c r="L249" s="377">
        <f t="shared" ref="L249:L288" si="54">K249*$G$19</f>
        <v>5994000</v>
      </c>
      <c r="M249" s="381" t="str">
        <f>VLOOKUP(B249,'[24]Gui chi Quynh'!$B$11:$E$400,4,FALSE)</f>
        <v>A3</v>
      </c>
      <c r="N249" s="512">
        <f t="shared" si="44"/>
        <v>7192800</v>
      </c>
      <c r="O249" s="381">
        <v>20</v>
      </c>
      <c r="P249" s="458">
        <f>IFERROR(INDEX('[17]CN BC'!$J$10:$J$276,MATCH(B249,'[17]CN BC'!$H$10:$H$276,0)),"")</f>
        <v>20</v>
      </c>
      <c r="Q249" s="512">
        <f t="shared" si="49"/>
        <v>7192800</v>
      </c>
      <c r="R249" s="478"/>
      <c r="S249" s="377">
        <f t="shared" si="43"/>
        <v>0</v>
      </c>
      <c r="T249" s="385"/>
      <c r="U249" s="377">
        <f t="shared" si="51"/>
        <v>0</v>
      </c>
      <c r="V249" s="612">
        <f t="shared" si="45"/>
        <v>59940</v>
      </c>
      <c r="W249" s="386">
        <f t="shared" si="50"/>
        <v>7192800</v>
      </c>
      <c r="X249" s="1080">
        <f t="shared" si="47"/>
        <v>3.996</v>
      </c>
      <c r="Y249" s="1116">
        <v>1800000</v>
      </c>
      <c r="Z249" s="1117">
        <f t="shared" si="48"/>
        <v>7192800</v>
      </c>
      <c r="AA249" s="593">
        <f t="shared" si="46"/>
        <v>227</v>
      </c>
      <c r="AB249" s="511">
        <f>IFERROR(INDEX('[17]CN BC'!$M$10:$M$276,MATCH(B249,'[17]CN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8" t="str">
        <f>VLOOKUP(B250,TH.T5!B250:F579,5,FALSE)</f>
        <v>Giảng viên khoa
Điện - Điện tử</v>
      </c>
      <c r="K250" s="384">
        <f t="shared" si="53"/>
        <v>2.92</v>
      </c>
      <c r="L250" s="377">
        <f t="shared" si="54"/>
        <v>5256000</v>
      </c>
      <c r="M250" s="381" t="str">
        <f>VLOOKUP(B250,'[24]Gui chi Quynh'!$B$11:$E$400,4,FALSE)</f>
        <v>A2</v>
      </c>
      <c r="N250" s="512">
        <f t="shared" si="44"/>
        <v>7358399.9999999991</v>
      </c>
      <c r="O250" s="381">
        <v>20</v>
      </c>
      <c r="P250" s="458">
        <f>IFERROR(INDEX('[17]CN BC'!$J$10:$J$276,MATCH(B250,'[17]CN BC'!$H$10:$H$276,0)),"")</f>
        <v>20</v>
      </c>
      <c r="Q250" s="512">
        <f t="shared" si="49"/>
        <v>7358399.9999999991</v>
      </c>
      <c r="R250" s="478"/>
      <c r="S250" s="377">
        <f t="shared" si="43"/>
        <v>0</v>
      </c>
      <c r="T250" s="385"/>
      <c r="U250" s="377">
        <f t="shared" si="51"/>
        <v>0</v>
      </c>
      <c r="V250" s="612">
        <f t="shared" si="45"/>
        <v>52560</v>
      </c>
      <c r="W250" s="386">
        <f t="shared" si="50"/>
        <v>7358399.9999999991</v>
      </c>
      <c r="X250" s="1080">
        <f t="shared" si="47"/>
        <v>4.0879999999999992</v>
      </c>
      <c r="Y250" s="1116">
        <v>1800000</v>
      </c>
      <c r="Z250" s="1117">
        <f t="shared" si="48"/>
        <v>7358399.9999999981</v>
      </c>
      <c r="AA250" s="593">
        <f t="shared" si="46"/>
        <v>228</v>
      </c>
      <c r="AB250" s="511">
        <f>IFERROR(INDEX('[17]CN BC'!$M$10:$M$276,MATCH(B250,'[17]CN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8" t="str">
        <f>VLOOKUP(B251,TH.T5!B251:F580,5,FALSE)</f>
        <v>Giảng viên khoa
Điện - Điện tử</v>
      </c>
      <c r="K251" s="384">
        <f t="shared" si="53"/>
        <v>2.92</v>
      </c>
      <c r="L251" s="377">
        <f t="shared" si="54"/>
        <v>5256000</v>
      </c>
      <c r="M251" s="381" t="str">
        <f>VLOOKUP(B251,'[24]Gui chi Quynh'!$B$11:$E$400,4,FALSE)</f>
        <v>A2</v>
      </c>
      <c r="N251" s="512">
        <f t="shared" si="44"/>
        <v>7358399.9999999991</v>
      </c>
      <c r="O251" s="381">
        <v>20</v>
      </c>
      <c r="P251" s="458">
        <f>IFERROR(INDEX('[17]CN BC'!$J$10:$J$276,MATCH(B251,'[17]CN BC'!$H$10:$H$276,0)),"")</f>
        <v>20</v>
      </c>
      <c r="Q251" s="512">
        <f t="shared" si="49"/>
        <v>7358399.9999999991</v>
      </c>
      <c r="R251" s="408"/>
      <c r="S251" s="377">
        <f t="shared" si="43"/>
        <v>0</v>
      </c>
      <c r="T251" s="385"/>
      <c r="U251" s="377">
        <f t="shared" si="51"/>
        <v>0</v>
      </c>
      <c r="V251" s="612">
        <f t="shared" si="45"/>
        <v>52560</v>
      </c>
      <c r="W251" s="386">
        <f t="shared" si="50"/>
        <v>7358399.9999999991</v>
      </c>
      <c r="X251" s="1080">
        <f t="shared" si="47"/>
        <v>4.0879999999999992</v>
      </c>
      <c r="Y251" s="1116">
        <v>1800000</v>
      </c>
      <c r="Z251" s="1117">
        <f t="shared" si="48"/>
        <v>7358399.9999999981</v>
      </c>
      <c r="AA251" s="593">
        <f t="shared" si="46"/>
        <v>229</v>
      </c>
      <c r="AB251" s="511">
        <f>IFERROR(INDEX('[17]CN BC'!$M$10:$M$276,MATCH(B251,'[17]CN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8" t="str">
        <f>VLOOKUP(B252,TH.T5!B252:F581,5,FALSE)</f>
        <v>Giảng viên khoa Điện - Điện tử</v>
      </c>
      <c r="K252" s="384">
        <f t="shared" si="53"/>
        <v>3.99</v>
      </c>
      <c r="L252" s="377">
        <f t="shared" si="54"/>
        <v>7182000</v>
      </c>
      <c r="M252" s="381" t="str">
        <f>VLOOKUP(B252,'[24]Gui chi Quynh'!$B$11:$E$400,4,FALSE)</f>
        <v>A3</v>
      </c>
      <c r="N252" s="512">
        <f t="shared" si="44"/>
        <v>8618400</v>
      </c>
      <c r="O252" s="381">
        <v>20</v>
      </c>
      <c r="P252" s="458">
        <f>IFERROR(INDEX('[17]CN BC'!$J$10:$J$276,MATCH(B252,'[17]CN BC'!$H$10:$H$276,0)),"")</f>
        <v>20</v>
      </c>
      <c r="Q252" s="512">
        <f t="shared" si="49"/>
        <v>8618400</v>
      </c>
      <c r="R252" s="478"/>
      <c r="S252" s="377">
        <f t="shared" si="43"/>
        <v>0</v>
      </c>
      <c r="T252" s="385"/>
      <c r="U252" s="377">
        <f t="shared" si="51"/>
        <v>0</v>
      </c>
      <c r="V252" s="612">
        <f t="shared" si="45"/>
        <v>71820</v>
      </c>
      <c r="W252" s="386">
        <f t="shared" si="50"/>
        <v>8618400</v>
      </c>
      <c r="X252" s="1080">
        <f t="shared" si="47"/>
        <v>4.7880000000000003</v>
      </c>
      <c r="Y252" s="1116">
        <v>1800000</v>
      </c>
      <c r="Z252" s="1117">
        <f t="shared" si="48"/>
        <v>8618400</v>
      </c>
      <c r="AA252" s="593">
        <f t="shared" si="46"/>
        <v>230</v>
      </c>
      <c r="AB252" s="511">
        <f>IFERROR(INDEX('[17]CN BC'!$M$10:$M$276,MATCH(B252,'[17]CN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8" t="str">
        <f>VLOOKUP(B253,TH.T5!B253:F582,5,FALSE)</f>
        <v>Giảng viên khoa Điện - Điện tử</v>
      </c>
      <c r="K253" s="384">
        <f t="shared" si="53"/>
        <v>2.67</v>
      </c>
      <c r="L253" s="377">
        <f t="shared" si="54"/>
        <v>4806000</v>
      </c>
      <c r="M253" s="381" t="str">
        <f>VLOOKUP(B253,'[24]Gui chi Quynh'!$B$11:$E$400,4,FALSE)</f>
        <v>A3</v>
      </c>
      <c r="N253" s="512">
        <f t="shared" si="44"/>
        <v>5767200</v>
      </c>
      <c r="O253" s="381">
        <v>20</v>
      </c>
      <c r="P253" s="458">
        <f>IFERROR(INDEX('[17]CN BC'!$J$10:$J$276,MATCH(B253,'[17]CN BC'!$H$10:$H$276,0)),"")</f>
        <v>20</v>
      </c>
      <c r="Q253" s="512">
        <f t="shared" si="49"/>
        <v>5767200</v>
      </c>
      <c r="R253" s="478"/>
      <c r="S253" s="377">
        <f t="shared" si="43"/>
        <v>0</v>
      </c>
      <c r="T253" s="385"/>
      <c r="U253" s="377">
        <f t="shared" si="51"/>
        <v>0</v>
      </c>
      <c r="V253" s="612">
        <f t="shared" si="45"/>
        <v>48060</v>
      </c>
      <c r="W253" s="386">
        <f t="shared" si="50"/>
        <v>5767200</v>
      </c>
      <c r="X253" s="1080">
        <f t="shared" si="47"/>
        <v>3.2040000000000002</v>
      </c>
      <c r="Y253" s="1116">
        <v>1800000</v>
      </c>
      <c r="Z253" s="1117">
        <f t="shared" si="48"/>
        <v>5767200</v>
      </c>
      <c r="AA253" s="593">
        <f t="shared" si="46"/>
        <v>231</v>
      </c>
      <c r="AB253" s="511">
        <f>IFERROR(INDEX('[17]CN BC'!$M$10:$M$276,MATCH(B253,'[17]CN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8" t="str">
        <f>VLOOKUP(B254,TH.T5!B254:F583,5,FALSE)</f>
        <v>Giảng viên khoa Điện - Điện tử</v>
      </c>
      <c r="K254" s="384">
        <f t="shared" si="53"/>
        <v>2.34</v>
      </c>
      <c r="L254" s="377">
        <f t="shared" si="54"/>
        <v>4212000</v>
      </c>
      <c r="M254" s="381" t="str">
        <f>VLOOKUP(B254,'[24]Gui chi Quynh'!$B$11:$E$400,4,FALSE)</f>
        <v>A3</v>
      </c>
      <c r="N254" s="512">
        <f t="shared" si="44"/>
        <v>5054400</v>
      </c>
      <c r="O254" s="381">
        <v>20</v>
      </c>
      <c r="P254" s="458">
        <f>IFERROR(INDEX('[17]CN BC'!$J$10:$J$276,MATCH(B254,'[17]CN BC'!$H$10:$H$276,0)),"")</f>
        <v>20</v>
      </c>
      <c r="Q254" s="512">
        <f t="shared" si="49"/>
        <v>5054400</v>
      </c>
      <c r="R254" s="478"/>
      <c r="S254" s="377">
        <f t="shared" si="43"/>
        <v>0</v>
      </c>
      <c r="T254" s="385"/>
      <c r="U254" s="377">
        <f t="shared" si="51"/>
        <v>0</v>
      </c>
      <c r="V254" s="612">
        <f t="shared" si="45"/>
        <v>42120</v>
      </c>
      <c r="W254" s="386">
        <f t="shared" si="50"/>
        <v>5054400</v>
      </c>
      <c r="X254" s="1080">
        <f t="shared" si="47"/>
        <v>2.8079999999999998</v>
      </c>
      <c r="Y254" s="1116">
        <v>1800000</v>
      </c>
      <c r="Z254" s="1117">
        <f t="shared" si="48"/>
        <v>5054400</v>
      </c>
      <c r="AA254" s="593">
        <f t="shared" si="46"/>
        <v>232</v>
      </c>
      <c r="AB254" s="511">
        <f>IFERROR(INDEX('[17]CN BC'!$M$10:$M$276,MATCH(B254,'[17]CN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8" t="str">
        <f>VLOOKUP(B255,TH.T5!B255:F584,5,FALSE)</f>
        <v>Trưởng khoa Động lực</v>
      </c>
      <c r="K255" s="384">
        <f t="shared" si="53"/>
        <v>5.1000000000000005</v>
      </c>
      <c r="L255" s="377">
        <f t="shared" si="54"/>
        <v>9180000.0000000019</v>
      </c>
      <c r="M255" s="381" t="str">
        <f>VLOOKUP(B255,'[24]Gui chi Quynh'!$B$11:$E$400,4,FALSE)</f>
        <v>A3</v>
      </c>
      <c r="N255" s="512">
        <f t="shared" si="44"/>
        <v>11016000.000000002</v>
      </c>
      <c r="O255" s="381">
        <v>20</v>
      </c>
      <c r="P255" s="458">
        <f>IFERROR(INDEX('[17]CN BC'!$J$10:$J$276,MATCH(B255,'[17]CN BC'!$H$10:$H$276,0)),"")</f>
        <v>20</v>
      </c>
      <c r="Q255" s="512">
        <f t="shared" si="49"/>
        <v>11016000.000000002</v>
      </c>
      <c r="R255" s="478"/>
      <c r="S255" s="377">
        <f t="shared" si="43"/>
        <v>0</v>
      </c>
      <c r="T255" s="385"/>
      <c r="U255" s="377">
        <f t="shared" si="51"/>
        <v>0</v>
      </c>
      <c r="V255" s="612">
        <f t="shared" si="45"/>
        <v>91800</v>
      </c>
      <c r="W255" s="386">
        <f t="shared" si="50"/>
        <v>11016000.000000002</v>
      </c>
      <c r="X255" s="1080">
        <f t="shared" si="47"/>
        <v>6.120000000000001</v>
      </c>
      <c r="Y255" s="1116">
        <v>1800000</v>
      </c>
      <c r="Z255" s="1117">
        <f t="shared" si="48"/>
        <v>11016000.000000002</v>
      </c>
      <c r="AA255" s="593">
        <f t="shared" si="46"/>
        <v>233</v>
      </c>
      <c r="AB255" s="511">
        <f>IFERROR(INDEX('[17]CN BC'!$M$10:$M$276,MATCH(B255,'[17]CN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8" t="str">
        <f>VLOOKUP(B256,TH.T5!B256:F585,5,FALSE)</f>
        <v>Phó Trưởng khoa
 Động lực</v>
      </c>
      <c r="K256" s="384">
        <f t="shared" si="53"/>
        <v>5.33</v>
      </c>
      <c r="L256" s="377">
        <f t="shared" si="54"/>
        <v>9594000</v>
      </c>
      <c r="M256" s="381" t="str">
        <f>VLOOKUP(B256,'[24]Gui chi Quynh'!$B$11:$E$400,4,FALSE)</f>
        <v>A3</v>
      </c>
      <c r="N256" s="512">
        <f t="shared" si="44"/>
        <v>11512800</v>
      </c>
      <c r="O256" s="381">
        <v>20</v>
      </c>
      <c r="P256" s="458">
        <f>IFERROR(INDEX('[17]CN BC'!$J$10:$J$276,MATCH(B256,'[17]CN BC'!$H$10:$H$276,0)),"")</f>
        <v>20</v>
      </c>
      <c r="Q256" s="512">
        <f t="shared" si="49"/>
        <v>11512800</v>
      </c>
      <c r="R256" s="478"/>
      <c r="S256" s="377">
        <f t="shared" si="43"/>
        <v>0</v>
      </c>
      <c r="T256" s="385"/>
      <c r="U256" s="377">
        <f t="shared" si="51"/>
        <v>0</v>
      </c>
      <c r="V256" s="612">
        <f t="shared" si="45"/>
        <v>95940</v>
      </c>
      <c r="W256" s="386">
        <f t="shared" si="50"/>
        <v>11512800</v>
      </c>
      <c r="X256" s="1080">
        <f t="shared" si="47"/>
        <v>6.3959999999999999</v>
      </c>
      <c r="Y256" s="1116">
        <v>1800000</v>
      </c>
      <c r="Z256" s="1117">
        <f t="shared" si="48"/>
        <v>11512800</v>
      </c>
      <c r="AA256" s="593">
        <f t="shared" si="46"/>
        <v>234</v>
      </c>
      <c r="AB256" s="511">
        <f>IFERROR(INDEX('[17]CN BC'!$M$10:$M$276,MATCH(B256,'[17]CN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8" t="str">
        <f>VLOOKUP(B257,TH.T5!B257:F586,5,FALSE)</f>
        <v>Giảng viên khoa Động lực</v>
      </c>
      <c r="K257" s="384">
        <f t="shared" si="53"/>
        <v>4.57</v>
      </c>
      <c r="L257" s="377">
        <f t="shared" si="54"/>
        <v>8226000.0000000009</v>
      </c>
      <c r="M257" s="381" t="str">
        <f>VLOOKUP(B257,'[24]Gui chi Quynh'!$B$11:$E$400,4,FALSE)</f>
        <v>A4</v>
      </c>
      <c r="N257" s="512">
        <f t="shared" si="44"/>
        <v>8226000.0000000009</v>
      </c>
      <c r="O257" s="381">
        <v>20</v>
      </c>
      <c r="P257" s="458">
        <f>IFERROR(INDEX('[17]CN BC'!$J$10:$J$276,MATCH(B257,'[17]CN BC'!$H$10:$H$276,0)),"")</f>
        <v>20</v>
      </c>
      <c r="Q257" s="512">
        <f t="shared" si="49"/>
        <v>8226000.0000000009</v>
      </c>
      <c r="R257" s="478"/>
      <c r="S257" s="377">
        <f t="shared" si="43"/>
        <v>0</v>
      </c>
      <c r="T257" s="385"/>
      <c r="U257" s="377">
        <f t="shared" si="51"/>
        <v>0</v>
      </c>
      <c r="V257" s="612">
        <f t="shared" si="45"/>
        <v>82260</v>
      </c>
      <c r="W257" s="386">
        <f t="shared" si="50"/>
        <v>8226000.0000000009</v>
      </c>
      <c r="X257" s="1080">
        <f t="shared" si="47"/>
        <v>4.57</v>
      </c>
      <c r="Y257" s="1116">
        <v>1800000</v>
      </c>
      <c r="Z257" s="1117">
        <f t="shared" si="48"/>
        <v>8226000.0000000009</v>
      </c>
      <c r="AA257" s="593">
        <f t="shared" si="46"/>
        <v>235</v>
      </c>
      <c r="AB257" s="511">
        <f>IFERROR(INDEX('[17]CN BC'!$M$10:$M$276,MATCH(B257,'[17]CN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8" t="str">
        <f>VLOOKUP(B258,TH.T5!B258:F587,5,FALSE)</f>
        <v>Giảng viên - Trưởng BM khoa Động lực</v>
      </c>
      <c r="K258" s="384">
        <f t="shared" si="53"/>
        <v>3.99</v>
      </c>
      <c r="L258" s="377">
        <f t="shared" si="54"/>
        <v>7182000</v>
      </c>
      <c r="M258" s="381" t="str">
        <f>VLOOKUP(B258,'[24]Gui chi Quynh'!$B$11:$E$400,4,FALSE)</f>
        <v>A3</v>
      </c>
      <c r="N258" s="512">
        <f t="shared" si="44"/>
        <v>8618400</v>
      </c>
      <c r="O258" s="381">
        <v>20</v>
      </c>
      <c r="P258" s="458">
        <f>IFERROR(INDEX('[17]CN BC'!$J$10:$J$276,MATCH(B258,'[17]CN BC'!$H$10:$H$276,0)),"")</f>
        <v>20</v>
      </c>
      <c r="Q258" s="512">
        <f t="shared" si="49"/>
        <v>8618400</v>
      </c>
      <c r="R258" s="478"/>
      <c r="S258" s="377">
        <f t="shared" si="43"/>
        <v>0</v>
      </c>
      <c r="T258" s="385"/>
      <c r="U258" s="377">
        <f t="shared" si="51"/>
        <v>0</v>
      </c>
      <c r="V258" s="612">
        <f t="shared" si="45"/>
        <v>71820</v>
      </c>
      <c r="W258" s="386">
        <f t="shared" si="50"/>
        <v>8618400</v>
      </c>
      <c r="X258" s="1080">
        <f t="shared" si="47"/>
        <v>4.7880000000000003</v>
      </c>
      <c r="Y258" s="1116">
        <v>1800000</v>
      </c>
      <c r="Z258" s="1117">
        <f t="shared" si="48"/>
        <v>8618400</v>
      </c>
      <c r="AA258" s="593">
        <f t="shared" si="46"/>
        <v>236</v>
      </c>
      <c r="AB258" s="511">
        <f>IFERROR(INDEX('[17]CN BC'!$M$10:$M$276,MATCH(B258,'[17]CN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8" t="str">
        <f>VLOOKUP(B259,TH.T5!B259:F588,5,FALSE)</f>
        <v>Giảng viên - Trưởng BM khoa Động lực</v>
      </c>
      <c r="K259" s="384">
        <f t="shared" si="53"/>
        <v>4.24</v>
      </c>
      <c r="L259" s="377">
        <f t="shared" si="54"/>
        <v>7632000</v>
      </c>
      <c r="M259" s="381" t="str">
        <f>VLOOKUP(B259,'[24]Gui chi Quynh'!$B$11:$E$400,4,FALSE)</f>
        <v>A3</v>
      </c>
      <c r="N259" s="512">
        <f t="shared" si="44"/>
        <v>9158400</v>
      </c>
      <c r="O259" s="381">
        <v>20</v>
      </c>
      <c r="P259" s="458">
        <f>IFERROR(INDEX('[17]CN BC'!$J$10:$J$276,MATCH(B259,'[17]CN BC'!$H$10:$H$276,0)),"")</f>
        <v>20</v>
      </c>
      <c r="Q259" s="512">
        <f t="shared" si="49"/>
        <v>9158400</v>
      </c>
      <c r="R259" s="478"/>
      <c r="S259" s="377">
        <f t="shared" si="43"/>
        <v>0</v>
      </c>
      <c r="T259" s="385"/>
      <c r="U259" s="377">
        <f t="shared" si="51"/>
        <v>0</v>
      </c>
      <c r="V259" s="612">
        <f t="shared" si="45"/>
        <v>76320</v>
      </c>
      <c r="W259" s="386">
        <f t="shared" si="50"/>
        <v>9158400</v>
      </c>
      <c r="X259" s="1080">
        <f t="shared" si="47"/>
        <v>5.0880000000000001</v>
      </c>
      <c r="Y259" s="1116">
        <v>1800000</v>
      </c>
      <c r="Z259" s="1117">
        <f t="shared" si="48"/>
        <v>9158400</v>
      </c>
      <c r="AA259" s="593">
        <f t="shared" si="46"/>
        <v>237</v>
      </c>
      <c r="AB259" s="511">
        <f>IFERROR(INDEX('[17]CN BC'!$M$10:$M$276,MATCH(B259,'[17]CN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8" t="str">
        <f>VLOOKUP(B260,TH.T5!B260:F589,5,FALSE)</f>
        <v>Giảng viên khoa Động lực</v>
      </c>
      <c r="K260" s="384">
        <f t="shared" si="53"/>
        <v>3.66</v>
      </c>
      <c r="L260" s="377">
        <f t="shared" si="54"/>
        <v>6588000</v>
      </c>
      <c r="M260" s="381" t="str">
        <f>VLOOKUP(B260,'[24]Gui chi Quynh'!$B$11:$E$400,4,FALSE)</f>
        <v>A4</v>
      </c>
      <c r="N260" s="512">
        <f t="shared" si="44"/>
        <v>6588000</v>
      </c>
      <c r="O260" s="381">
        <v>20</v>
      </c>
      <c r="P260" s="458">
        <f>IFERROR(INDEX('[17]CN BC'!$J$10:$J$276,MATCH(B260,'[17]CN BC'!$H$10:$H$276,0)),"")</f>
        <v>20</v>
      </c>
      <c r="Q260" s="512">
        <f t="shared" si="49"/>
        <v>6588000</v>
      </c>
      <c r="R260" s="478"/>
      <c r="S260" s="377">
        <f t="shared" si="43"/>
        <v>0</v>
      </c>
      <c r="T260" s="385"/>
      <c r="U260" s="377">
        <f t="shared" si="51"/>
        <v>0</v>
      </c>
      <c r="V260" s="612">
        <f t="shared" si="45"/>
        <v>65880</v>
      </c>
      <c r="W260" s="386">
        <f t="shared" si="50"/>
        <v>6588000</v>
      </c>
      <c r="X260" s="1080">
        <f t="shared" si="47"/>
        <v>3.66</v>
      </c>
      <c r="Y260" s="1116">
        <v>1800000</v>
      </c>
      <c r="Z260" s="1117">
        <f t="shared" si="48"/>
        <v>6588000</v>
      </c>
      <c r="AA260" s="593">
        <f t="shared" si="46"/>
        <v>238</v>
      </c>
      <c r="AB260" s="511">
        <f>IFERROR(INDEX('[17]CN BC'!$M$10:$M$276,MATCH(B260,'[17]CN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8" t="str">
        <f>VLOOKUP(B261,TH.T5!B261:F590,5,FALSE)</f>
        <v>Giảng viên khoa Động lực</v>
      </c>
      <c r="K261" s="384">
        <f t="shared" si="53"/>
        <v>3.66</v>
      </c>
      <c r="L261" s="377">
        <f t="shared" si="54"/>
        <v>6588000</v>
      </c>
      <c r="M261" s="381" t="str">
        <f>VLOOKUP(B261,'[24]Gui chi Quynh'!$B$11:$E$400,4,FALSE)</f>
        <v>A4</v>
      </c>
      <c r="N261" s="512">
        <f t="shared" si="44"/>
        <v>6588000</v>
      </c>
      <c r="O261" s="381">
        <v>20</v>
      </c>
      <c r="P261" s="458">
        <f>IFERROR(INDEX('[17]CN BC'!$J$10:$J$276,MATCH(B261,'[17]CN BC'!$H$10:$H$276,0)),"")</f>
        <v>20</v>
      </c>
      <c r="Q261" s="512">
        <f t="shared" si="49"/>
        <v>6588000</v>
      </c>
      <c r="R261" s="478"/>
      <c r="S261" s="377">
        <f t="shared" si="43"/>
        <v>0</v>
      </c>
      <c r="T261" s="385"/>
      <c r="U261" s="377">
        <f t="shared" si="51"/>
        <v>0</v>
      </c>
      <c r="V261" s="612">
        <f t="shared" si="45"/>
        <v>65880</v>
      </c>
      <c r="W261" s="386">
        <f t="shared" si="50"/>
        <v>6588000</v>
      </c>
      <c r="X261" s="1080">
        <f t="shared" si="47"/>
        <v>3.66</v>
      </c>
      <c r="Y261" s="1116">
        <v>1800000</v>
      </c>
      <c r="Z261" s="1117">
        <f t="shared" si="48"/>
        <v>6588000</v>
      </c>
      <c r="AA261" s="593">
        <f t="shared" si="46"/>
        <v>239</v>
      </c>
      <c r="AB261" s="511">
        <f>IFERROR(INDEX('[17]CN BC'!$M$10:$M$276,MATCH(B261,'[17]CN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8" t="str">
        <f>VLOOKUP(B262,TH.T5!B262:F591,5,FALSE)</f>
        <v>Giảng viên khoa Động lực</v>
      </c>
      <c r="K262" s="384">
        <f t="shared" si="53"/>
        <v>3.99</v>
      </c>
      <c r="L262" s="377">
        <f t="shared" si="54"/>
        <v>7182000</v>
      </c>
      <c r="M262" s="381" t="str">
        <f>VLOOKUP(B262,'[24]Gui chi Quynh'!$B$11:$E$400,4,FALSE)</f>
        <v>A4</v>
      </c>
      <c r="N262" s="512">
        <f t="shared" si="44"/>
        <v>7182000</v>
      </c>
      <c r="O262" s="381">
        <v>20</v>
      </c>
      <c r="P262" s="458">
        <f>IFERROR(INDEX('[17]CN BC'!$J$10:$J$276,MATCH(B262,'[17]CN BC'!$H$10:$H$276,0)),"")</f>
        <v>20</v>
      </c>
      <c r="Q262" s="512">
        <f t="shared" si="49"/>
        <v>7182000</v>
      </c>
      <c r="R262" s="478"/>
      <c r="S262" s="377">
        <f t="shared" si="43"/>
        <v>0</v>
      </c>
      <c r="T262" s="385"/>
      <c r="U262" s="377">
        <f t="shared" si="51"/>
        <v>0</v>
      </c>
      <c r="V262" s="612">
        <f t="shared" si="45"/>
        <v>71820</v>
      </c>
      <c r="W262" s="386">
        <f t="shared" si="50"/>
        <v>7182000</v>
      </c>
      <c r="X262" s="1080">
        <f t="shared" si="47"/>
        <v>3.99</v>
      </c>
      <c r="Y262" s="1116">
        <v>1800000</v>
      </c>
      <c r="Z262" s="1117">
        <f t="shared" si="48"/>
        <v>7182000</v>
      </c>
      <c r="AA262" s="593">
        <f t="shared" si="46"/>
        <v>240</v>
      </c>
      <c r="AB262" s="511">
        <f>IFERROR(INDEX('[17]CN BC'!$M$10:$M$276,MATCH(B262,'[17]CN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8" t="str">
        <f>VLOOKUP(B263,TH.T5!B263:F592,5,FALSE)</f>
        <v>Giảng viên khoa Động lực</v>
      </c>
      <c r="K263" s="384">
        <f t="shared" si="53"/>
        <v>3.66</v>
      </c>
      <c r="L263" s="377">
        <f t="shared" si="54"/>
        <v>6588000</v>
      </c>
      <c r="M263" s="381" t="str">
        <f>VLOOKUP(B263,'[24]Gui chi Quynh'!$B$11:$E$400,4,FALSE)</f>
        <v>A4</v>
      </c>
      <c r="N263" s="512">
        <f t="shared" si="44"/>
        <v>6588000</v>
      </c>
      <c r="O263" s="381">
        <v>20</v>
      </c>
      <c r="P263" s="458">
        <f>IFERROR(INDEX('[17]CN BC'!$J$10:$J$276,MATCH(B263,'[17]CN BC'!$H$10:$H$276,0)),"")</f>
        <v>20</v>
      </c>
      <c r="Q263" s="512">
        <f t="shared" si="49"/>
        <v>6588000</v>
      </c>
      <c r="R263" s="478"/>
      <c r="S263" s="377">
        <f t="shared" si="43"/>
        <v>0</v>
      </c>
      <c r="T263" s="385"/>
      <c r="U263" s="377">
        <f t="shared" si="51"/>
        <v>0</v>
      </c>
      <c r="V263" s="612">
        <f t="shared" si="45"/>
        <v>65880</v>
      </c>
      <c r="W263" s="386">
        <f t="shared" si="50"/>
        <v>6588000</v>
      </c>
      <c r="X263" s="1080">
        <f t="shared" si="47"/>
        <v>3.66</v>
      </c>
      <c r="Y263" s="1116">
        <v>1800000</v>
      </c>
      <c r="Z263" s="1117">
        <f t="shared" si="48"/>
        <v>6588000</v>
      </c>
      <c r="AA263" s="593">
        <f t="shared" si="46"/>
        <v>241</v>
      </c>
      <c r="AB263" s="511">
        <f>IFERROR(INDEX('[17]CN BC'!$M$10:$M$276,MATCH(B263,'[17]CN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8" t="str">
        <f>VLOOKUP(B264,TH.T5!B264:F593,5,FALSE)</f>
        <v>Giảng viên khoa Động lực</v>
      </c>
      <c r="K264" s="384">
        <f t="shared" si="53"/>
        <v>3.66</v>
      </c>
      <c r="L264" s="377">
        <f t="shared" si="54"/>
        <v>6588000</v>
      </c>
      <c r="M264" s="381" t="str">
        <f>VLOOKUP(B264,'[24]Gui chi Quynh'!$B$11:$E$400,4,FALSE)</f>
        <v>A3</v>
      </c>
      <c r="N264" s="512">
        <f t="shared" si="44"/>
        <v>7905600</v>
      </c>
      <c r="O264" s="381">
        <v>20</v>
      </c>
      <c r="P264" s="458">
        <f>IFERROR(INDEX('[17]CN BC'!$J$10:$J$276,MATCH(B264,'[17]CN BC'!$H$10:$H$276,0)),"")</f>
        <v>20</v>
      </c>
      <c r="Q264" s="512">
        <f t="shared" si="49"/>
        <v>7905600</v>
      </c>
      <c r="R264" s="478"/>
      <c r="S264" s="377">
        <f t="shared" si="43"/>
        <v>0</v>
      </c>
      <c r="T264" s="385"/>
      <c r="U264" s="377">
        <f t="shared" si="51"/>
        <v>0</v>
      </c>
      <c r="V264" s="612">
        <f t="shared" si="45"/>
        <v>65880</v>
      </c>
      <c r="W264" s="386">
        <f t="shared" si="50"/>
        <v>7905600</v>
      </c>
      <c r="X264" s="1080">
        <f t="shared" si="47"/>
        <v>4.3920000000000003</v>
      </c>
      <c r="Y264" s="1116">
        <v>1800000</v>
      </c>
      <c r="Z264" s="1117">
        <f t="shared" si="48"/>
        <v>7905600.0000000009</v>
      </c>
      <c r="AA264" s="593">
        <f t="shared" si="46"/>
        <v>242</v>
      </c>
      <c r="AB264" s="511">
        <f>IFERROR(INDEX('[17]CN BC'!$M$10:$M$276,MATCH(B264,'[17]CN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8" t="str">
        <f>VLOOKUP(B265,TH.T5!B265:F594,5,FALSE)</f>
        <v>Giảng viên khoa Động lực</v>
      </c>
      <c r="K265" s="384">
        <f t="shared" si="53"/>
        <v>3.66</v>
      </c>
      <c r="L265" s="377">
        <f t="shared" si="54"/>
        <v>6588000</v>
      </c>
      <c r="M265" s="381" t="str">
        <f>VLOOKUP(B265,'[24]Gui chi Quynh'!$B$11:$E$400,4,FALSE)</f>
        <v>A4</v>
      </c>
      <c r="N265" s="512">
        <f t="shared" si="44"/>
        <v>6588000</v>
      </c>
      <c r="O265" s="381">
        <v>20</v>
      </c>
      <c r="P265" s="458">
        <f>IFERROR(INDEX('[17]CN BC'!$J$10:$J$276,MATCH(B265,'[17]CN BC'!$H$10:$H$276,0)),"")</f>
        <v>20</v>
      </c>
      <c r="Q265" s="512">
        <f t="shared" si="49"/>
        <v>6588000</v>
      </c>
      <c r="R265" s="478"/>
      <c r="S265" s="377">
        <f t="shared" si="43"/>
        <v>0</v>
      </c>
      <c r="T265" s="385"/>
      <c r="U265" s="377">
        <f t="shared" si="51"/>
        <v>0</v>
      </c>
      <c r="V265" s="612">
        <f t="shared" si="45"/>
        <v>65880</v>
      </c>
      <c r="W265" s="386">
        <f t="shared" si="50"/>
        <v>6588000</v>
      </c>
      <c r="X265" s="1080">
        <f t="shared" si="47"/>
        <v>3.66</v>
      </c>
      <c r="Y265" s="1116">
        <v>1800000</v>
      </c>
      <c r="Z265" s="1117">
        <f t="shared" si="48"/>
        <v>6588000</v>
      </c>
      <c r="AA265" s="593">
        <f t="shared" si="46"/>
        <v>243</v>
      </c>
      <c r="AB265" s="511">
        <f>IFERROR(INDEX('[17]CN BC'!$M$10:$M$276,MATCH(B265,'[17]CN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8" t="str">
        <f>VLOOKUP(B266,TH.T5!B266:F595,5,FALSE)</f>
        <v>Giảng viên khoa Động lực</v>
      </c>
      <c r="K266" s="384">
        <f t="shared" si="53"/>
        <v>3.66</v>
      </c>
      <c r="L266" s="377">
        <f t="shared" si="54"/>
        <v>6588000</v>
      </c>
      <c r="M266" s="381" t="str">
        <f>VLOOKUP(B266,'[24]Gui chi Quynh'!$B$11:$E$400,4,FALSE)</f>
        <v>A4</v>
      </c>
      <c r="N266" s="512">
        <f t="shared" si="44"/>
        <v>6588000</v>
      </c>
      <c r="O266" s="381">
        <v>20</v>
      </c>
      <c r="P266" s="458">
        <f>IFERROR(INDEX('[17]CN BC'!$J$10:$J$276,MATCH(B266,'[17]CN BC'!$H$10:$H$276,0)),"")</f>
        <v>20</v>
      </c>
      <c r="Q266" s="512">
        <f t="shared" si="49"/>
        <v>6588000</v>
      </c>
      <c r="R266" s="408"/>
      <c r="S266" s="377">
        <f t="shared" si="43"/>
        <v>0</v>
      </c>
      <c r="T266" s="385"/>
      <c r="U266" s="377">
        <f t="shared" si="51"/>
        <v>0</v>
      </c>
      <c r="V266" s="612">
        <f t="shared" si="45"/>
        <v>65880</v>
      </c>
      <c r="W266" s="386">
        <f t="shared" si="50"/>
        <v>6588000</v>
      </c>
      <c r="X266" s="1080">
        <f t="shared" si="47"/>
        <v>3.66</v>
      </c>
      <c r="Y266" s="1116">
        <v>1800000</v>
      </c>
      <c r="Z266" s="1117">
        <f t="shared" si="48"/>
        <v>6588000</v>
      </c>
      <c r="AA266" s="593">
        <f t="shared" si="46"/>
        <v>244</v>
      </c>
      <c r="AB266" s="511">
        <f>IFERROR(INDEX('[17]CN BC'!$M$10:$M$276,MATCH(B266,'[17]CN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8" t="str">
        <f>VLOOKUP(B267,TH.T5!B267:F596,5,FALSE)</f>
        <v>Giảng viên khoa Động lực</v>
      </c>
      <c r="K267" s="384">
        <f t="shared" si="53"/>
        <v>3.66</v>
      </c>
      <c r="L267" s="377">
        <f t="shared" si="54"/>
        <v>6588000</v>
      </c>
      <c r="M267" s="381" t="str">
        <f>VLOOKUP(B267,'[24]Gui chi Quynh'!$B$11:$E$400,4,FALSE)</f>
        <v>A4</v>
      </c>
      <c r="N267" s="512">
        <f t="shared" si="44"/>
        <v>6588000</v>
      </c>
      <c r="O267" s="381">
        <v>20</v>
      </c>
      <c r="P267" s="458">
        <f>IFERROR(INDEX('[17]CN BC'!$J$10:$J$276,MATCH(B267,'[17]CN BC'!$H$10:$H$276,0)),"")</f>
        <v>20</v>
      </c>
      <c r="Q267" s="512">
        <f t="shared" si="49"/>
        <v>6588000</v>
      </c>
      <c r="R267" s="478"/>
      <c r="S267" s="377">
        <f t="shared" si="43"/>
        <v>0</v>
      </c>
      <c r="T267" s="385"/>
      <c r="U267" s="377">
        <f t="shared" si="51"/>
        <v>0</v>
      </c>
      <c r="V267" s="612">
        <f t="shared" si="45"/>
        <v>65880</v>
      </c>
      <c r="W267" s="386">
        <f t="shared" si="50"/>
        <v>6588000</v>
      </c>
      <c r="X267" s="1080">
        <f t="shared" si="47"/>
        <v>3.66</v>
      </c>
      <c r="Y267" s="1116">
        <v>1800000</v>
      </c>
      <c r="Z267" s="1117">
        <f t="shared" si="48"/>
        <v>6588000</v>
      </c>
      <c r="AA267" s="593">
        <f t="shared" si="46"/>
        <v>245</v>
      </c>
      <c r="AB267" s="511">
        <f>IFERROR(INDEX('[17]CN BC'!$M$10:$M$276,MATCH(B267,'[17]CN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8" t="str">
        <f>VLOOKUP(B268,TH.T5!B268:F597,5,FALSE)</f>
        <v>Giảng viên khoa Động lực</v>
      </c>
      <c r="K268" s="384">
        <f t="shared" si="53"/>
        <v>3.58</v>
      </c>
      <c r="L268" s="377">
        <f t="shared" si="54"/>
        <v>6444000</v>
      </c>
      <c r="M268" s="381" t="str">
        <f>VLOOKUP(B268,'[24]Gui chi Quynh'!$B$11:$E$400,4,FALSE)</f>
        <v>A3</v>
      </c>
      <c r="N268" s="512">
        <f t="shared" si="44"/>
        <v>7732800</v>
      </c>
      <c r="O268" s="381">
        <v>20</v>
      </c>
      <c r="P268" s="458">
        <f>IFERROR(INDEX('[17]CN BC'!$J$10:$J$276,MATCH(B268,'[17]CN BC'!$H$10:$H$276,0)),"")</f>
        <v>20</v>
      </c>
      <c r="Q268" s="512">
        <f t="shared" si="49"/>
        <v>7732800</v>
      </c>
      <c r="R268" s="478"/>
      <c r="S268" s="377">
        <f t="shared" si="43"/>
        <v>0</v>
      </c>
      <c r="T268" s="385"/>
      <c r="U268" s="377">
        <f t="shared" si="51"/>
        <v>0</v>
      </c>
      <c r="V268" s="612">
        <f t="shared" si="45"/>
        <v>64440</v>
      </c>
      <c r="W268" s="386">
        <f t="shared" si="50"/>
        <v>7732800</v>
      </c>
      <c r="X268" s="1080">
        <f t="shared" si="47"/>
        <v>4.2960000000000003</v>
      </c>
      <c r="Y268" s="1116">
        <v>1800000</v>
      </c>
      <c r="Z268" s="1117">
        <f t="shared" si="48"/>
        <v>7732800.0000000009</v>
      </c>
      <c r="AA268" s="593">
        <f t="shared" si="46"/>
        <v>246</v>
      </c>
      <c r="AB268" s="511">
        <f>IFERROR(INDEX('[17]CN BC'!$M$10:$M$276,MATCH(B268,'[17]CN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8" t="str">
        <f>VLOOKUP(B269,TH.T5!B269:F598,5,FALSE)</f>
        <v>Giảng viên khoa Động lực</v>
      </c>
      <c r="K269" s="384">
        <f t="shared" si="53"/>
        <v>3.33</v>
      </c>
      <c r="L269" s="377">
        <f t="shared" si="54"/>
        <v>5994000</v>
      </c>
      <c r="M269" s="381" t="str">
        <f>VLOOKUP(B269,'[24]Gui chi Quynh'!$B$11:$E$400,4,FALSE)</f>
        <v>A4</v>
      </c>
      <c r="N269" s="512">
        <f t="shared" si="44"/>
        <v>5994000</v>
      </c>
      <c r="O269" s="381">
        <v>20</v>
      </c>
      <c r="P269" s="458">
        <f>IFERROR(INDEX('[17]CN BC'!$J$10:$J$276,MATCH(B269,'[17]CN BC'!$H$10:$H$276,0)),"")</f>
        <v>20</v>
      </c>
      <c r="Q269" s="512">
        <f t="shared" si="49"/>
        <v>5994000</v>
      </c>
      <c r="R269" s="408"/>
      <c r="S269" s="377">
        <f t="shared" si="43"/>
        <v>0</v>
      </c>
      <c r="T269" s="385"/>
      <c r="U269" s="377">
        <f t="shared" si="51"/>
        <v>0</v>
      </c>
      <c r="V269" s="612">
        <f t="shared" si="45"/>
        <v>59940</v>
      </c>
      <c r="W269" s="386">
        <f t="shared" si="50"/>
        <v>5994000</v>
      </c>
      <c r="X269" s="1080">
        <f t="shared" si="47"/>
        <v>3.33</v>
      </c>
      <c r="Y269" s="1116">
        <v>1800000</v>
      </c>
      <c r="Z269" s="1117">
        <f t="shared" si="48"/>
        <v>5994000</v>
      </c>
      <c r="AA269" s="593">
        <f t="shared" si="46"/>
        <v>247</v>
      </c>
      <c r="AB269" s="511">
        <f>IFERROR(INDEX('[17]CN BC'!$M$10:$M$276,MATCH(B269,'[17]CN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8" t="str">
        <f>VLOOKUP(B270,TH.T5!B270:F599,5,FALSE)</f>
        <v>Giảng viên khoa Động lực</v>
      </c>
      <c r="K270" s="384">
        <f t="shared" si="53"/>
        <v>2.67</v>
      </c>
      <c r="L270" s="377">
        <f t="shared" si="54"/>
        <v>4806000</v>
      </c>
      <c r="M270" s="381" t="str">
        <f>VLOOKUP(B270,'[24]Gui chi Quynh'!$B$11:$E$400,4,FALSE)</f>
        <v>A4</v>
      </c>
      <c r="N270" s="512">
        <f t="shared" si="44"/>
        <v>4806000</v>
      </c>
      <c r="O270" s="381">
        <v>20</v>
      </c>
      <c r="P270" s="458">
        <f>IFERROR(INDEX('[17]CN BC'!$J$10:$J$276,MATCH(B270,'[17]CN BC'!$H$10:$H$276,0)),"")</f>
        <v>20</v>
      </c>
      <c r="Q270" s="512">
        <f t="shared" si="49"/>
        <v>4806000</v>
      </c>
      <c r="R270" s="478"/>
      <c r="S270" s="377">
        <f t="shared" si="43"/>
        <v>0</v>
      </c>
      <c r="T270" s="385"/>
      <c r="U270" s="377">
        <f t="shared" si="51"/>
        <v>0</v>
      </c>
      <c r="V270" s="612">
        <f t="shared" si="45"/>
        <v>48060</v>
      </c>
      <c r="W270" s="386">
        <f t="shared" si="50"/>
        <v>4806000</v>
      </c>
      <c r="X270" s="1080">
        <f t="shared" si="47"/>
        <v>2.67</v>
      </c>
      <c r="Y270" s="1116">
        <v>1800000</v>
      </c>
      <c r="Z270" s="1117">
        <f t="shared" si="48"/>
        <v>4806000</v>
      </c>
      <c r="AA270" s="593">
        <f t="shared" si="46"/>
        <v>248</v>
      </c>
      <c r="AB270" s="511">
        <f>IFERROR(INDEX('[17]CN BC'!$M$10:$M$276,MATCH(B270,'[17]CN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8" t="str">
        <f>VLOOKUP(B271,TH.T5!B271:F600,5,FALSE)</f>
        <v>Giảng viên khoa Động lực</v>
      </c>
      <c r="K271" s="384">
        <f t="shared" si="53"/>
        <v>2.67</v>
      </c>
      <c r="L271" s="377">
        <f t="shared" si="54"/>
        <v>4806000</v>
      </c>
      <c r="M271" s="381" t="str">
        <f>VLOOKUP(B271,'[24]Gui chi Quynh'!$B$11:$E$400,4,FALSE)</f>
        <v>A4</v>
      </c>
      <c r="N271" s="512">
        <f t="shared" si="44"/>
        <v>4806000</v>
      </c>
      <c r="O271" s="381">
        <v>20</v>
      </c>
      <c r="P271" s="458">
        <f>IFERROR(INDEX('[17]CN BC'!$J$10:$J$276,MATCH(B271,'[17]CN BC'!$H$10:$H$276,0)),"")</f>
        <v>20</v>
      </c>
      <c r="Q271" s="512">
        <f t="shared" si="49"/>
        <v>4806000</v>
      </c>
      <c r="R271" s="408"/>
      <c r="S271" s="377">
        <f t="shared" si="43"/>
        <v>0</v>
      </c>
      <c r="T271" s="385"/>
      <c r="U271" s="377">
        <f t="shared" si="51"/>
        <v>0</v>
      </c>
      <c r="V271" s="612">
        <f t="shared" si="45"/>
        <v>48060</v>
      </c>
      <c r="W271" s="386">
        <f t="shared" si="50"/>
        <v>4806000</v>
      </c>
      <c r="X271" s="1080">
        <f t="shared" si="47"/>
        <v>2.67</v>
      </c>
      <c r="Y271" s="1116">
        <v>1800000</v>
      </c>
      <c r="Z271" s="1117">
        <f t="shared" si="48"/>
        <v>4806000</v>
      </c>
      <c r="AA271" s="593">
        <f t="shared" si="46"/>
        <v>249</v>
      </c>
      <c r="AB271" s="511">
        <f>IFERROR(INDEX('[17]CN BC'!$M$10:$M$276,MATCH(B271,'[17]CN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8" t="str">
        <f>VLOOKUP(B272,TH.T5!B272:F601,5,FALSE)</f>
        <v>Giảng viên khoa Động lực</v>
      </c>
      <c r="K272" s="384">
        <f t="shared" si="53"/>
        <v>3</v>
      </c>
      <c r="L272" s="377">
        <f t="shared" si="54"/>
        <v>5400000</v>
      </c>
      <c r="M272" s="381" t="str">
        <f>VLOOKUP(B272,'[24]Gui chi Quynh'!$B$11:$E$400,4,FALSE)</f>
        <v>A3</v>
      </c>
      <c r="N272" s="512">
        <f t="shared" si="44"/>
        <v>6480000</v>
      </c>
      <c r="O272" s="381">
        <v>20</v>
      </c>
      <c r="P272" s="458">
        <f>IFERROR(INDEX('[17]CN BC'!$J$10:$J$276,MATCH(B272,'[17]CN BC'!$H$10:$H$276,0)),"")</f>
        <v>20</v>
      </c>
      <c r="Q272" s="512">
        <f t="shared" si="49"/>
        <v>6480000</v>
      </c>
      <c r="R272" s="408"/>
      <c r="S272" s="377">
        <f t="shared" si="43"/>
        <v>0</v>
      </c>
      <c r="T272" s="385"/>
      <c r="U272" s="377">
        <f t="shared" si="51"/>
        <v>0</v>
      </c>
      <c r="V272" s="612">
        <f t="shared" si="45"/>
        <v>54000</v>
      </c>
      <c r="W272" s="386">
        <f t="shared" si="50"/>
        <v>6480000</v>
      </c>
      <c r="X272" s="1080">
        <f t="shared" si="47"/>
        <v>3.6</v>
      </c>
      <c r="Y272" s="1116">
        <v>1800000</v>
      </c>
      <c r="Z272" s="1117">
        <f t="shared" si="48"/>
        <v>6480000</v>
      </c>
      <c r="AA272" s="593">
        <f t="shared" si="46"/>
        <v>250</v>
      </c>
      <c r="AB272" s="511">
        <f>IFERROR(INDEX('[17]CN BC'!$M$10:$M$276,MATCH(B272,'[17]CN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8" t="str">
        <f>VLOOKUP(B273,TH.T5!B273:F602,5,FALSE)</f>
        <v>Giảng viên khoa Động lực</v>
      </c>
      <c r="K273" s="384">
        <f t="shared" si="53"/>
        <v>3.66</v>
      </c>
      <c r="L273" s="377">
        <f t="shared" si="54"/>
        <v>6588000</v>
      </c>
      <c r="M273" s="381" t="str">
        <f>VLOOKUP(B273,'[24]Gui chi Quynh'!$B$11:$E$400,4,FALSE)</f>
        <v>A3</v>
      </c>
      <c r="N273" s="512">
        <f t="shared" si="44"/>
        <v>7905600</v>
      </c>
      <c r="O273" s="381">
        <v>20</v>
      </c>
      <c r="P273" s="458">
        <f>IFERROR(INDEX('[17]CN BC'!$J$10:$J$276,MATCH(B273,'[17]CN BC'!$H$10:$H$276,0)),"")</f>
        <v>20</v>
      </c>
      <c r="Q273" s="512">
        <f t="shared" si="49"/>
        <v>7905600</v>
      </c>
      <c r="R273" s="478"/>
      <c r="S273" s="377">
        <f t="shared" ref="S273:S288" si="55">R273*$G$19*1</f>
        <v>0</v>
      </c>
      <c r="T273" s="385"/>
      <c r="U273" s="377">
        <f t="shared" si="51"/>
        <v>0</v>
      </c>
      <c r="V273" s="612">
        <f t="shared" si="45"/>
        <v>65880</v>
      </c>
      <c r="W273" s="386">
        <f t="shared" si="50"/>
        <v>7905600</v>
      </c>
      <c r="X273" s="1080">
        <f t="shared" si="47"/>
        <v>4.3920000000000003</v>
      </c>
      <c r="Y273" s="1116">
        <v>1800000</v>
      </c>
      <c r="Z273" s="1117">
        <f t="shared" si="48"/>
        <v>7905600.0000000009</v>
      </c>
      <c r="AA273" s="593">
        <f t="shared" si="46"/>
        <v>251</v>
      </c>
      <c r="AB273" s="511">
        <f>IFERROR(INDEX('[17]CN BC'!$M$10:$M$276,MATCH(B273,'[17]CN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8" t="str">
        <f>VLOOKUP(B274,TH.T5!B274:F603,5,FALSE)</f>
        <v>Giảng viên khoa Động lực</v>
      </c>
      <c r="K274" s="384">
        <f t="shared" si="53"/>
        <v>2.67</v>
      </c>
      <c r="L274" s="377">
        <f t="shared" si="54"/>
        <v>4806000</v>
      </c>
      <c r="M274" s="381" t="str">
        <f>VLOOKUP(B274,'[24]Gui chi Quynh'!$B$11:$E$400,4,FALSE)</f>
        <v>A3</v>
      </c>
      <c r="N274" s="512">
        <f t="shared" si="44"/>
        <v>5767200</v>
      </c>
      <c r="O274" s="381">
        <v>20</v>
      </c>
      <c r="P274" s="458">
        <f>IFERROR(INDEX('[17]CN BC'!$J$10:$J$276,MATCH(B274,'[17]CN BC'!$H$10:$H$276,0)),"")</f>
        <v>20</v>
      </c>
      <c r="Q274" s="512">
        <f t="shared" si="49"/>
        <v>5767200</v>
      </c>
      <c r="R274" s="478"/>
      <c r="S274" s="377">
        <f t="shared" si="55"/>
        <v>0</v>
      </c>
      <c r="T274" s="385"/>
      <c r="U274" s="377">
        <f t="shared" si="51"/>
        <v>0</v>
      </c>
      <c r="V274" s="612">
        <f t="shared" si="45"/>
        <v>48060</v>
      </c>
      <c r="W274" s="386">
        <f t="shared" si="50"/>
        <v>5767200</v>
      </c>
      <c r="X274" s="1080">
        <f t="shared" si="47"/>
        <v>3.2040000000000002</v>
      </c>
      <c r="Y274" s="1116">
        <v>1800000</v>
      </c>
      <c r="Z274" s="1117">
        <f t="shared" si="48"/>
        <v>5767200</v>
      </c>
      <c r="AA274" s="593">
        <f t="shared" si="46"/>
        <v>252</v>
      </c>
      <c r="AB274" s="511">
        <f>IFERROR(INDEX('[17]CN BC'!$M$10:$M$276,MATCH(B274,'[17]CN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8" t="str">
        <f>VLOOKUP(B275,TH.T5!B275:F604,5,FALSE)</f>
        <v>Giảng viên khoa Động lực</v>
      </c>
      <c r="K275" s="384">
        <f t="shared" si="53"/>
        <v>2.34</v>
      </c>
      <c r="L275" s="377">
        <f t="shared" si="54"/>
        <v>4212000</v>
      </c>
      <c r="M275" s="381" t="str">
        <f>VLOOKUP(B275,'[24]Gui chi Quynh'!$B$11:$E$400,4,FALSE)</f>
        <v>A4</v>
      </c>
      <c r="N275" s="512">
        <f t="shared" si="44"/>
        <v>4212000</v>
      </c>
      <c r="O275" s="381">
        <v>20</v>
      </c>
      <c r="P275" s="458">
        <f>IFERROR(INDEX('[17]CN BC'!$J$10:$J$276,MATCH(B275,'[17]CN BC'!$H$10:$H$276,0)),"")</f>
        <v>20</v>
      </c>
      <c r="Q275" s="512">
        <f t="shared" si="49"/>
        <v>4212000</v>
      </c>
      <c r="R275" s="478"/>
      <c r="S275" s="377">
        <f t="shared" si="55"/>
        <v>0</v>
      </c>
      <c r="T275" s="385"/>
      <c r="U275" s="377">
        <f t="shared" si="51"/>
        <v>0</v>
      </c>
      <c r="V275" s="612">
        <f t="shared" si="45"/>
        <v>42120</v>
      </c>
      <c r="W275" s="386">
        <f t="shared" si="50"/>
        <v>4212000</v>
      </c>
      <c r="X275" s="1080">
        <f t="shared" si="47"/>
        <v>2.34</v>
      </c>
      <c r="Y275" s="1116">
        <v>1800000</v>
      </c>
      <c r="Z275" s="1117">
        <f t="shared" si="48"/>
        <v>4212000</v>
      </c>
      <c r="AA275" s="593">
        <f t="shared" si="46"/>
        <v>253</v>
      </c>
      <c r="AB275" s="511">
        <f>IFERROR(INDEX('[17]CN BC'!$M$10:$M$276,MATCH(B275,'[17]CN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8" t="str">
        <f>VLOOKUP(B276,TH.T5!B276:F605,5,FALSE)</f>
        <v>Giảng viên khoa Động lực</v>
      </c>
      <c r="K276" s="384">
        <f t="shared" si="53"/>
        <v>2.34</v>
      </c>
      <c r="L276" s="377">
        <f t="shared" si="54"/>
        <v>4212000</v>
      </c>
      <c r="M276" s="381" t="str">
        <f>VLOOKUP(B276,'[24]Gui chi Quynh'!$B$11:$E$400,4,FALSE)</f>
        <v>A4</v>
      </c>
      <c r="N276" s="512">
        <f t="shared" si="44"/>
        <v>4212000</v>
      </c>
      <c r="O276" s="381">
        <v>20</v>
      </c>
      <c r="P276" s="458">
        <f>IFERROR(INDEX('[17]CN BC'!$J$10:$J$276,MATCH(B276,'[17]CN BC'!$H$10:$H$276,0)),"")</f>
        <v>20</v>
      </c>
      <c r="Q276" s="512">
        <f t="shared" si="49"/>
        <v>4212000</v>
      </c>
      <c r="R276" s="478"/>
      <c r="S276" s="377">
        <f t="shared" si="55"/>
        <v>0</v>
      </c>
      <c r="T276" s="385"/>
      <c r="U276" s="377">
        <f t="shared" si="51"/>
        <v>0</v>
      </c>
      <c r="V276" s="612">
        <f t="shared" si="45"/>
        <v>42120</v>
      </c>
      <c r="W276" s="386">
        <f t="shared" si="50"/>
        <v>4212000</v>
      </c>
      <c r="X276" s="1080">
        <f t="shared" si="47"/>
        <v>2.34</v>
      </c>
      <c r="Y276" s="1116">
        <v>1800000</v>
      </c>
      <c r="Z276" s="1117">
        <f t="shared" si="48"/>
        <v>4212000</v>
      </c>
      <c r="AA276" s="593">
        <f t="shared" si="46"/>
        <v>254</v>
      </c>
      <c r="AB276" s="511">
        <f>IFERROR(INDEX('[17]CN BC'!$M$10:$M$276,MATCH(B276,'[17]CN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8" t="str">
        <f>VLOOKUP(B277,TH.T5!B277:F606,5,FALSE)</f>
        <v>Giảng viên khoa Động lực</v>
      </c>
      <c r="K277" s="384">
        <f t="shared" si="53"/>
        <v>3.66</v>
      </c>
      <c r="L277" s="377">
        <f t="shared" si="54"/>
        <v>6588000</v>
      </c>
      <c r="M277" s="381" t="str">
        <f>VLOOKUP(B277,'[24]Gui chi Quynh'!$B$11:$E$400,4,FALSE)</f>
        <v>A4</v>
      </c>
      <c r="N277" s="512">
        <f t="shared" si="44"/>
        <v>6588000</v>
      </c>
      <c r="O277" s="381">
        <v>20</v>
      </c>
      <c r="P277" s="458">
        <f>IFERROR(INDEX('[17]CN BC'!$J$10:$J$276,MATCH(B277,'[17]CN BC'!$H$10:$H$276,0)),"")</f>
        <v>20</v>
      </c>
      <c r="Q277" s="512">
        <f t="shared" si="49"/>
        <v>6588000</v>
      </c>
      <c r="R277" s="478"/>
      <c r="S277" s="377">
        <f t="shared" si="55"/>
        <v>0</v>
      </c>
      <c r="T277" s="385"/>
      <c r="U277" s="377">
        <f t="shared" si="51"/>
        <v>0</v>
      </c>
      <c r="V277" s="612">
        <f t="shared" si="45"/>
        <v>65880</v>
      </c>
      <c r="W277" s="386">
        <f t="shared" si="50"/>
        <v>6588000</v>
      </c>
      <c r="X277" s="1080">
        <f t="shared" si="47"/>
        <v>3.66</v>
      </c>
      <c r="Y277" s="1116">
        <v>1800000</v>
      </c>
      <c r="Z277" s="1117">
        <f t="shared" si="48"/>
        <v>6588000</v>
      </c>
      <c r="AA277" s="593">
        <f t="shared" si="46"/>
        <v>255</v>
      </c>
      <c r="AB277" s="511">
        <f>IFERROR(INDEX('[17]CN BC'!$M$10:$M$276,MATCH(B277,'[17]CN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8" t="str">
        <f>VLOOKUP(B278,TH.T5!B278:F607,5,FALSE)</f>
        <v>Giảng viên khoa Động lực</v>
      </c>
      <c r="K278" s="384">
        <f t="shared" si="53"/>
        <v>3.33</v>
      </c>
      <c r="L278" s="377">
        <f t="shared" si="54"/>
        <v>5994000</v>
      </c>
      <c r="M278" s="381" t="str">
        <f>VLOOKUP(B278,'[24]Gui chi Quynh'!$B$11:$E$400,4,FALSE)</f>
        <v>A4</v>
      </c>
      <c r="N278" s="512">
        <f t="shared" si="44"/>
        <v>5994000</v>
      </c>
      <c r="O278" s="381">
        <v>20</v>
      </c>
      <c r="P278" s="458">
        <f>IFERROR(INDEX('[17]CN BC'!$J$10:$J$276,MATCH(B278,'[17]CN BC'!$H$10:$H$276,0)),"")</f>
        <v>20</v>
      </c>
      <c r="Q278" s="512">
        <f t="shared" si="49"/>
        <v>5994000</v>
      </c>
      <c r="R278" s="478"/>
      <c r="S278" s="377">
        <f t="shared" si="55"/>
        <v>0</v>
      </c>
      <c r="T278" s="385"/>
      <c r="U278" s="377">
        <f t="shared" si="51"/>
        <v>0</v>
      </c>
      <c r="V278" s="612">
        <f t="shared" si="45"/>
        <v>59940</v>
      </c>
      <c r="W278" s="386">
        <f t="shared" si="50"/>
        <v>5994000</v>
      </c>
      <c r="X278" s="1080">
        <f t="shared" si="47"/>
        <v>3.33</v>
      </c>
      <c r="Y278" s="1116">
        <v>1800000</v>
      </c>
      <c r="Z278" s="1117">
        <f t="shared" si="48"/>
        <v>5994000</v>
      </c>
      <c r="AA278" s="593">
        <f t="shared" si="46"/>
        <v>256</v>
      </c>
      <c r="AB278" s="511">
        <f>IFERROR(INDEX('[17]CN BC'!$M$10:$M$276,MATCH(B278,'[17]CN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8" t="str">
        <f>VLOOKUP(B279,TH.T5!B279:F608,5,FALSE)</f>
        <v>Giảng viên khoa Động lực</v>
      </c>
      <c r="K279" s="384">
        <f t="shared" si="53"/>
        <v>1.9890000000000001</v>
      </c>
      <c r="L279" s="377">
        <f t="shared" si="54"/>
        <v>3580200</v>
      </c>
      <c r="M279" s="381" t="str">
        <f>VLOOKUP(B279,'[24]Gui chi Quynh'!$B$11:$E$400,4,FALSE)</f>
        <v>A4</v>
      </c>
      <c r="N279" s="512">
        <f t="shared" ref="N279:N288" si="56">IF(M279="A1",L279*1.6,IF(M279="A2",L279*1.4,IF(M279="A3",L279*1.2,IF(M279="A4",L279*1,IF(M279="B1",L279*0.7,IF(M279="B2",L279*0.5,IF(M279="C1",L279*0.3,IF(M279="C2",L279*0.2,0))))))))</f>
        <v>3580200</v>
      </c>
      <c r="O279" s="381">
        <v>20</v>
      </c>
      <c r="P279" s="458">
        <f>IFERROR(INDEX('[17]CN BC'!$J$10:$J$276,MATCH(B279,'[17]CN BC'!$H$10:$H$276,0)),"")</f>
        <v>20</v>
      </c>
      <c r="Q279" s="512">
        <f t="shared" si="49"/>
        <v>3580200</v>
      </c>
      <c r="R279" s="478"/>
      <c r="S279" s="377">
        <f t="shared" si="55"/>
        <v>0</v>
      </c>
      <c r="T279" s="385"/>
      <c r="U279" s="377">
        <f t="shared" si="51"/>
        <v>0</v>
      </c>
      <c r="V279" s="612">
        <f t="shared" si="45"/>
        <v>35802</v>
      </c>
      <c r="W279" s="386">
        <f t="shared" si="50"/>
        <v>3580200</v>
      </c>
      <c r="X279" s="1080">
        <f t="shared" si="47"/>
        <v>1.9890000000000001</v>
      </c>
      <c r="Y279" s="1116">
        <v>1800000</v>
      </c>
      <c r="Z279" s="1117">
        <f t="shared" si="48"/>
        <v>3580200</v>
      </c>
      <c r="AA279" s="593">
        <f t="shared" ref="AA279:AA342" si="57">A279</f>
        <v>257</v>
      </c>
      <c r="AB279" s="511">
        <f>IFERROR(INDEX('[17]CN BC'!$M$10:$M$276,MATCH(B279,'[17]CN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8" t="str">
        <f>VLOOKUP(B280,TH.T5!B280:F609,5,FALSE)</f>
        <v>Giảng viên khoa Xây dựng - Nhiệt lạnh</v>
      </c>
      <c r="K280" s="384">
        <f t="shared" si="53"/>
        <v>4.1100000000000003</v>
      </c>
      <c r="L280" s="377">
        <f t="shared" si="54"/>
        <v>7398000.0000000009</v>
      </c>
      <c r="M280" s="381" t="str">
        <f>VLOOKUP(B280,'[24]Gui chi Quynh'!$B$11:$E$400,4,FALSE)</f>
        <v>A3</v>
      </c>
      <c r="N280" s="512">
        <f t="shared" si="56"/>
        <v>8877600</v>
      </c>
      <c r="O280" s="381">
        <v>20</v>
      </c>
      <c r="P280" s="458">
        <f>IFERROR(INDEX('[17]CN BC'!$J$10:$J$276,MATCH(B280,'[17]CN BC'!$H$10:$H$276,0)),"")</f>
        <v>20</v>
      </c>
      <c r="Q280" s="512">
        <f t="shared" si="49"/>
        <v>8877600</v>
      </c>
      <c r="R280" s="478"/>
      <c r="S280" s="377">
        <f t="shared" si="55"/>
        <v>0</v>
      </c>
      <c r="T280" s="385"/>
      <c r="U280" s="377">
        <f t="shared" si="51"/>
        <v>0</v>
      </c>
      <c r="V280" s="612">
        <f t="shared" si="45"/>
        <v>73980</v>
      </c>
      <c r="W280" s="386">
        <f t="shared" si="50"/>
        <v>8877600</v>
      </c>
      <c r="X280" s="1080">
        <f t="shared" ref="X280:X343" si="58">W280/Y280</f>
        <v>4.9320000000000004</v>
      </c>
      <c r="Y280" s="1116">
        <v>1800000</v>
      </c>
      <c r="Z280" s="1117">
        <f t="shared" ref="Z280:Z343" si="59">X280*Y280</f>
        <v>8877600</v>
      </c>
      <c r="AA280" s="593">
        <f t="shared" si="57"/>
        <v>258</v>
      </c>
      <c r="AB280" s="511">
        <f>IFERROR(INDEX('[17]CN BC'!$M$10:$M$276,MATCH(B280,'[17]CN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8" t="str">
        <f>VLOOKUP(B281,TH.T5!B281:F610,5,FALSE)</f>
        <v>Giảng viên khoa Xây dựng - Nhiệt lạnh</v>
      </c>
      <c r="K281" s="384">
        <f t="shared" si="53"/>
        <v>4.9000000000000004</v>
      </c>
      <c r="L281" s="377">
        <f t="shared" si="54"/>
        <v>8820000</v>
      </c>
      <c r="M281" s="381" t="str">
        <f>VLOOKUP(B281,'[24]Gui chi Quynh'!$B$11:$E$400,4,FALSE)</f>
        <v>A3</v>
      </c>
      <c r="N281" s="512">
        <f t="shared" si="56"/>
        <v>10584000</v>
      </c>
      <c r="O281" s="381">
        <v>20</v>
      </c>
      <c r="P281" s="458">
        <f>IFERROR(INDEX('[17]CN BC'!$J$10:$J$276,MATCH(B281,'[17]CN BC'!$H$10:$H$276,0)),"")</f>
        <v>20</v>
      </c>
      <c r="Q281" s="512">
        <f t="shared" si="49"/>
        <v>10584000</v>
      </c>
      <c r="R281" s="478"/>
      <c r="S281" s="377">
        <f t="shared" si="55"/>
        <v>0</v>
      </c>
      <c r="T281" s="385"/>
      <c r="U281" s="377">
        <f t="shared" si="51"/>
        <v>0</v>
      </c>
      <c r="V281" s="612">
        <f t="shared" si="45"/>
        <v>88200</v>
      </c>
      <c r="W281" s="386">
        <f t="shared" si="50"/>
        <v>10584000</v>
      </c>
      <c r="X281" s="1080">
        <f t="shared" si="58"/>
        <v>5.88</v>
      </c>
      <c r="Y281" s="1116">
        <v>1800000</v>
      </c>
      <c r="Z281" s="1117">
        <f t="shared" si="59"/>
        <v>10584000</v>
      </c>
      <c r="AA281" s="593">
        <f t="shared" si="57"/>
        <v>259</v>
      </c>
      <c r="AB281" s="511">
        <f>IFERROR(INDEX('[17]CN BC'!$M$10:$M$276,MATCH(B281,'[17]CN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8" t="str">
        <f>VLOOKUP(B282,TH.T5!B282:F611,5,FALSE)</f>
        <v>Giảng viên khoa Xây dựng - Nhiệt lạnh</v>
      </c>
      <c r="K282" s="384">
        <f t="shared" si="53"/>
        <v>4.9000000000000004</v>
      </c>
      <c r="L282" s="377">
        <f t="shared" si="54"/>
        <v>8820000</v>
      </c>
      <c r="M282" s="381" t="str">
        <f>VLOOKUP(B282,'[24]Gui chi Quynh'!$B$11:$E$400,4,FALSE)</f>
        <v>A3</v>
      </c>
      <c r="N282" s="512">
        <f t="shared" si="56"/>
        <v>10584000</v>
      </c>
      <c r="O282" s="381">
        <v>20</v>
      </c>
      <c r="P282" s="458">
        <f>IFERROR(INDEX('[17]CN BC'!$J$10:$J$276,MATCH(B282,'[17]CN BC'!$H$10:$H$276,0)),"")</f>
        <v>20</v>
      </c>
      <c r="Q282" s="512">
        <f t="shared" si="49"/>
        <v>10584000</v>
      </c>
      <c r="R282" s="408"/>
      <c r="S282" s="377">
        <f t="shared" si="55"/>
        <v>0</v>
      </c>
      <c r="T282" s="401"/>
      <c r="U282" s="377">
        <f t="shared" si="51"/>
        <v>0</v>
      </c>
      <c r="V282" s="612">
        <f t="shared" si="45"/>
        <v>88200</v>
      </c>
      <c r="W282" s="386">
        <f t="shared" ref="W282:W288" si="60">(Q282+S282+U282)</f>
        <v>10584000</v>
      </c>
      <c r="X282" s="1080">
        <f t="shared" si="58"/>
        <v>5.88</v>
      </c>
      <c r="Y282" s="1116">
        <v>1800000</v>
      </c>
      <c r="Z282" s="1117">
        <f t="shared" si="59"/>
        <v>10584000</v>
      </c>
      <c r="AA282" s="593">
        <f t="shared" si="57"/>
        <v>260</v>
      </c>
      <c r="AB282" s="511">
        <f>IFERROR(INDEX('[17]CN BC'!$M$10:$M$276,MATCH(B282,'[17]CN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8" t="str">
        <f>VLOOKUP(B283,TH.T5!B283:F612,5,FALSE)</f>
        <v>Giảng viên khoa Xây dựng - Nhiệt lạnh</v>
      </c>
      <c r="K283" s="384">
        <f t="shared" si="53"/>
        <v>3.66</v>
      </c>
      <c r="L283" s="377">
        <f t="shared" si="54"/>
        <v>6588000</v>
      </c>
      <c r="M283" s="381" t="str">
        <f>VLOOKUP(B283,'[24]Gui chi Quynh'!$B$11:$E$400,4,FALSE)</f>
        <v>A3</v>
      </c>
      <c r="N283" s="512">
        <f t="shared" si="56"/>
        <v>7905600</v>
      </c>
      <c r="O283" s="381">
        <v>20</v>
      </c>
      <c r="P283" s="458">
        <f>IFERROR(INDEX('[17]CN BC'!$J$10:$J$276,MATCH(B283,'[17]CN BC'!$H$10:$H$276,0)),"")</f>
        <v>20</v>
      </c>
      <c r="Q283" s="512">
        <f t="shared" si="49"/>
        <v>7905600</v>
      </c>
      <c r="R283" s="478"/>
      <c r="S283" s="377">
        <f t="shared" si="55"/>
        <v>0</v>
      </c>
      <c r="T283" s="385"/>
      <c r="U283" s="377">
        <f t="shared" si="51"/>
        <v>0</v>
      </c>
      <c r="V283" s="377">
        <f t="shared" si="45"/>
        <v>65880</v>
      </c>
      <c r="W283" s="386">
        <f t="shared" si="60"/>
        <v>7905600</v>
      </c>
      <c r="X283" s="1080">
        <f t="shared" si="58"/>
        <v>4.3920000000000003</v>
      </c>
      <c r="Y283" s="1116">
        <v>1800000</v>
      </c>
      <c r="Z283" s="1117">
        <f t="shared" si="59"/>
        <v>7905600.0000000009</v>
      </c>
      <c r="AA283" s="593">
        <f t="shared" si="57"/>
        <v>261</v>
      </c>
      <c r="AB283" s="511">
        <f>IFERROR(INDEX('[17]CN BC'!$M$10:$M$276,MATCH(B283,'[17]CN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8" t="str">
        <f>VLOOKUP(B284,TH.T5!B284:F613,5,FALSE)</f>
        <v>Giảng viên khoa Xây dựng - Nhiệt lạnh</v>
      </c>
      <c r="K284" s="384">
        <f t="shared" si="53"/>
        <v>3.66</v>
      </c>
      <c r="L284" s="377">
        <f t="shared" si="54"/>
        <v>6588000</v>
      </c>
      <c r="M284" s="381" t="str">
        <f>VLOOKUP(B284,'[24]Gui chi Quynh'!$B$11:$E$400,4,FALSE)</f>
        <v>A3</v>
      </c>
      <c r="N284" s="512">
        <f t="shared" si="56"/>
        <v>7905600</v>
      </c>
      <c r="O284" s="381">
        <v>20</v>
      </c>
      <c r="P284" s="458">
        <f>IFERROR(INDEX('[17]CN BC'!$J$10:$J$276,MATCH(B284,'[17]CN BC'!$H$10:$H$276,0)),"")</f>
        <v>20</v>
      </c>
      <c r="Q284" s="512">
        <f>IF(P284&gt;=O284,N284,N284/O284*P284)</f>
        <v>7905600</v>
      </c>
      <c r="R284" s="478"/>
      <c r="S284" s="377">
        <f t="shared" si="55"/>
        <v>0</v>
      </c>
      <c r="T284" s="385"/>
      <c r="U284" s="377">
        <f t="shared" si="51"/>
        <v>0</v>
      </c>
      <c r="V284" s="612">
        <f t="shared" si="45"/>
        <v>65880</v>
      </c>
      <c r="W284" s="386">
        <f t="shared" si="60"/>
        <v>7905600</v>
      </c>
      <c r="X284" s="1080">
        <f t="shared" si="58"/>
        <v>4.3920000000000003</v>
      </c>
      <c r="Y284" s="1116">
        <v>1800000</v>
      </c>
      <c r="Z284" s="1117">
        <f t="shared" si="59"/>
        <v>7905600.0000000009</v>
      </c>
      <c r="AA284" s="593">
        <f t="shared" si="57"/>
        <v>262</v>
      </c>
      <c r="AB284" s="511">
        <f>IFERROR(INDEX('[17]CN BC'!$M$10:$M$276,MATCH(B284,'[17]CN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8" t="str">
        <f>VLOOKUP(B285,TH.T5!B285:F614,5,FALSE)</f>
        <v>Giảng viên khoa Xây dựng - Nhiệt lạnh</v>
      </c>
      <c r="K285" s="384">
        <f t="shared" si="53"/>
        <v>4.32</v>
      </c>
      <c r="L285" s="377">
        <f t="shared" si="54"/>
        <v>7776000.0000000009</v>
      </c>
      <c r="M285" s="381" t="str">
        <f>VLOOKUP(B285,'[24]Gui chi Quynh'!$B$11:$E$400,4,FALSE)</f>
        <v>A3</v>
      </c>
      <c r="N285" s="512">
        <f t="shared" si="56"/>
        <v>9331200</v>
      </c>
      <c r="O285" s="381">
        <v>20</v>
      </c>
      <c r="P285" s="458">
        <f>IFERROR(INDEX('[17]CN BC'!$J$10:$J$276,MATCH(B285,'[17]CN BC'!$H$10:$H$276,0)),"")</f>
        <v>20</v>
      </c>
      <c r="Q285" s="512">
        <f>IF(P285&gt;=O285,N285,N285/O285*P285)</f>
        <v>9331200</v>
      </c>
      <c r="R285" s="478"/>
      <c r="S285" s="377">
        <f t="shared" si="55"/>
        <v>0</v>
      </c>
      <c r="T285" s="385"/>
      <c r="U285" s="377">
        <f t="shared" si="51"/>
        <v>0</v>
      </c>
      <c r="V285" s="612">
        <f t="shared" si="45"/>
        <v>77760</v>
      </c>
      <c r="W285" s="386">
        <f t="shared" si="60"/>
        <v>9331200</v>
      </c>
      <c r="X285" s="1080">
        <f t="shared" si="58"/>
        <v>5.1840000000000002</v>
      </c>
      <c r="Y285" s="1116">
        <v>1800000</v>
      </c>
      <c r="Z285" s="1117">
        <f t="shared" si="59"/>
        <v>9331200</v>
      </c>
      <c r="AA285" s="593">
        <f t="shared" si="57"/>
        <v>263</v>
      </c>
      <c r="AB285" s="511">
        <f>IFERROR(INDEX('[17]CN BC'!$M$10:$M$276,MATCH(B285,'[17]CN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8" t="str">
        <f>VLOOKUP(B286,TH.T5!B286:F615,5,FALSE)</f>
        <v>Giảng viên khoa Xây dựng - Nhiệt lạnh</v>
      </c>
      <c r="K286" s="384">
        <f t="shared" si="53"/>
        <v>3.33</v>
      </c>
      <c r="L286" s="377">
        <f t="shared" si="54"/>
        <v>5994000</v>
      </c>
      <c r="M286" s="381" t="str">
        <f>VLOOKUP(B286,'[24]Gui chi Quynh'!$B$11:$E$400,4,FALSE)</f>
        <v>A3</v>
      </c>
      <c r="N286" s="512">
        <f t="shared" si="56"/>
        <v>7192800</v>
      </c>
      <c r="O286" s="381">
        <v>20</v>
      </c>
      <c r="P286" s="458">
        <f>IFERROR(INDEX('[17]CN BC'!$J$10:$J$276,MATCH(B286,'[17]CN BC'!$H$10:$H$276,0)),"")</f>
        <v>20</v>
      </c>
      <c r="Q286" s="512">
        <f>IF(P286&gt;=O286,N286,N286/O286*P286)</f>
        <v>7192800</v>
      </c>
      <c r="R286" s="478"/>
      <c r="S286" s="377">
        <f t="shared" si="55"/>
        <v>0</v>
      </c>
      <c r="T286" s="385"/>
      <c r="U286" s="377">
        <f>T286*$G$19*1</f>
        <v>0</v>
      </c>
      <c r="V286" s="612">
        <f t="shared" si="45"/>
        <v>59940</v>
      </c>
      <c r="W286" s="386">
        <f t="shared" si="60"/>
        <v>7192800</v>
      </c>
      <c r="X286" s="1080">
        <f t="shared" si="58"/>
        <v>3.996</v>
      </c>
      <c r="Y286" s="1116">
        <v>1800000</v>
      </c>
      <c r="Z286" s="1117">
        <f t="shared" si="59"/>
        <v>7192800</v>
      </c>
      <c r="AA286" s="593">
        <f t="shared" si="57"/>
        <v>264</v>
      </c>
      <c r="AB286" s="511">
        <f>IFERROR(INDEX('[17]CN BC'!$M$10:$M$276,MATCH(B286,'[17]CN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8" t="str">
        <f>VLOOKUP(B287,TH.T5!B287:F616,5,FALSE)</f>
        <v>Giảng viên khoa Xây dựng - Nhiệt lạnh</v>
      </c>
      <c r="K287" s="384">
        <f t="shared" si="53"/>
        <v>4.9800000000000004</v>
      </c>
      <c r="L287" s="377">
        <f t="shared" si="54"/>
        <v>8964000</v>
      </c>
      <c r="M287" s="381" t="str">
        <f>VLOOKUP(B287,'[24]Gui chi Quynh'!$B$11:$E$400,4,FALSE)</f>
        <v>A3</v>
      </c>
      <c r="N287" s="512">
        <f t="shared" si="56"/>
        <v>10756800</v>
      </c>
      <c r="O287" s="381">
        <v>20</v>
      </c>
      <c r="P287" s="458">
        <f>IFERROR(INDEX('[17]CN BC'!$J$10:$J$276,MATCH(B287,'[17]CN BC'!$H$10:$H$276,0)),"")</f>
        <v>20</v>
      </c>
      <c r="Q287" s="512">
        <f>IF(P287&gt;=O287,N287,N287/O287*P287)</f>
        <v>10756800</v>
      </c>
      <c r="R287" s="408"/>
      <c r="S287" s="377">
        <f t="shared" si="55"/>
        <v>0</v>
      </c>
      <c r="T287" s="421"/>
      <c r="U287" s="377">
        <f>T287*$G$19*1</f>
        <v>0</v>
      </c>
      <c r="V287" s="612">
        <f t="shared" si="45"/>
        <v>89640</v>
      </c>
      <c r="W287" s="386">
        <f t="shared" si="60"/>
        <v>10756800</v>
      </c>
      <c r="X287" s="1080">
        <f t="shared" si="58"/>
        <v>5.976</v>
      </c>
      <c r="Y287" s="1116">
        <v>1800000</v>
      </c>
      <c r="Z287" s="1117">
        <f t="shared" si="59"/>
        <v>10756800</v>
      </c>
      <c r="AA287" s="593">
        <f t="shared" si="57"/>
        <v>265</v>
      </c>
      <c r="AB287" s="511">
        <f>IFERROR(INDEX('[17]CN BC'!$M$10:$M$276,MATCH(B287,'[17]CN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8" t="str">
        <f>VLOOKUP(B288,TH.T5!B288:F617,5,FALSE)</f>
        <v>Phó Trưởng khoa Xây dựng - Nhiệt lạnh</v>
      </c>
      <c r="K288" s="384">
        <f t="shared" si="53"/>
        <v>3.68</v>
      </c>
      <c r="L288" s="377">
        <f t="shared" si="54"/>
        <v>6624000</v>
      </c>
      <c r="M288" s="381" t="str">
        <f>VLOOKUP(B288,'[24]Gui chi Quynh'!$B$11:$E$400,4,FALSE)</f>
        <v>A2</v>
      </c>
      <c r="N288" s="512">
        <f t="shared" si="56"/>
        <v>9273600</v>
      </c>
      <c r="O288" s="381">
        <v>20</v>
      </c>
      <c r="P288" s="458">
        <f>IFERROR(INDEX('[17]CN BC'!$J$10:$J$276,MATCH(B288,'[17]CN BC'!$H$10:$H$276,0)),"")</f>
        <v>20</v>
      </c>
      <c r="Q288" s="512">
        <f>IF(P288&gt;=O288,N288,N288/O288*P288)</f>
        <v>9273600</v>
      </c>
      <c r="R288" s="408"/>
      <c r="S288" s="377">
        <f t="shared" si="55"/>
        <v>0</v>
      </c>
      <c r="T288" s="401"/>
      <c r="U288" s="377">
        <f>T288*$G$19*1</f>
        <v>0</v>
      </c>
      <c r="V288" s="612">
        <f t="shared" ref="V288" si="61">IF(OR(M288="A DN",M288="KXL", M288=""),"0",ROUND(K288*0.01*$G$19+R288*1%*$G$19+T288*1%*$G$19,))</f>
        <v>66240</v>
      </c>
      <c r="W288" s="386">
        <f t="shared" si="60"/>
        <v>9273600</v>
      </c>
      <c r="X288" s="1080">
        <f t="shared" si="58"/>
        <v>5.1520000000000001</v>
      </c>
      <c r="Y288" s="1116">
        <v>1800000</v>
      </c>
      <c r="Z288" s="1117">
        <f t="shared" si="59"/>
        <v>9273600</v>
      </c>
      <c r="AA288" s="593">
        <f t="shared" si="57"/>
        <v>266</v>
      </c>
      <c r="AB288" s="511">
        <f>IFERROR(INDEX('[17]CN BC'!$M$10:$M$276,MATCH(B288,'[17]CN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4">
        <v>1603205359393</v>
      </c>
      <c r="F289" s="634"/>
      <c r="G289" s="634"/>
      <c r="H289" s="383" t="s">
        <v>2031</v>
      </c>
      <c r="I289" s="635">
        <v>6914491</v>
      </c>
      <c r="J289" s="1058" t="str">
        <f>VLOOKUP(B289,TH.T5!B289:F618,5,FALSE)</f>
        <v xml:space="preserve">NV Bảo vệ </v>
      </c>
      <c r="K289" s="484">
        <f t="shared" ref="K289:K353" si="62">IF(H289="D.03",I289*30%,I289*70%)</f>
        <v>2074347.2999999998</v>
      </c>
      <c r="L289" s="636" t="str">
        <f>VLOOKUP(B289,'[24]Gui chi Quynh'!$B$11:$E$400,4,FALSE)</f>
        <v>A4</v>
      </c>
      <c r="M289" s="484">
        <f>ROUND(IF(AND(L289="A1",K289*1.6),K289*1.6,IF(AND(L289="A2",K289*1.4),K289*1.4,IF(AND(L289="A3",K289*1.2),K289*1.2,IF(AND(L289="A4",K289*1),K289*1,IF(AND(L289="B1",K289*0.7),K289*0.7,IF(AND(L289="B2",K289*0.5),K289*0.5,IF(AND(L289="C1",K289*0.3),K289*0.3,0))))))),)</f>
        <v>2074347</v>
      </c>
      <c r="N289" s="636">
        <v>25</v>
      </c>
      <c r="O289" s="637">
        <f>IFERROR(INDEX('[17]CN HĐ'!$J$10:$J$76,MATCH(B289,'[17]CN HĐ'!$H$10:$H$76,0)),"")</f>
        <v>25</v>
      </c>
      <c r="P289" s="638" t="e">
        <f>IF(M289&gt;#REF!,M289,#REF!)</f>
        <v>#REF!</v>
      </c>
      <c r="Q289" s="484">
        <f t="shared" ref="Q289:Q353" si="63">ROUND(IF(O289&gt;=N289,M289,M289/N289*O289),)</f>
        <v>2074347</v>
      </c>
      <c r="R289" s="639"/>
      <c r="S289" s="484">
        <v>0</v>
      </c>
      <c r="T289" s="640"/>
      <c r="U289" s="484">
        <v>0</v>
      </c>
      <c r="V289" s="679">
        <f t="shared" ref="V289:V353" si="64">I289*1%</f>
        <v>69144.91</v>
      </c>
      <c r="W289" s="641">
        <f>(Q289+S289+U289)</f>
        <v>2074347</v>
      </c>
      <c r="X289" s="1080">
        <f t="shared" si="58"/>
        <v>1.152415</v>
      </c>
      <c r="Y289" s="1116">
        <v>1800000</v>
      </c>
      <c r="Z289" s="1117">
        <f t="shared" si="59"/>
        <v>2074347</v>
      </c>
      <c r="AA289" s="593">
        <f t="shared" si="57"/>
        <v>267</v>
      </c>
      <c r="AB289" s="643">
        <f>IFERROR(INDEX('[17]CN HĐ'!$M$10:$M$76,MATCH(B289,'[17]CN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4" t="s">
        <v>2034</v>
      </c>
      <c r="F290" s="634"/>
      <c r="G290" s="634"/>
      <c r="H290" s="383" t="s">
        <v>2031</v>
      </c>
      <c r="I290" s="635">
        <v>5417685</v>
      </c>
      <c r="J290" s="1058" t="str">
        <f>VLOOKUP(B290,TH.T5!B290:F619,5,FALSE)</f>
        <v>NV Bảo vệ</v>
      </c>
      <c r="K290" s="484">
        <f t="shared" si="62"/>
        <v>1625305.5</v>
      </c>
      <c r="L290" s="636" t="str">
        <f>VLOOKUP(B290,'[24]Gui chi Quynh'!$B$11:$E$400,4,FALSE)</f>
        <v>A4</v>
      </c>
      <c r="M290" s="484">
        <f>ROUND(IF(AND(L290="A1",K290*1.6),K290*1.6,IF(AND(L290="A2",K290*1.4),K290*1.4,IF(AND(L290="A3",K290*1.2),K290*1.2,IF(AND(L290="A4",K290*1),K290*1,IF(AND(L290="B1",K290*0.7),K290*0.7,IF(AND(L290="B2",K290*0.5),K290*0.5,IF(AND(L290="C1",K290*0.3),K290*0.3,0))))))),)</f>
        <v>1625306</v>
      </c>
      <c r="N290" s="636">
        <v>25</v>
      </c>
      <c r="O290" s="637">
        <f>IFERROR(INDEX('[17]CN HĐ'!$J$10:$J$76,MATCH(B290,'[17]CN HĐ'!$H$10:$H$76,0)),"")</f>
        <v>25</v>
      </c>
      <c r="P290" s="638" t="e">
        <f>IF(M290&gt;#REF!,M290,#REF!)</f>
        <v>#REF!</v>
      </c>
      <c r="Q290" s="484">
        <f t="shared" si="63"/>
        <v>1625306</v>
      </c>
      <c r="R290" s="639"/>
      <c r="S290" s="484">
        <v>0</v>
      </c>
      <c r="T290" s="640"/>
      <c r="U290" s="484">
        <v>0</v>
      </c>
      <c r="V290" s="679">
        <f t="shared" si="64"/>
        <v>54176.85</v>
      </c>
      <c r="W290" s="641">
        <f t="shared" ref="W290:W353" si="65">(Q290+S290+U290)</f>
        <v>1625306</v>
      </c>
      <c r="X290" s="1080">
        <f t="shared" si="58"/>
        <v>0.90294777777777779</v>
      </c>
      <c r="Y290" s="1116">
        <v>1800000</v>
      </c>
      <c r="Z290" s="1117">
        <f t="shared" si="59"/>
        <v>1625306</v>
      </c>
      <c r="AA290" s="593">
        <f t="shared" si="57"/>
        <v>268</v>
      </c>
      <c r="AB290" s="643">
        <f>IFERROR(INDEX('[17]CN HĐ'!$M$10:$M$76,MATCH(B290,'[17]CN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4" t="s">
        <v>2036</v>
      </c>
      <c r="F291" s="634"/>
      <c r="G291" s="634"/>
      <c r="H291" s="383" t="s">
        <v>2031</v>
      </c>
      <c r="I291" s="635">
        <v>5159700</v>
      </c>
      <c r="J291" s="1058" t="str">
        <f>VLOOKUP(B291,TH.T5!B291:F620,5,FALSE)</f>
        <v>NV Bảo vệ</v>
      </c>
      <c r="K291" s="484">
        <f t="shared" si="62"/>
        <v>1547910</v>
      </c>
      <c r="L291" s="636" t="str">
        <f>VLOOKUP(B291,'[24]Gui chi Quynh'!$B$11:$E$400,4,FALSE)</f>
        <v>A3</v>
      </c>
      <c r="M291" s="484">
        <f>ROUND(IF(AND(L291="A1",K291*1.6),K291*1.6,IF(AND(L291="A2",K291*1.4),K291*1.4,IF(AND(L291="A3",K291*1.2),K291*1.2,IF(AND(L291="A4",K291*1),K291*1,IF(AND(L291="B1",K291*0.7),K291*0.7,IF(AND(L291="B2",K291*0.5),K291*0.5,IF(AND(L291="C1",K291*0.3),K291*0.3,0))))))),)</f>
        <v>1857492</v>
      </c>
      <c r="N291" s="636">
        <v>25</v>
      </c>
      <c r="O291" s="637">
        <f>IFERROR(INDEX('[17]CN HĐ'!$J$10:$J$76,MATCH(B291,'[17]CN HĐ'!$H$10:$H$76,0)),"")</f>
        <v>25</v>
      </c>
      <c r="P291" s="638" t="e">
        <f>IF(M291&gt;#REF!,M291,#REF!)</f>
        <v>#REF!</v>
      </c>
      <c r="Q291" s="484">
        <f t="shared" si="63"/>
        <v>1857492</v>
      </c>
      <c r="R291" s="639"/>
      <c r="S291" s="484">
        <v>0</v>
      </c>
      <c r="T291" s="640"/>
      <c r="U291" s="484">
        <v>0</v>
      </c>
      <c r="V291" s="679">
        <f t="shared" si="64"/>
        <v>51597</v>
      </c>
      <c r="W291" s="641">
        <f t="shared" si="65"/>
        <v>1857492</v>
      </c>
      <c r="X291" s="1080">
        <f t="shared" si="58"/>
        <v>1.0319400000000001</v>
      </c>
      <c r="Y291" s="1116">
        <v>1800000</v>
      </c>
      <c r="Z291" s="1117">
        <f t="shared" si="59"/>
        <v>1857492.0000000002</v>
      </c>
      <c r="AA291" s="593">
        <f t="shared" si="57"/>
        <v>269</v>
      </c>
      <c r="AB291" s="643">
        <f>IFERROR(INDEX('[17]CN HĐ'!$M$10:$M$76,MATCH(B291,'[17]CN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4">
        <v>1603215005626</v>
      </c>
      <c r="F292" s="644"/>
      <c r="G292" s="644"/>
      <c r="H292" s="383" t="s">
        <v>2038</v>
      </c>
      <c r="I292" s="635">
        <v>5007600</v>
      </c>
      <c r="J292" s="1058" t="str">
        <f>VLOOKUP(B292,TH.T5!B292:F621,5,FALSE)</f>
        <v>NV Bảo vệ</v>
      </c>
      <c r="K292" s="484">
        <f t="shared" si="62"/>
        <v>3505320</v>
      </c>
      <c r="L292" s="636" t="str">
        <f>VLOOKUP(B292,'[24]Gui chi Quynh'!$B$11:$E$400,4,FALSE)</f>
        <v>A4</v>
      </c>
      <c r="M292" s="484">
        <f t="shared" ref="M292:M353" si="66">ROUND(IF(AND(L292="A1",K292*1.6),K292*1.6,IF(AND(L292="A2",K292*1.4),K292*1.4,IF(AND(L292="A3",K292*1.2),K292*1.2,IF(AND(L292="A4",K292*1),K292*1,IF(AND(L292="B1",K292*0.7),K292*0.7,IF(AND(L292="B2",K292*0.5),K292*0.5,IF(AND(L292="C1",K292*0.3),K292*0.3,0))))))),)</f>
        <v>3505320</v>
      </c>
      <c r="N292" s="636">
        <v>25</v>
      </c>
      <c r="O292" s="637">
        <f>IFERROR(INDEX('[17]CN HĐ'!$J$10:$J$76,MATCH(B292,'[17]CN HĐ'!$H$10:$H$76,0)),"")</f>
        <v>25</v>
      </c>
      <c r="P292" s="638" t="e">
        <f>IF(M292&gt;#REF!,M292,#REF!)</f>
        <v>#REF!</v>
      </c>
      <c r="Q292" s="484">
        <f t="shared" si="63"/>
        <v>3505320</v>
      </c>
      <c r="R292" s="639"/>
      <c r="S292" s="484">
        <v>0</v>
      </c>
      <c r="T292" s="640"/>
      <c r="U292" s="484">
        <v>0</v>
      </c>
      <c r="V292" s="679">
        <f t="shared" si="64"/>
        <v>50076</v>
      </c>
      <c r="W292" s="641">
        <f t="shared" si="65"/>
        <v>3505320</v>
      </c>
      <c r="X292" s="1080">
        <f t="shared" si="58"/>
        <v>1.9474</v>
      </c>
      <c r="Y292" s="1116">
        <v>1800000</v>
      </c>
      <c r="Z292" s="1117">
        <f t="shared" si="59"/>
        <v>3505320</v>
      </c>
      <c r="AA292" s="593">
        <f t="shared" si="57"/>
        <v>270</v>
      </c>
      <c r="AB292" s="643">
        <f>IFERROR(INDEX('[17]CN HĐ'!$M$10:$M$76,MATCH(B292,'[17]CN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4">
        <v>1603205287913</v>
      </c>
      <c r="F293" s="634"/>
      <c r="G293" s="634"/>
      <c r="H293" s="383" t="s">
        <v>2031</v>
      </c>
      <c r="I293" s="635">
        <v>7206216</v>
      </c>
      <c r="J293" s="1058" t="str">
        <f>VLOOKUP(B293,TH.T5!B293:F622,5,FALSE)</f>
        <v xml:space="preserve">NV Bảo vệ </v>
      </c>
      <c r="K293" s="484">
        <f t="shared" si="62"/>
        <v>2161864.7999999998</v>
      </c>
      <c r="L293" s="636" t="str">
        <f>VLOOKUP(B293,'[24]Gui chi Quynh'!$B$11:$E$400,4,FALSE)</f>
        <v>A4</v>
      </c>
      <c r="M293" s="484">
        <f t="shared" si="66"/>
        <v>2161865</v>
      </c>
      <c r="N293" s="636">
        <v>25</v>
      </c>
      <c r="O293" s="637">
        <f>IFERROR(INDEX('[17]CN HĐ'!$J$10:$J$76,MATCH(B293,'[17]CN HĐ'!$H$10:$H$76,0)),"")</f>
        <v>25</v>
      </c>
      <c r="P293" s="638" t="e">
        <f>IF(M293&gt;#REF!,M293,#REF!)</f>
        <v>#REF!</v>
      </c>
      <c r="Q293" s="484">
        <f t="shared" si="63"/>
        <v>2161865</v>
      </c>
      <c r="R293" s="639"/>
      <c r="S293" s="484">
        <v>0</v>
      </c>
      <c r="T293" s="640"/>
      <c r="U293" s="484">
        <v>0</v>
      </c>
      <c r="V293" s="679">
        <f t="shared" si="64"/>
        <v>72062.16</v>
      </c>
      <c r="W293" s="641">
        <f t="shared" si="65"/>
        <v>2161865</v>
      </c>
      <c r="X293" s="1080">
        <f t="shared" si="58"/>
        <v>1.2010361111111112</v>
      </c>
      <c r="Y293" s="1116">
        <v>1800000</v>
      </c>
      <c r="Z293" s="1117">
        <f t="shared" si="59"/>
        <v>2161865</v>
      </c>
      <c r="AA293" s="593">
        <f t="shared" si="57"/>
        <v>271</v>
      </c>
      <c r="AB293" s="643">
        <f>IFERROR(INDEX('[17]CN HĐ'!$M$10:$M$76,MATCH(B293,'[17]CN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4">
        <v>1603205447217</v>
      </c>
      <c r="F294" s="644"/>
      <c r="G294" s="644"/>
      <c r="H294" s="86" t="s">
        <v>2042</v>
      </c>
      <c r="I294" s="635">
        <v>6134525</v>
      </c>
      <c r="J294" s="1058" t="str">
        <f>VLOOKUP(B294,TH.T5!B294:F623,5,FALSE)</f>
        <v>Nhân viên bảo vệ</v>
      </c>
      <c r="K294" s="484">
        <f t="shared" si="62"/>
        <v>4294167.5</v>
      </c>
      <c r="L294" s="636" t="str">
        <f>VLOOKUP(B294,'[24]Gui chi Quynh'!$B$11:$E$400,4,FALSE)</f>
        <v>A3</v>
      </c>
      <c r="M294" s="484">
        <f t="shared" si="66"/>
        <v>5153001</v>
      </c>
      <c r="N294" s="636">
        <v>25</v>
      </c>
      <c r="O294" s="637">
        <f>IFERROR(INDEX('[17]CN HĐ'!$J$10:$J$76,MATCH(B294,'[17]CN HĐ'!$H$10:$H$76,0)),"")</f>
        <v>25</v>
      </c>
      <c r="P294" s="638" t="e">
        <f>IF(M294&gt;#REF!,M294,#REF!)</f>
        <v>#REF!</v>
      </c>
      <c r="Q294" s="484">
        <f t="shared" si="63"/>
        <v>5153001</v>
      </c>
      <c r="R294" s="639"/>
      <c r="S294" s="484">
        <v>0</v>
      </c>
      <c r="T294" s="640"/>
      <c r="U294" s="484">
        <v>0</v>
      </c>
      <c r="V294" s="679">
        <f t="shared" si="64"/>
        <v>61345.25</v>
      </c>
      <c r="W294" s="641">
        <f t="shared" si="65"/>
        <v>5153001</v>
      </c>
      <c r="X294" s="1080">
        <f t="shared" si="58"/>
        <v>2.8627783333333334</v>
      </c>
      <c r="Y294" s="1116">
        <v>1800000</v>
      </c>
      <c r="Z294" s="1117">
        <f t="shared" si="59"/>
        <v>5153001</v>
      </c>
      <c r="AA294" s="593">
        <f t="shared" si="57"/>
        <v>272</v>
      </c>
      <c r="AB294" s="643">
        <f>IFERROR(INDEX('[17]CN HĐ'!$M$10:$M$76,MATCH(B294,'[17]CN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6" t="s">
        <v>2045</v>
      </c>
      <c r="F295" s="646"/>
      <c r="G295" s="646"/>
      <c r="H295" s="86" t="s">
        <v>2031</v>
      </c>
      <c r="I295" s="635">
        <v>7623227</v>
      </c>
      <c r="J295" s="1058" t="str">
        <f>VLOOKUP(B295,TH.T5!B295:F624,5,FALSE)</f>
        <v xml:space="preserve">NV Bảo vệ </v>
      </c>
      <c r="K295" s="484">
        <f t="shared" si="62"/>
        <v>2286968.1</v>
      </c>
      <c r="L295" s="636" t="str">
        <f>VLOOKUP(B295,'[24]Gui chi Quynh'!$B$11:$E$400,4,FALSE)</f>
        <v>A4</v>
      </c>
      <c r="M295" s="484">
        <f t="shared" si="66"/>
        <v>2286968</v>
      </c>
      <c r="N295" s="636">
        <v>25</v>
      </c>
      <c r="O295" s="637">
        <f>IFERROR(INDEX('[17]CN HĐ'!$J$10:$J$76,MATCH(B295,'[17]CN HĐ'!$H$10:$H$76,0)),"")</f>
        <v>21</v>
      </c>
      <c r="P295" s="638" t="e">
        <f>IF(M295&gt;#REF!,M295,#REF!)</f>
        <v>#REF!</v>
      </c>
      <c r="Q295" s="484">
        <f t="shared" si="63"/>
        <v>1921053</v>
      </c>
      <c r="R295" s="639"/>
      <c r="S295" s="484">
        <v>0</v>
      </c>
      <c r="T295" s="640"/>
      <c r="U295" s="484">
        <v>0</v>
      </c>
      <c r="V295" s="679">
        <f t="shared" si="64"/>
        <v>76232.27</v>
      </c>
      <c r="W295" s="641">
        <f t="shared" si="65"/>
        <v>1921053</v>
      </c>
      <c r="X295" s="1080">
        <f t="shared" si="58"/>
        <v>1.0672516666666667</v>
      </c>
      <c r="Y295" s="1116">
        <v>1800000</v>
      </c>
      <c r="Z295" s="1117">
        <f t="shared" si="59"/>
        <v>1921053</v>
      </c>
      <c r="AA295" s="593">
        <f t="shared" si="57"/>
        <v>273</v>
      </c>
      <c r="AB295" s="643" t="str">
        <f>IFERROR(INDEX('[17]CN HĐ'!$M$10:$M$76,MATCH(B295,'[17]CN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4" t="s">
        <v>2048</v>
      </c>
      <c r="F296" s="634"/>
      <c r="G296" s="634"/>
      <c r="H296" s="86" t="s">
        <v>2031</v>
      </c>
      <c r="I296" s="635">
        <v>5972998</v>
      </c>
      <c r="J296" s="1058" t="str">
        <f>VLOOKUP(B296,TH.T5!B296:F625,5,FALSE)</f>
        <v>NV Bảo vệ</v>
      </c>
      <c r="K296" s="484">
        <f t="shared" si="62"/>
        <v>1791899.4</v>
      </c>
      <c r="L296" s="636" t="str">
        <f>VLOOKUP(B296,'[24]Gui chi Quynh'!$B$11:$E$400,4,FALSE)</f>
        <v>A4</v>
      </c>
      <c r="M296" s="484">
        <f t="shared" si="66"/>
        <v>1791899</v>
      </c>
      <c r="N296" s="636">
        <v>25</v>
      </c>
      <c r="O296" s="637">
        <f>IFERROR(INDEX('[17]CN HĐ'!$J$10:$J$76,MATCH(B296,'[17]CN HĐ'!$H$10:$H$76,0)),"")</f>
        <v>25</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1116">
        <v>1800000</v>
      </c>
      <c r="Z296" s="1117">
        <f t="shared" si="59"/>
        <v>1791899</v>
      </c>
      <c r="AA296" s="593">
        <f t="shared" si="57"/>
        <v>274</v>
      </c>
      <c r="AB296" s="643">
        <f>IFERROR(INDEX('[17]CN HĐ'!$M$10:$M$76,MATCH(B296,'[17]CN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4" t="s">
        <v>2051</v>
      </c>
      <c r="F297" s="634"/>
      <c r="G297" s="634"/>
      <c r="H297" s="383" t="s">
        <v>2031</v>
      </c>
      <c r="I297" s="635">
        <v>5972998</v>
      </c>
      <c r="J297" s="1058" t="str">
        <f>VLOOKUP(B297,TH.T5!B297:F626,5,FALSE)</f>
        <v>NV Bảo vệ</v>
      </c>
      <c r="K297" s="484">
        <f t="shared" si="62"/>
        <v>1791899.4</v>
      </c>
      <c r="L297" s="636" t="str">
        <f>VLOOKUP(B297,'[24]Gui chi Quynh'!$B$11:$E$400,4,FALSE)</f>
        <v>A2</v>
      </c>
      <c r="M297" s="484">
        <f t="shared" si="66"/>
        <v>2508659</v>
      </c>
      <c r="N297" s="636">
        <v>25</v>
      </c>
      <c r="O297" s="637">
        <f>IFERROR(INDEX('[17]CN HĐ'!$J$10:$J$76,MATCH(B297,'[17]CN HĐ'!$H$10:$H$76,0)),"")</f>
        <v>24</v>
      </c>
      <c r="P297" s="638" t="e">
        <f>IF(M297&gt;#REF!,M297,#REF!)</f>
        <v>#REF!</v>
      </c>
      <c r="Q297" s="484">
        <f t="shared" si="63"/>
        <v>2408313</v>
      </c>
      <c r="R297" s="639"/>
      <c r="S297" s="484">
        <v>0</v>
      </c>
      <c r="T297" s="640"/>
      <c r="U297" s="484">
        <v>0</v>
      </c>
      <c r="V297" s="679">
        <f t="shared" si="64"/>
        <v>59729.98</v>
      </c>
      <c r="W297" s="641">
        <f t="shared" si="65"/>
        <v>2408313</v>
      </c>
      <c r="X297" s="1080">
        <f t="shared" si="58"/>
        <v>1.3379516666666667</v>
      </c>
      <c r="Y297" s="1116">
        <v>1800000</v>
      </c>
      <c r="Z297" s="1117">
        <f t="shared" si="59"/>
        <v>2408313</v>
      </c>
      <c r="AA297" s="593">
        <f t="shared" si="57"/>
        <v>275</v>
      </c>
      <c r="AB297" s="643" t="str">
        <f>IFERROR(INDEX('[17]CN HĐ'!$M$10:$M$76,MATCH(B297,'[17]CN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4"/>
      <c r="F298" s="634"/>
      <c r="G298" s="634"/>
      <c r="H298" s="383" t="s">
        <v>2042</v>
      </c>
      <c r="I298" s="635">
        <v>5733201</v>
      </c>
      <c r="J298" s="1058" t="str">
        <f>VLOOKUP(B298,TH.T5!B298:F627,5,FALSE)</f>
        <v>NV Bảo vệ</v>
      </c>
      <c r="K298" s="484">
        <f t="shared" si="62"/>
        <v>4013240.6999999997</v>
      </c>
      <c r="L298" s="636" t="str">
        <f>VLOOKUP(B298,'[24]Gui chi Quynh'!$B$11:$E$400,4,FALSE)</f>
        <v>A4</v>
      </c>
      <c r="M298" s="484">
        <f t="shared" si="66"/>
        <v>4013241</v>
      </c>
      <c r="N298" s="636">
        <v>25</v>
      </c>
      <c r="O298" s="637">
        <f>IFERROR(INDEX('[17]CN HĐ'!$J$10:$J$76,MATCH(B298,'[17]CN HĐ'!$H$10:$H$76,0)),"")</f>
        <v>25</v>
      </c>
      <c r="P298" s="638" t="e">
        <f>IF(M298&gt;#REF!,M298,#REF!)</f>
        <v>#REF!</v>
      </c>
      <c r="Q298" s="484">
        <f t="shared" si="63"/>
        <v>4013241</v>
      </c>
      <c r="R298" s="639"/>
      <c r="S298" s="484">
        <v>0</v>
      </c>
      <c r="T298" s="640"/>
      <c r="U298" s="484">
        <v>0</v>
      </c>
      <c r="V298" s="484">
        <f t="shared" si="64"/>
        <v>57332.01</v>
      </c>
      <c r="W298" s="641">
        <f t="shared" si="65"/>
        <v>4013241</v>
      </c>
      <c r="X298" s="1080">
        <f t="shared" si="58"/>
        <v>2.2295783333333334</v>
      </c>
      <c r="Y298" s="1116">
        <v>1800000</v>
      </c>
      <c r="Z298" s="1117">
        <f t="shared" si="59"/>
        <v>4013241</v>
      </c>
      <c r="AA298" s="593">
        <f t="shared" si="57"/>
        <v>276</v>
      </c>
      <c r="AB298" s="643">
        <f>IFERROR(INDEX('[17]CN HĐ'!$M$10:$M$76,MATCH(B298,'[17]CN HĐ'!$H$10:$H$76,0)),"")</f>
        <v>0</v>
      </c>
      <c r="AC298" s="114" t="str">
        <f>VLOOKUP(B298,TH.T4!B296:AC626,28,FALSE)</f>
        <v>TCHC</v>
      </c>
      <c r="AD298" s="619"/>
    </row>
    <row r="299" spans="1:52" s="387" customFormat="1" ht="32.25" customHeight="1">
      <c r="A299" s="394">
        <f>_xlfn.AGGREGATE(4,7,A$22:A298)+1</f>
        <v>277</v>
      </c>
      <c r="B299" s="378" t="s">
        <v>2053</v>
      </c>
      <c r="C299" s="390"/>
      <c r="D299" s="451"/>
      <c r="E299" s="634"/>
      <c r="F299" s="634"/>
      <c r="G299" s="634"/>
      <c r="H299" s="383" t="s">
        <v>2031</v>
      </c>
      <c r="I299" s="635">
        <v>4680000</v>
      </c>
      <c r="J299" s="1058" t="str">
        <f>VLOOKUP(B299,TH.T5!B299:F628,5,FALSE)</f>
        <v>NV Bảo vệ</v>
      </c>
      <c r="K299" s="484">
        <f t="shared" si="62"/>
        <v>1404000</v>
      </c>
      <c r="L299" s="636" t="str">
        <f>VLOOKUP(B299,'[24]Gui chi Quynh'!$B$11:$E$400,4,FALSE)</f>
        <v>A3</v>
      </c>
      <c r="M299" s="484">
        <f t="shared" si="66"/>
        <v>1684800</v>
      </c>
      <c r="N299" s="636">
        <v>25</v>
      </c>
      <c r="O299" s="637">
        <f>IFERROR(INDEX('[17]CN HĐ'!$J$10:$J$76,MATCH(B299,'[17]CN HĐ'!$H$10:$H$76,0)),"")</f>
        <v>26</v>
      </c>
      <c r="P299" s="638"/>
      <c r="Q299" s="484">
        <f t="shared" si="63"/>
        <v>1684800</v>
      </c>
      <c r="R299" s="639"/>
      <c r="S299" s="484">
        <v>0</v>
      </c>
      <c r="T299" s="640"/>
      <c r="U299" s="484">
        <v>0</v>
      </c>
      <c r="V299" s="679">
        <f t="shared" si="64"/>
        <v>46800</v>
      </c>
      <c r="W299" s="641">
        <f t="shared" si="65"/>
        <v>1684800</v>
      </c>
      <c r="X299" s="1080">
        <f t="shared" si="58"/>
        <v>0.93600000000000005</v>
      </c>
      <c r="Y299" s="1116">
        <v>1800000</v>
      </c>
      <c r="Z299" s="1117">
        <f t="shared" si="59"/>
        <v>1684800</v>
      </c>
      <c r="AA299" s="593">
        <f t="shared" si="57"/>
        <v>277</v>
      </c>
      <c r="AB299" s="643">
        <f>IFERROR(INDEX('[17]CN HĐ'!$M$10:$M$76,MATCH(B299,'[17]CN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4">
        <v>1603205639357</v>
      </c>
      <c r="F300" s="644"/>
      <c r="G300" s="644"/>
      <c r="H300" s="383" t="s">
        <v>2038</v>
      </c>
      <c r="I300" s="635">
        <v>5257980</v>
      </c>
      <c r="J300" s="1058" t="str">
        <f>VLOOKUP(B300,TH.T5!B300:F629,5,FALSE)</f>
        <v>NV Lái xe</v>
      </c>
      <c r="K300" s="484">
        <f t="shared" si="62"/>
        <v>3680585.9999999995</v>
      </c>
      <c r="L300" s="636" t="str">
        <f>VLOOKUP(B300,'[24]Gui chi Quynh'!$B$11:$E$400,4,FALSE)</f>
        <v>A2</v>
      </c>
      <c r="M300" s="484">
        <f t="shared" si="66"/>
        <v>5152820</v>
      </c>
      <c r="N300" s="636">
        <v>25</v>
      </c>
      <c r="O300" s="637">
        <f>IFERROR(INDEX('[17]CN HĐ'!$J$10:$J$76,MATCH(B300,'[17]CN HĐ'!$H$10:$H$76,0)),"")</f>
        <v>29</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1116">
        <v>1800000</v>
      </c>
      <c r="Z300" s="1117">
        <f t="shared" si="59"/>
        <v>5152820</v>
      </c>
      <c r="AA300" s="593">
        <f t="shared" si="57"/>
        <v>278</v>
      </c>
      <c r="AB300" s="643">
        <f>IFERROR(INDEX('[17]CN HĐ'!$M$10:$M$76,MATCH(B300,'[17]CN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6">
        <v>1603205641829</v>
      </c>
      <c r="F301" s="646"/>
      <c r="G301" s="646"/>
      <c r="H301" s="383" t="s">
        <v>2031</v>
      </c>
      <c r="I301" s="635">
        <v>5159700</v>
      </c>
      <c r="J301" s="1058" t="str">
        <f>VLOOKUP(B301,TH.T5!B301:F630,5,FALSE)</f>
        <v>NV Phuc vụ Phòng TC - HC - TH</v>
      </c>
      <c r="K301" s="484">
        <f t="shared" si="62"/>
        <v>1547910</v>
      </c>
      <c r="L301" s="636" t="str">
        <f>VLOOKUP(B301,'[24]Gui chi Quynh'!$B$11:$E$400,4,FALSE)</f>
        <v>A2</v>
      </c>
      <c r="M301" s="484">
        <f t="shared" si="66"/>
        <v>2167074</v>
      </c>
      <c r="N301" s="636">
        <v>25</v>
      </c>
      <c r="O301" s="637">
        <f>IFERROR(INDEX('[17]CN HĐ'!$J$10:$J$76,MATCH(B301,'[17]CN HĐ'!$H$10:$H$76,0)),"")</f>
        <v>24</v>
      </c>
      <c r="P301" s="638" t="e">
        <f>IF(M301&gt;#REF!,M301,#REF!)</f>
        <v>#REF!</v>
      </c>
      <c r="Q301" s="484">
        <f t="shared" si="63"/>
        <v>2080391</v>
      </c>
      <c r="R301" s="639"/>
      <c r="S301" s="484">
        <v>0</v>
      </c>
      <c r="T301" s="640"/>
      <c r="U301" s="484">
        <v>0</v>
      </c>
      <c r="V301" s="679">
        <f t="shared" si="64"/>
        <v>51597</v>
      </c>
      <c r="W301" s="641">
        <f t="shared" si="65"/>
        <v>2080391</v>
      </c>
      <c r="X301" s="1080">
        <f t="shared" si="58"/>
        <v>1.1557727777777778</v>
      </c>
      <c r="Y301" s="1116">
        <v>1800000</v>
      </c>
      <c r="Z301" s="1117">
        <f t="shared" si="59"/>
        <v>2080391</v>
      </c>
      <c r="AA301" s="593">
        <f t="shared" si="57"/>
        <v>279</v>
      </c>
      <c r="AB301" s="643" t="str">
        <f>IFERROR(INDEX('[17]CN HĐ'!$M$10:$M$76,MATCH(B301,'[17]CN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6"/>
      <c r="F302" s="646"/>
      <c r="G302" s="646"/>
      <c r="H302" s="383" t="s">
        <v>2042</v>
      </c>
      <c r="I302" s="635">
        <v>5733201</v>
      </c>
      <c r="J302" s="1058" t="str">
        <f>VLOOKUP(B302,TH.T5!B302:F631,5,FALSE)</f>
        <v>Nhân viên phòng Thanh tra GD - Công tác SV</v>
      </c>
      <c r="K302" s="484">
        <f t="shared" si="62"/>
        <v>4013240.6999999997</v>
      </c>
      <c r="L302" s="636" t="str">
        <f>VLOOKUP(B302,'[24]Gui chi Quynh'!$B$11:$E$400,4,FALSE)</f>
        <v>A4</v>
      </c>
      <c r="M302" s="484">
        <f t="shared" si="66"/>
        <v>4013241</v>
      </c>
      <c r="N302" s="636">
        <v>25</v>
      </c>
      <c r="O302" s="637">
        <f>IFERROR(INDEX('[17]CN HĐ'!$J$10:$J$76,MATCH(B302,'[17]CN HĐ'!$H$10:$H$76,0)),"")</f>
        <v>25</v>
      </c>
      <c r="P302" s="638"/>
      <c r="Q302" s="484">
        <f t="shared" si="63"/>
        <v>4013241</v>
      </c>
      <c r="R302" s="639"/>
      <c r="S302" s="484">
        <v>0</v>
      </c>
      <c r="T302" s="640"/>
      <c r="U302" s="484">
        <v>0</v>
      </c>
      <c r="V302" s="484">
        <f t="shared" si="64"/>
        <v>57332.01</v>
      </c>
      <c r="W302" s="641">
        <f t="shared" si="65"/>
        <v>4013241</v>
      </c>
      <c r="X302" s="1080">
        <f t="shared" si="58"/>
        <v>2.2295783333333334</v>
      </c>
      <c r="Y302" s="1116">
        <v>1800000</v>
      </c>
      <c r="Z302" s="1117">
        <f t="shared" si="59"/>
        <v>4013241</v>
      </c>
      <c r="AA302" s="593">
        <f t="shared" si="57"/>
        <v>280</v>
      </c>
      <c r="AB302" s="643">
        <f>IFERROR(INDEX('[17]CN HĐ'!$M$10:$M$76,MATCH(B302,'[17]CN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6" t="s">
        <v>1256</v>
      </c>
      <c r="F303" s="646"/>
      <c r="G303" s="646"/>
      <c r="H303" s="383" t="s">
        <v>2038</v>
      </c>
      <c r="I303" s="635">
        <v>8992930</v>
      </c>
      <c r="J303" s="1058" t="str">
        <f>VLOOKUP(B303,TH.T5!B303:F632,5,FALSE)</f>
        <v>NV Phòng Tổ chức - Hành chính - Tổng hợp</v>
      </c>
      <c r="K303" s="484">
        <f t="shared" si="62"/>
        <v>6295051</v>
      </c>
      <c r="L303" s="636" t="str">
        <f>VLOOKUP(B303,'[24]Gui chi Quynh'!$B$11:$E$400,4,FALSE)</f>
        <v>A3</v>
      </c>
      <c r="M303" s="484">
        <f t="shared" si="66"/>
        <v>7554061</v>
      </c>
      <c r="N303" s="636">
        <v>25</v>
      </c>
      <c r="O303" s="637">
        <f>IFERROR(INDEX('[17]CN HĐ'!$J$10:$J$76,MATCH(B303,'[17]CN HĐ'!$H$10:$H$76,0)),"")</f>
        <v>26</v>
      </c>
      <c r="P303" s="638"/>
      <c r="Q303" s="484">
        <f t="shared" si="63"/>
        <v>7554061</v>
      </c>
      <c r="R303" s="639"/>
      <c r="S303" s="484">
        <v>0</v>
      </c>
      <c r="T303" s="640"/>
      <c r="U303" s="484">
        <v>0</v>
      </c>
      <c r="V303" s="679">
        <f t="shared" si="64"/>
        <v>89929.3</v>
      </c>
      <c r="W303" s="641">
        <f t="shared" si="65"/>
        <v>7554061</v>
      </c>
      <c r="X303" s="1080">
        <f t="shared" si="58"/>
        <v>4.1967005555555552</v>
      </c>
      <c r="Y303" s="1116">
        <v>1800000</v>
      </c>
      <c r="Z303" s="1117">
        <f t="shared" si="59"/>
        <v>7554060.9999999991</v>
      </c>
      <c r="AA303" s="593">
        <f t="shared" si="57"/>
        <v>281</v>
      </c>
      <c r="AB303" s="643">
        <f>IFERROR(INDEX('[17]CN HĐ'!$M$10:$M$76,MATCH(B303,'[17]CN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6"/>
      <c r="F304" s="646"/>
      <c r="G304" s="646"/>
      <c r="H304" s="383" t="s">
        <v>2031</v>
      </c>
      <c r="I304" s="635">
        <v>4680000</v>
      </c>
      <c r="J304" s="1058" t="str">
        <f>VLOOKUP(B304,TH.T5!B304:F633,5,FALSE)</f>
        <v>Nhân viên bảo vệ</v>
      </c>
      <c r="K304" s="484">
        <f t="shared" si="62"/>
        <v>1404000</v>
      </c>
      <c r="L304" s="636" t="str">
        <f>VLOOKUP(B304,'[24]Gui chi Quynh'!$B$11:$E$400,4,FALSE)</f>
        <v>A2</v>
      </c>
      <c r="M304" s="484">
        <f t="shared" si="66"/>
        <v>1965600</v>
      </c>
      <c r="N304" s="636">
        <v>25</v>
      </c>
      <c r="O304" s="637">
        <f>IFERROR(INDEX('[17]CN HĐ'!$J$10:$J$76,MATCH(B304,'[17]CN HĐ'!$H$10:$H$76,0)),"")</f>
        <v>25</v>
      </c>
      <c r="P304" s="638"/>
      <c r="Q304" s="484">
        <f t="shared" si="63"/>
        <v>1965600</v>
      </c>
      <c r="R304" s="639"/>
      <c r="S304" s="484">
        <v>0</v>
      </c>
      <c r="T304" s="640"/>
      <c r="U304" s="484">
        <v>0</v>
      </c>
      <c r="V304" s="679">
        <f t="shared" si="64"/>
        <v>46800</v>
      </c>
      <c r="W304" s="641">
        <f t="shared" si="65"/>
        <v>1965600</v>
      </c>
      <c r="X304" s="1080">
        <f t="shared" si="58"/>
        <v>1.0920000000000001</v>
      </c>
      <c r="Y304" s="1116">
        <v>1800000</v>
      </c>
      <c r="Z304" s="1117">
        <f t="shared" si="59"/>
        <v>1965600.0000000002</v>
      </c>
      <c r="AA304" s="593">
        <f t="shared" si="57"/>
        <v>282</v>
      </c>
      <c r="AB304" s="643">
        <f>IFERROR(INDEX('[17]CN HĐ'!$M$10:$M$76,MATCH(B304,'[17]CN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6" t="s">
        <v>1275</v>
      </c>
      <c r="F305" s="646"/>
      <c r="G305" s="646"/>
      <c r="H305" s="86" t="s">
        <v>2042</v>
      </c>
      <c r="I305" s="635">
        <v>8041111</v>
      </c>
      <c r="J305" s="1058" t="str">
        <f>VLOOKUP(B305,TH.T5!B305:F634,5,FALSE)</f>
        <v>NV Phòng Tổ chức - Hành chính - Tổng hợp</v>
      </c>
      <c r="K305" s="484">
        <f t="shared" si="62"/>
        <v>5628777.6999999993</v>
      </c>
      <c r="L305" s="636" t="str">
        <f>VLOOKUP(B305,'[24]Gui chi Quynh'!$B$11:$E$400,4,FALSE)</f>
        <v>A4</v>
      </c>
      <c r="M305" s="484">
        <f t="shared" si="66"/>
        <v>5628778</v>
      </c>
      <c r="N305" s="636">
        <v>25</v>
      </c>
      <c r="O305" s="637">
        <f>IFERROR(INDEX('[17]CN HĐ'!$J$10:$J$76,MATCH(B305,'[17]CN HĐ'!$H$10:$H$76,0)),"")</f>
        <v>25</v>
      </c>
      <c r="P305" s="638"/>
      <c r="Q305" s="484">
        <f t="shared" si="63"/>
        <v>5628778</v>
      </c>
      <c r="R305" s="639"/>
      <c r="S305" s="484">
        <v>0</v>
      </c>
      <c r="T305" s="640"/>
      <c r="U305" s="484">
        <v>0</v>
      </c>
      <c r="V305" s="679">
        <f t="shared" si="64"/>
        <v>80411.11</v>
      </c>
      <c r="W305" s="641">
        <f t="shared" si="65"/>
        <v>5628778</v>
      </c>
      <c r="X305" s="1080">
        <f t="shared" si="58"/>
        <v>3.1270988888888889</v>
      </c>
      <c r="Y305" s="1116">
        <v>1800000</v>
      </c>
      <c r="Z305" s="1117">
        <f t="shared" si="59"/>
        <v>5628778</v>
      </c>
      <c r="AA305" s="593">
        <f t="shared" si="57"/>
        <v>283</v>
      </c>
      <c r="AB305" s="643">
        <f>IFERROR(INDEX('[17]CN HĐ'!$M$10:$M$76,MATCH(B305,'[17]CN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6" t="s">
        <v>2064</v>
      </c>
      <c r="F306" s="646"/>
      <c r="G306" s="646"/>
      <c r="H306" s="383" t="s">
        <v>2042</v>
      </c>
      <c r="I306" s="635">
        <v>7023418</v>
      </c>
      <c r="J306" s="1058" t="str">
        <f>VLOOKUP(B306,TH.T5!B306:F635,5,FALSE)</f>
        <v>NV P. QT 
Dịch vụ</v>
      </c>
      <c r="K306" s="484">
        <f t="shared" si="62"/>
        <v>4916392.5999999996</v>
      </c>
      <c r="L306" s="636" t="str">
        <f>VLOOKUP(B306,'[24]Gui chi Quynh'!$B$11:$E$400,4,FALSE)</f>
        <v>A2</v>
      </c>
      <c r="M306" s="484">
        <f t="shared" si="66"/>
        <v>6882950</v>
      </c>
      <c r="N306" s="636">
        <v>25</v>
      </c>
      <c r="O306" s="637">
        <f>IFERROR(INDEX('[17]CN HĐ'!$J$10:$J$76,MATCH(B306,'[17]CN HĐ'!$H$10:$H$76,0)),"")</f>
        <v>25</v>
      </c>
      <c r="P306" s="638" t="e">
        <f>IF(M306&gt;#REF!,M306,#REF!)</f>
        <v>#REF!</v>
      </c>
      <c r="Q306" s="484">
        <f t="shared" si="63"/>
        <v>6882950</v>
      </c>
      <c r="R306" s="639"/>
      <c r="S306" s="484">
        <v>0</v>
      </c>
      <c r="T306" s="640"/>
      <c r="U306" s="484">
        <v>0</v>
      </c>
      <c r="V306" s="679">
        <f t="shared" si="64"/>
        <v>70234.180000000008</v>
      </c>
      <c r="W306" s="641">
        <f t="shared" si="65"/>
        <v>6882950</v>
      </c>
      <c r="X306" s="1080">
        <f t="shared" si="58"/>
        <v>3.8238611111111109</v>
      </c>
      <c r="Y306" s="1116">
        <v>1800000</v>
      </c>
      <c r="Z306" s="1117">
        <f t="shared" si="59"/>
        <v>6882950</v>
      </c>
      <c r="AA306" s="593">
        <f t="shared" si="57"/>
        <v>284</v>
      </c>
      <c r="AB306" s="643">
        <f>IFERROR(INDEX('[17]CN HĐ'!$M$10:$M$76,MATCH(B306,'[17]CN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6">
        <v>1603205186060</v>
      </c>
      <c r="F307" s="646"/>
      <c r="G307" s="646"/>
      <c r="H307" s="383" t="s">
        <v>2038</v>
      </c>
      <c r="I307" s="635">
        <v>6391108</v>
      </c>
      <c r="J307" s="1058" t="str">
        <f>VLOOKUP(B307,TH.T5!B307:F636,5,FALSE)</f>
        <v>NV Phòng Quản trị - Dịch vụ</v>
      </c>
      <c r="K307" s="484">
        <f t="shared" si="62"/>
        <v>4473775.5999999996</v>
      </c>
      <c r="L307" s="636" t="str">
        <f>VLOOKUP(B307,'[24]Gui chi Quynh'!$B$11:$E$400,4,FALSE)</f>
        <v>A2</v>
      </c>
      <c r="M307" s="484">
        <f t="shared" si="66"/>
        <v>6263286</v>
      </c>
      <c r="N307" s="636">
        <v>25</v>
      </c>
      <c r="O307" s="637">
        <f>IFERROR(INDEX('[17]CN HĐ'!$J$10:$J$76,MATCH(B307,'[17]CN HĐ'!$H$10:$H$76,0)),"")</f>
        <v>25</v>
      </c>
      <c r="P307" s="638" t="e">
        <f>IF(M307&gt;#REF!,M307,#REF!)</f>
        <v>#REF!</v>
      </c>
      <c r="Q307" s="484">
        <f t="shared" si="63"/>
        <v>6263286</v>
      </c>
      <c r="R307" s="639"/>
      <c r="S307" s="484">
        <v>0</v>
      </c>
      <c r="T307" s="640"/>
      <c r="U307" s="484">
        <v>0</v>
      </c>
      <c r="V307" s="679">
        <f t="shared" si="64"/>
        <v>63911.08</v>
      </c>
      <c r="W307" s="641">
        <f t="shared" si="65"/>
        <v>6263286</v>
      </c>
      <c r="X307" s="1080">
        <f t="shared" si="58"/>
        <v>3.4796033333333334</v>
      </c>
      <c r="Y307" s="1116">
        <v>1800000</v>
      </c>
      <c r="Z307" s="1117">
        <f t="shared" si="59"/>
        <v>6263286</v>
      </c>
      <c r="AA307" s="593">
        <f t="shared" si="57"/>
        <v>285</v>
      </c>
      <c r="AB307" s="643">
        <f>IFERROR(INDEX('[17]CN HĐ'!$M$10:$M$76,MATCH(B307,'[17]CN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6">
        <v>1603205327532</v>
      </c>
      <c r="F308" s="646"/>
      <c r="G308" s="646"/>
      <c r="H308" s="383" t="s">
        <v>2042</v>
      </c>
      <c r="I308" s="635">
        <v>8041111</v>
      </c>
      <c r="J308" s="1058" t="str">
        <f>VLOOKUP(B308,TH.T5!B308:F637,5,FALSE)</f>
        <v>NV bảo trì</v>
      </c>
      <c r="K308" s="484">
        <f t="shared" si="62"/>
        <v>5628777.6999999993</v>
      </c>
      <c r="L308" s="636" t="str">
        <f>VLOOKUP(B308,'[24]Gui chi Quynh'!$B$11:$E$400,4,FALSE)</f>
        <v>A2</v>
      </c>
      <c r="M308" s="484">
        <f t="shared" si="66"/>
        <v>7880289</v>
      </c>
      <c r="N308" s="636">
        <v>25</v>
      </c>
      <c r="O308" s="637">
        <f>IFERROR(INDEX('[17]CN HĐ'!$J$10:$J$76,MATCH(B308,'[17]CN HĐ'!$H$10:$H$76,0)),"")</f>
        <v>25</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1116">
        <v>1800000</v>
      </c>
      <c r="Z308" s="1117">
        <f t="shared" si="59"/>
        <v>7880289.0000000009</v>
      </c>
      <c r="AA308" s="593">
        <f t="shared" si="57"/>
        <v>286</v>
      </c>
      <c r="AB308" s="643">
        <f>IFERROR(INDEX('[17]CN HĐ'!$M$10:$M$76,MATCH(B308,'[17]CN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4" t="s">
        <v>2072</v>
      </c>
      <c r="F309" s="634"/>
      <c r="G309" s="634"/>
      <c r="H309" s="383" t="s">
        <v>2038</v>
      </c>
      <c r="I309" s="635">
        <v>5520879</v>
      </c>
      <c r="J309" s="1058" t="str">
        <f>VLOOKUP(B309,TH.T5!B309:F638,5,FALSE)</f>
        <v>NV P. QT 
Dịch vụ</v>
      </c>
      <c r="K309" s="484">
        <f t="shared" si="62"/>
        <v>3864615.3</v>
      </c>
      <c r="L309" s="636" t="str">
        <f>VLOOKUP(B309,'[24]Gui chi Quynh'!$B$11:$E$400,4,FALSE)</f>
        <v>A2</v>
      </c>
      <c r="M309" s="484">
        <f t="shared" si="66"/>
        <v>5410461</v>
      </c>
      <c r="N309" s="636">
        <v>25</v>
      </c>
      <c r="O309" s="637">
        <v>25</v>
      </c>
      <c r="P309" s="638" t="e">
        <f>IF(M309&gt;#REF!,M309,#REF!)</f>
        <v>#REF!</v>
      </c>
      <c r="Q309" s="484">
        <f t="shared" si="63"/>
        <v>5410461</v>
      </c>
      <c r="R309" s="639"/>
      <c r="S309" s="484">
        <v>0</v>
      </c>
      <c r="T309" s="640"/>
      <c r="U309" s="484">
        <v>0</v>
      </c>
      <c r="V309" s="679">
        <f t="shared" si="64"/>
        <v>55208.79</v>
      </c>
      <c r="W309" s="641">
        <f t="shared" si="65"/>
        <v>5410461</v>
      </c>
      <c r="X309" s="1080">
        <f t="shared" si="58"/>
        <v>3.0058116666666668</v>
      </c>
      <c r="Y309" s="1116">
        <v>1800000</v>
      </c>
      <c r="Z309" s="1117">
        <f t="shared" si="59"/>
        <v>5410461</v>
      </c>
      <c r="AA309" s="593">
        <f t="shared" si="57"/>
        <v>287</v>
      </c>
      <c r="AB309" s="643"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1" t="s">
        <v>1266</v>
      </c>
      <c r="F310" s="651"/>
      <c r="G310" s="651"/>
      <c r="H310" s="383" t="s">
        <v>2038</v>
      </c>
      <c r="I310" s="635">
        <v>6086769</v>
      </c>
      <c r="J310" s="1058" t="str">
        <f>VLOOKUP(B310,TH.T5!B310:F639,5,FALSE)</f>
        <v>NV P. QT 
Dịch vụ</v>
      </c>
      <c r="K310" s="484">
        <f t="shared" si="62"/>
        <v>4260738.3</v>
      </c>
      <c r="L310" s="636" t="str">
        <f>VLOOKUP(B310,'[24]Gui chi Quynh'!$B$11:$E$400,4,FALSE)</f>
        <v>A3</v>
      </c>
      <c r="M310" s="484">
        <f t="shared" si="66"/>
        <v>5112886</v>
      </c>
      <c r="N310" s="636">
        <v>25</v>
      </c>
      <c r="O310" s="637">
        <f>IFERROR(INDEX('[17]CN HĐ'!$J$10:$J$76,MATCH(B310,'[17]CN HĐ'!$H$10:$H$76,0)),"")</f>
        <v>25</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1116">
        <v>1800000</v>
      </c>
      <c r="Z310" s="1117">
        <f t="shared" si="59"/>
        <v>5112886</v>
      </c>
      <c r="AA310" s="593">
        <f t="shared" si="57"/>
        <v>288</v>
      </c>
      <c r="AB310" s="643">
        <f>IFERROR(INDEX('[17]CN HĐ'!$M$10:$M$76,MATCH(B310,'[17]CN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6">
        <v>1603205185856</v>
      </c>
      <c r="F311" s="646"/>
      <c r="G311" s="646"/>
      <c r="H311" s="383" t="s">
        <v>2031</v>
      </c>
      <c r="I311" s="635">
        <v>8004388</v>
      </c>
      <c r="J311" s="1058" t="str">
        <f>VLOOKUP(B311,TH.T5!B311:F640,5,FALSE)</f>
        <v>NV Phục vụ</v>
      </c>
      <c r="K311" s="484">
        <f t="shared" si="62"/>
        <v>2401316.4</v>
      </c>
      <c r="L311" s="636" t="str">
        <f>VLOOKUP(B311,'[24]Gui chi Quynh'!$B$11:$E$400,4,FALSE)</f>
        <v>A4</v>
      </c>
      <c r="M311" s="484">
        <f t="shared" si="66"/>
        <v>2401316</v>
      </c>
      <c r="N311" s="636">
        <v>25</v>
      </c>
      <c r="O311" s="637">
        <f>IFERROR(INDEX('[17]CN HĐ'!$J$10:$J$76,MATCH(B311,'[17]CN HĐ'!$H$10:$H$76,0)),"")</f>
        <v>25</v>
      </c>
      <c r="P311" s="638" t="e">
        <f>IF(M311&gt;#REF!,M311,#REF!)</f>
        <v>#REF!</v>
      </c>
      <c r="Q311" s="484">
        <f t="shared" si="63"/>
        <v>2401316</v>
      </c>
      <c r="R311" s="639"/>
      <c r="S311" s="484">
        <v>0</v>
      </c>
      <c r="T311" s="640"/>
      <c r="U311" s="484">
        <v>0</v>
      </c>
      <c r="V311" s="679">
        <f t="shared" si="64"/>
        <v>80043.88</v>
      </c>
      <c r="W311" s="641">
        <f t="shared" si="65"/>
        <v>2401316</v>
      </c>
      <c r="X311" s="1080">
        <f t="shared" si="58"/>
        <v>1.3340644444444445</v>
      </c>
      <c r="Y311" s="1116">
        <v>1800000</v>
      </c>
      <c r="Z311" s="1117">
        <f t="shared" si="59"/>
        <v>2401316</v>
      </c>
      <c r="AA311" s="593">
        <f t="shared" si="57"/>
        <v>289</v>
      </c>
      <c r="AB311" s="643">
        <f>IFERROR(INDEX('[17]CN HĐ'!$M$10:$M$76,MATCH(B311,'[17]CN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4" t="s">
        <v>2079</v>
      </c>
      <c r="F312" s="634"/>
      <c r="G312" s="634"/>
      <c r="H312" s="383" t="s">
        <v>2031</v>
      </c>
      <c r="I312" s="635">
        <v>5159700</v>
      </c>
      <c r="J312" s="1058" t="str">
        <f>VLOOKUP(B312,TH.T5!B312:F641,5,FALSE)</f>
        <v>NV Phục vụ</v>
      </c>
      <c r="K312" s="484">
        <f t="shared" si="62"/>
        <v>1547910</v>
      </c>
      <c r="L312" s="636" t="str">
        <f>VLOOKUP(B312,'[24]Gui chi Quynh'!$B$11:$E$400,4,FALSE)</f>
        <v>A4</v>
      </c>
      <c r="M312" s="484">
        <f t="shared" si="66"/>
        <v>1547910</v>
      </c>
      <c r="N312" s="636">
        <v>25</v>
      </c>
      <c r="O312" s="637">
        <f>IFERROR(INDEX('[17]CN HĐ'!$J$10:$J$76,MATCH(B312,'[17]CN HĐ'!$H$10:$H$76,0)),"")</f>
        <v>25</v>
      </c>
      <c r="P312" s="638" t="e">
        <f>IF(M312&gt;#REF!,M312,#REF!)</f>
        <v>#REF!</v>
      </c>
      <c r="Q312" s="484">
        <f t="shared" si="63"/>
        <v>1547910</v>
      </c>
      <c r="R312" s="639"/>
      <c r="S312" s="484">
        <v>0</v>
      </c>
      <c r="T312" s="640"/>
      <c r="U312" s="484">
        <v>0</v>
      </c>
      <c r="V312" s="484">
        <f t="shared" si="64"/>
        <v>51597</v>
      </c>
      <c r="W312" s="641">
        <f t="shared" si="65"/>
        <v>1547910</v>
      </c>
      <c r="X312" s="1080">
        <f t="shared" si="58"/>
        <v>0.85994999999999999</v>
      </c>
      <c r="Y312" s="1116">
        <v>1800000</v>
      </c>
      <c r="Z312" s="1117">
        <f t="shared" si="59"/>
        <v>1547910</v>
      </c>
      <c r="AA312" s="593">
        <f t="shared" si="57"/>
        <v>290</v>
      </c>
      <c r="AB312" s="643">
        <f>IFERROR(INDEX('[17]CN HĐ'!$M$10:$M$76,MATCH(B312,'[17]CN HĐ'!$H$10:$H$76,0)),"")</f>
        <v>0</v>
      </c>
      <c r="AC312" s="114" t="str">
        <f>VLOOKUP(B312,TH.T4!B310:AC640,28,FALSE)</f>
        <v>QTDV</v>
      </c>
      <c r="AD312" s="505"/>
    </row>
    <row r="313" spans="1:52" s="387" customFormat="1" ht="28.5" customHeight="1">
      <c r="A313" s="394">
        <f>_xlfn.AGGREGATE(4,7,A$22:A312)+1</f>
        <v>291</v>
      </c>
      <c r="B313" s="378" t="s">
        <v>2080</v>
      </c>
      <c r="C313" s="390"/>
      <c r="D313" s="451"/>
      <c r="E313" s="653" t="s">
        <v>2081</v>
      </c>
      <c r="F313" s="653"/>
      <c r="G313" s="653"/>
      <c r="H313" s="383" t="s">
        <v>2031</v>
      </c>
      <c r="I313" s="635">
        <v>5159700</v>
      </c>
      <c r="J313" s="1058" t="str">
        <f>VLOOKUP(B313,TH.T5!B313:F642,5,FALSE)</f>
        <v>NV Phục vụ</v>
      </c>
      <c r="K313" s="484">
        <f t="shared" si="62"/>
        <v>1547910</v>
      </c>
      <c r="L313" s="636" t="str">
        <f>VLOOKUP(B313,'[24]Gui chi Quynh'!$B$11:$E$400,4,FALSE)</f>
        <v>A4</v>
      </c>
      <c r="M313" s="484">
        <f t="shared" si="66"/>
        <v>1547910</v>
      </c>
      <c r="N313" s="636">
        <v>25</v>
      </c>
      <c r="O313" s="637">
        <f>IFERROR(INDEX('[17]CN HĐ'!$J$10:$J$76,MATCH(B313,'[17]CN HĐ'!$H$10:$H$76,0)),"")</f>
        <v>25</v>
      </c>
      <c r="P313" s="638" t="e">
        <f>IF(M313&gt;#REF!,M313,#REF!)</f>
        <v>#REF!</v>
      </c>
      <c r="Q313" s="484">
        <f t="shared" si="63"/>
        <v>1547910</v>
      </c>
      <c r="R313" s="639"/>
      <c r="S313" s="484">
        <v>0</v>
      </c>
      <c r="T313" s="640"/>
      <c r="U313" s="484">
        <v>0</v>
      </c>
      <c r="V313" s="679">
        <f t="shared" si="64"/>
        <v>51597</v>
      </c>
      <c r="W313" s="641">
        <f t="shared" si="65"/>
        <v>1547910</v>
      </c>
      <c r="X313" s="1080">
        <f t="shared" si="58"/>
        <v>0.85994999999999999</v>
      </c>
      <c r="Y313" s="1116">
        <v>1800000</v>
      </c>
      <c r="Z313" s="1117">
        <f t="shared" si="59"/>
        <v>1547910</v>
      </c>
      <c r="AA313" s="593">
        <f t="shared" si="57"/>
        <v>291</v>
      </c>
      <c r="AB313" s="643">
        <f>IFERROR(INDEX('[17]CN HĐ'!$M$10:$M$76,MATCH(B313,'[17]CN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4" t="s">
        <v>2083</v>
      </c>
      <c r="F314" s="654"/>
      <c r="G314" s="654"/>
      <c r="H314" s="383" t="s">
        <v>2031</v>
      </c>
      <c r="I314" s="635">
        <v>4914000</v>
      </c>
      <c r="J314" s="1058" t="str">
        <f>VLOOKUP(B314,TH.T5!B314:F643,5,FALSE)</f>
        <v>NV Phục vụ</v>
      </c>
      <c r="K314" s="484">
        <f t="shared" si="62"/>
        <v>1474200</v>
      </c>
      <c r="L314" s="636" t="str">
        <f>VLOOKUP(B314,'[24]Gui chi Quynh'!$B$11:$E$400,4,FALSE)</f>
        <v>A4</v>
      </c>
      <c r="M314" s="484">
        <f t="shared" si="66"/>
        <v>1474200</v>
      </c>
      <c r="N314" s="636">
        <v>25</v>
      </c>
      <c r="O314" s="637">
        <f>IFERROR(INDEX('[17]CN HĐ'!$J$10:$J$76,MATCH(B314,'[17]CN HĐ'!$H$10:$H$76,0)),"")</f>
        <v>25</v>
      </c>
      <c r="P314" s="638" t="e">
        <f>IF(M314&gt;#REF!,M314,#REF!)</f>
        <v>#REF!</v>
      </c>
      <c r="Q314" s="484">
        <f t="shared" si="63"/>
        <v>1474200</v>
      </c>
      <c r="R314" s="639"/>
      <c r="S314" s="484">
        <v>0</v>
      </c>
      <c r="T314" s="640"/>
      <c r="U314" s="484">
        <v>0</v>
      </c>
      <c r="V314" s="679">
        <f t="shared" si="64"/>
        <v>49140</v>
      </c>
      <c r="W314" s="641">
        <f t="shared" si="65"/>
        <v>1474200</v>
      </c>
      <c r="X314" s="1080">
        <f t="shared" si="58"/>
        <v>0.81899999999999995</v>
      </c>
      <c r="Y314" s="1116">
        <v>1800000</v>
      </c>
      <c r="Z314" s="1117">
        <f t="shared" si="59"/>
        <v>1474200</v>
      </c>
      <c r="AA314" s="593">
        <f t="shared" si="57"/>
        <v>292</v>
      </c>
      <c r="AB314" s="643">
        <f>IFERROR(INDEX('[17]CN HĐ'!$M$10:$M$76,MATCH(B314,'[17]CN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4" t="s">
        <v>2085</v>
      </c>
      <c r="F315" s="654"/>
      <c r="G315" s="654"/>
      <c r="H315" s="383" t="s">
        <v>2031</v>
      </c>
      <c r="I315" s="635">
        <v>4914000</v>
      </c>
      <c r="J315" s="1058" t="str">
        <f>VLOOKUP(B315,TH.T5!B315:F644,5,FALSE)</f>
        <v>NV Phục vụ</v>
      </c>
      <c r="K315" s="484">
        <f t="shared" si="62"/>
        <v>1474200</v>
      </c>
      <c r="L315" s="636" t="str">
        <f>VLOOKUP(B315,'[24]Gui chi Quynh'!$B$11:$E$400,4,FALSE)</f>
        <v>A4</v>
      </c>
      <c r="M315" s="484">
        <f t="shared" si="66"/>
        <v>1474200</v>
      </c>
      <c r="N315" s="636">
        <v>25</v>
      </c>
      <c r="O315" s="637">
        <f>IFERROR(INDEX('[17]CN HĐ'!$J$10:$J$76,MATCH(B315,'[17]CN HĐ'!$H$10:$H$76,0)),"")</f>
        <v>25</v>
      </c>
      <c r="P315" s="638" t="e">
        <f>IF(M315&gt;#REF!,M315,#REF!)</f>
        <v>#REF!</v>
      </c>
      <c r="Q315" s="484">
        <f t="shared" si="63"/>
        <v>1474200</v>
      </c>
      <c r="R315" s="639"/>
      <c r="S315" s="484">
        <v>0</v>
      </c>
      <c r="T315" s="640"/>
      <c r="U315" s="484">
        <v>0</v>
      </c>
      <c r="V315" s="679">
        <f t="shared" si="64"/>
        <v>49140</v>
      </c>
      <c r="W315" s="641">
        <f t="shared" si="65"/>
        <v>1474200</v>
      </c>
      <c r="X315" s="1080">
        <f t="shared" si="58"/>
        <v>0.81899999999999995</v>
      </c>
      <c r="Y315" s="1116">
        <v>1800000</v>
      </c>
      <c r="Z315" s="1117">
        <f t="shared" si="59"/>
        <v>1474200</v>
      </c>
      <c r="AA315" s="593">
        <f t="shared" si="57"/>
        <v>293</v>
      </c>
      <c r="AB315" s="643">
        <f>IFERROR(INDEX('[17]CN HĐ'!$M$10:$M$76,MATCH(B315,'[17]CN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4"/>
      <c r="F316" s="654"/>
      <c r="G316" s="654"/>
      <c r="H316" s="383" t="s">
        <v>2031</v>
      </c>
      <c r="I316" s="635">
        <v>4914000</v>
      </c>
      <c r="J316" s="1058" t="str">
        <f>VLOOKUP(B316,TH.T5!B316:F645,5,FALSE)</f>
        <v>Nhân viên phòng Quản trị - Dịch vụ</v>
      </c>
      <c r="K316" s="484">
        <f t="shared" si="62"/>
        <v>1474200</v>
      </c>
      <c r="L316" s="636" t="str">
        <f>VLOOKUP(B316,'[24]Gui chi Quynh'!$B$11:$E$400,4,FALSE)</f>
        <v>A4</v>
      </c>
      <c r="M316" s="484">
        <f t="shared" si="66"/>
        <v>1474200</v>
      </c>
      <c r="N316" s="636">
        <v>25</v>
      </c>
      <c r="O316" s="637">
        <f>IFERROR(INDEX('[17]CN HĐ'!$J$10:$J$76,MATCH(B316,'[17]CN HĐ'!$H$10:$H$76,0)),"")</f>
        <v>25</v>
      </c>
      <c r="P316" s="638"/>
      <c r="Q316" s="484">
        <f t="shared" si="63"/>
        <v>1474200</v>
      </c>
      <c r="R316" s="639"/>
      <c r="S316" s="484">
        <v>0</v>
      </c>
      <c r="T316" s="640"/>
      <c r="U316" s="484">
        <v>0</v>
      </c>
      <c r="V316" s="679">
        <f t="shared" si="64"/>
        <v>49140</v>
      </c>
      <c r="W316" s="641">
        <f t="shared" si="65"/>
        <v>1474200</v>
      </c>
      <c r="X316" s="1080">
        <f t="shared" si="58"/>
        <v>0.81899999999999995</v>
      </c>
      <c r="Y316" s="1116">
        <v>1800000</v>
      </c>
      <c r="Z316" s="1117">
        <f t="shared" si="59"/>
        <v>1474200</v>
      </c>
      <c r="AA316" s="593">
        <f t="shared" si="57"/>
        <v>294</v>
      </c>
      <c r="AB316" s="643">
        <f>IFERROR(INDEX('[17]CN HĐ'!$M$10:$M$76,MATCH(B316,'[17]CN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4"/>
      <c r="F317" s="654"/>
      <c r="G317" s="654"/>
      <c r="H317" s="383" t="s">
        <v>2031</v>
      </c>
      <c r="I317" s="635">
        <v>4914000</v>
      </c>
      <c r="J317" s="1058" t="str">
        <f>VLOOKUP(B317,TH.T5!B317:F646,5,FALSE)</f>
        <v>Nhân viên phòng Quản trị - Dịch vụ</v>
      </c>
      <c r="K317" s="484">
        <f t="shared" si="62"/>
        <v>1474200</v>
      </c>
      <c r="L317" s="636" t="str">
        <f>VLOOKUP(B317,'[24]Gui chi Quynh'!$B$11:$E$400,4,FALSE)</f>
        <v>A4</v>
      </c>
      <c r="M317" s="484">
        <f t="shared" si="66"/>
        <v>1474200</v>
      </c>
      <c r="N317" s="636">
        <v>25</v>
      </c>
      <c r="O317" s="637">
        <f>IFERROR(INDEX('[17]CN HĐ'!$J$10:$J$76,MATCH(B317,'[17]CN HĐ'!$H$10:$H$76,0)),"")</f>
        <v>25</v>
      </c>
      <c r="P317" s="638"/>
      <c r="Q317" s="484">
        <f t="shared" si="63"/>
        <v>1474200</v>
      </c>
      <c r="R317" s="639"/>
      <c r="S317" s="484">
        <v>0</v>
      </c>
      <c r="T317" s="640"/>
      <c r="U317" s="484">
        <v>0</v>
      </c>
      <c r="V317" s="679">
        <f t="shared" si="64"/>
        <v>49140</v>
      </c>
      <c r="W317" s="641">
        <f t="shared" si="65"/>
        <v>1474200</v>
      </c>
      <c r="X317" s="1080">
        <f t="shared" si="58"/>
        <v>0.81899999999999995</v>
      </c>
      <c r="Y317" s="1116">
        <v>1800000</v>
      </c>
      <c r="Z317" s="1117">
        <f t="shared" si="59"/>
        <v>1474200</v>
      </c>
      <c r="AA317" s="593">
        <f t="shared" si="57"/>
        <v>295</v>
      </c>
      <c r="AB317" s="643" t="str">
        <f>IFERROR(INDEX('[17]CN HĐ'!$M$10:$M$76,MATCH(B317,'[17]CN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4"/>
      <c r="F318" s="654"/>
      <c r="G318" s="654"/>
      <c r="H318" s="383" t="s">
        <v>2038</v>
      </c>
      <c r="I318" s="635">
        <v>5007600</v>
      </c>
      <c r="J318" s="1058" t="str">
        <f>VLOOKUP(B318,TH.T5!$B$318:$F$647,5,FALSE)</f>
        <v>Nhân viên phòng Quản trị - Dịch vụ</v>
      </c>
      <c r="K318" s="484">
        <f t="shared" si="62"/>
        <v>3505320</v>
      </c>
      <c r="L318" s="636" t="str">
        <f>VLOOKUP(B318,'[24]Gui chi Quynh'!$B$11:$E$400,4,FALSE)</f>
        <v>A1</v>
      </c>
      <c r="M318" s="484">
        <f t="shared" si="66"/>
        <v>5608512</v>
      </c>
      <c r="N318" s="636">
        <v>25</v>
      </c>
      <c r="O318" s="637">
        <f>IFERROR(INDEX('[17]CN HĐ'!$J$10:$J$76,MATCH(B318,'[17]CN HĐ'!$H$10:$H$76,0)),"")</f>
        <v>25</v>
      </c>
      <c r="P318" s="638"/>
      <c r="Q318" s="484">
        <f t="shared" si="63"/>
        <v>5608512</v>
      </c>
      <c r="R318" s="639"/>
      <c r="S318" s="484">
        <v>0</v>
      </c>
      <c r="T318" s="640"/>
      <c r="U318" s="484">
        <v>0</v>
      </c>
      <c r="V318" s="484">
        <f t="shared" si="64"/>
        <v>50076</v>
      </c>
      <c r="W318" s="641">
        <f t="shared" si="65"/>
        <v>5608512</v>
      </c>
      <c r="X318" s="1080">
        <f t="shared" si="58"/>
        <v>3.1158399999999999</v>
      </c>
      <c r="Y318" s="1116">
        <v>1800000</v>
      </c>
      <c r="Z318" s="1117">
        <f t="shared" si="59"/>
        <v>5608512</v>
      </c>
      <c r="AA318" s="593">
        <f t="shared" si="57"/>
        <v>296</v>
      </c>
      <c r="AB318" s="643" t="str">
        <f>IFERROR(INDEX('[17]CN HĐ'!$M$10:$M$76,MATCH(B318,'[17]CN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2"/>
      <c r="D319" s="601"/>
      <c r="E319" s="1032"/>
      <c r="F319" s="1032"/>
      <c r="G319" s="1032"/>
      <c r="H319" s="490" t="s">
        <v>2038</v>
      </c>
      <c r="I319" s="1099">
        <f>5007600*85%</f>
        <v>4256460</v>
      </c>
      <c r="J319" s="1058" t="s">
        <v>2242</v>
      </c>
      <c r="K319" s="659">
        <f t="shared" si="62"/>
        <v>2979522</v>
      </c>
      <c r="L319" s="660" t="str">
        <f>VLOOKUP(B319,'[24]Gui chi Quynh'!$B$11:$E$400,4,FALSE)</f>
        <v>A4</v>
      </c>
      <c r="M319" s="659">
        <f t="shared" si="66"/>
        <v>2979522</v>
      </c>
      <c r="N319" s="660">
        <v>25</v>
      </c>
      <c r="O319" s="661">
        <f>IFERROR(INDEX('[17]CN HĐ'!$J$10:$J$76,MATCH(B319,'[17]CN HĐ'!$H$10:$H$76,0)),"")</f>
        <v>18</v>
      </c>
      <c r="P319" s="662"/>
      <c r="Q319" s="659">
        <f t="shared" si="63"/>
        <v>2145256</v>
      </c>
      <c r="R319" s="663"/>
      <c r="S319" s="659">
        <v>0</v>
      </c>
      <c r="T319" s="664"/>
      <c r="U319" s="659">
        <v>0</v>
      </c>
      <c r="V319" s="659"/>
      <c r="W319" s="1033">
        <f t="shared" si="65"/>
        <v>2145256</v>
      </c>
      <c r="X319" s="1080">
        <f t="shared" si="58"/>
        <v>1.1918088888888889</v>
      </c>
      <c r="Y319" s="1116">
        <v>1800000</v>
      </c>
      <c r="Z319" s="1117">
        <f t="shared" si="59"/>
        <v>2145256</v>
      </c>
      <c r="AA319" s="593">
        <f t="shared" si="57"/>
        <v>297</v>
      </c>
      <c r="AB319" s="666"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4"/>
      <c r="F320" s="654"/>
      <c r="G320" s="654"/>
      <c r="H320" s="383" t="s">
        <v>2031</v>
      </c>
      <c r="I320" s="635">
        <v>4680000</v>
      </c>
      <c r="J320" s="1058" t="str">
        <f>VLOOKUP(B320,TH.T5!$B$318:$F$647,5,FALSE)</f>
        <v>Nhân viên phòng Quản trị - Dịch vụ</v>
      </c>
      <c r="K320" s="484">
        <f t="shared" si="62"/>
        <v>1404000</v>
      </c>
      <c r="L320" s="636" t="str">
        <f>VLOOKUP(B320,'[24]Gui chi Quynh'!$B$11:$E$400,4,FALSE)</f>
        <v>A2</v>
      </c>
      <c r="M320" s="484">
        <f t="shared" si="66"/>
        <v>1965600</v>
      </c>
      <c r="N320" s="636">
        <v>25</v>
      </c>
      <c r="O320" s="637">
        <f>IFERROR(INDEX('[17]CN HĐ'!$J$10:$J$76,MATCH(B320,'[17]CN HĐ'!$H$10:$H$76,0)),"")</f>
        <v>25</v>
      </c>
      <c r="P320" s="638"/>
      <c r="Q320" s="484">
        <f t="shared" si="63"/>
        <v>1965600</v>
      </c>
      <c r="R320" s="639"/>
      <c r="S320" s="484">
        <v>0</v>
      </c>
      <c r="T320" s="640"/>
      <c r="U320" s="484">
        <v>0</v>
      </c>
      <c r="V320" s="679">
        <f t="shared" si="64"/>
        <v>46800</v>
      </c>
      <c r="W320" s="641">
        <f t="shared" si="65"/>
        <v>1965600</v>
      </c>
      <c r="X320" s="1080">
        <f t="shared" si="58"/>
        <v>1.0920000000000001</v>
      </c>
      <c r="Y320" s="1116">
        <v>1800000</v>
      </c>
      <c r="Z320" s="1117">
        <f t="shared" si="59"/>
        <v>1965600.0000000002</v>
      </c>
      <c r="AA320" s="593">
        <f t="shared" si="57"/>
        <v>298</v>
      </c>
      <c r="AB320" s="643">
        <f>IFERROR(INDEX('[17]CN HĐ'!$M$10:$M$76,MATCH(B320,'[17]CN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3" t="s">
        <v>2089</v>
      </c>
      <c r="C321" s="1100" t="s">
        <v>307</v>
      </c>
      <c r="D321" s="1101" t="s">
        <v>2090</v>
      </c>
      <c r="E321" s="1102">
        <v>1603205194204</v>
      </c>
      <c r="F321" s="1102"/>
      <c r="G321" s="1102"/>
      <c r="H321" s="579" t="s">
        <v>2038</v>
      </c>
      <c r="I321" s="1103">
        <v>7046196</v>
      </c>
      <c r="J321" s="1058" t="str">
        <f>VLOOKUP(B321,TH.T5!$B$318:$F$647,5,FALSE)</f>
        <v>Nhân viên Y tế</v>
      </c>
      <c r="K321" s="1104">
        <f t="shared" si="62"/>
        <v>4932337.1999999993</v>
      </c>
      <c r="L321" s="1105" t="str">
        <f>VLOOKUP(B321,'[24]Gui chi Quynh'!$B$11:$E$400,4,FALSE)</f>
        <v>B1</v>
      </c>
      <c r="M321" s="1104">
        <f t="shared" si="66"/>
        <v>3452636</v>
      </c>
      <c r="N321" s="1105">
        <v>25</v>
      </c>
      <c r="O321" s="1106">
        <f>IFERROR(INDEX('[17]CN HĐ'!$J$10:$J$76,MATCH(B321,'[17]CN HĐ'!$H$10:$H$76,0)),"")</f>
        <v>17</v>
      </c>
      <c r="P321" s="1107" t="e">
        <f>IF(M321&gt;#REF!,M321,#REF!)</f>
        <v>#REF!</v>
      </c>
      <c r="Q321" s="1104">
        <f t="shared" si="63"/>
        <v>2347792</v>
      </c>
      <c r="R321" s="1108"/>
      <c r="S321" s="1104">
        <v>0</v>
      </c>
      <c r="T321" s="1109"/>
      <c r="U321" s="1104">
        <v>0</v>
      </c>
      <c r="V321" s="1104">
        <f t="shared" si="64"/>
        <v>70461.960000000006</v>
      </c>
      <c r="W321" s="1110">
        <f t="shared" si="65"/>
        <v>2347792</v>
      </c>
      <c r="X321" s="1080">
        <f t="shared" si="58"/>
        <v>1.3043288888888889</v>
      </c>
      <c r="Y321" s="1116">
        <v>1800000</v>
      </c>
      <c r="Z321" s="1117">
        <f t="shared" si="59"/>
        <v>2347792</v>
      </c>
      <c r="AA321" s="593">
        <f t="shared" si="57"/>
        <v>299</v>
      </c>
      <c r="AB321" s="1111" t="s">
        <v>2256</v>
      </c>
      <c r="AC321" s="114" t="str">
        <f>VLOOKUP(B321,TH.T4!B317:AC647,28,FALSE)</f>
        <v>TTYT</v>
      </c>
    </row>
    <row r="322" spans="1:69" s="387" customFormat="1" ht="27" customHeight="1">
      <c r="A322" s="394">
        <f>_xlfn.AGGREGATE(4,7,A$22:A321)+1</f>
        <v>300</v>
      </c>
      <c r="B322" s="462" t="s">
        <v>2091</v>
      </c>
      <c r="C322" s="436"/>
      <c r="D322" s="435"/>
      <c r="E322" s="646"/>
      <c r="F322" s="646"/>
      <c r="G322" s="646"/>
      <c r="H322" s="383" t="s">
        <v>2031</v>
      </c>
      <c r="I322" s="635">
        <v>4914000</v>
      </c>
      <c r="J322" s="1058" t="str">
        <f>VLOOKUP(B322,TH.T5!$B$318:$F$647,5,FALSE)</f>
        <v>Nhân viên Ký túc xá</v>
      </c>
      <c r="K322" s="484">
        <f t="shared" si="62"/>
        <v>1474200</v>
      </c>
      <c r="L322" s="636" t="str">
        <f>VLOOKUP(B322,'[24]Gui chi Quynh'!$B$11:$E$400,4,FALSE)</f>
        <v>A4</v>
      </c>
      <c r="M322" s="484">
        <f t="shared" si="66"/>
        <v>1474200</v>
      </c>
      <c r="N322" s="636">
        <v>25</v>
      </c>
      <c r="O322" s="637">
        <f>IFERROR(INDEX('[17]CN HĐ'!$J$10:$J$76,MATCH(B322,'[17]CN HĐ'!$H$10:$H$76,0)),"")</f>
        <v>26</v>
      </c>
      <c r="P322" s="638"/>
      <c r="Q322" s="484">
        <f t="shared" si="63"/>
        <v>1474200</v>
      </c>
      <c r="R322" s="639"/>
      <c r="S322" s="484">
        <v>0</v>
      </c>
      <c r="T322" s="640"/>
      <c r="U322" s="484">
        <v>0</v>
      </c>
      <c r="V322" s="679">
        <f t="shared" si="64"/>
        <v>49140</v>
      </c>
      <c r="W322" s="641">
        <f t="shared" si="65"/>
        <v>1474200</v>
      </c>
      <c r="X322" s="1080">
        <f t="shared" si="58"/>
        <v>0.81899999999999995</v>
      </c>
      <c r="Y322" s="1116">
        <v>1800000</v>
      </c>
      <c r="Z322" s="1117">
        <f t="shared" si="59"/>
        <v>1474200</v>
      </c>
      <c r="AA322" s="593">
        <f t="shared" si="57"/>
        <v>300</v>
      </c>
      <c r="AB322" s="643">
        <f>IFERROR(INDEX('[17]CN HĐ'!$M$10:$M$76,MATCH(B322,'[17]CN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5" t="s">
        <v>2092</v>
      </c>
      <c r="C323" s="656"/>
      <c r="D323" s="435"/>
      <c r="E323" s="644" t="s">
        <v>2093</v>
      </c>
      <c r="F323" s="644"/>
      <c r="G323" s="644"/>
      <c r="H323" s="383" t="s">
        <v>2042</v>
      </c>
      <c r="I323" s="635">
        <v>12518663</v>
      </c>
      <c r="J323" s="1058" t="str">
        <f>VLOOKUP(B323,TH.T5!$B$318:$F$647,5,FALSE)</f>
        <v>Nhân viên</v>
      </c>
      <c r="K323" s="484">
        <f t="shared" si="62"/>
        <v>8763064.0999999996</v>
      </c>
      <c r="L323" s="636" t="str">
        <f>VLOOKUP(B323,'[24]Gui chi Quynh'!$B$11:$E$400,4,FALSE)</f>
        <v>A1</v>
      </c>
      <c r="M323" s="484">
        <f t="shared" si="66"/>
        <v>14020903</v>
      </c>
      <c r="N323" s="636">
        <v>25</v>
      </c>
      <c r="O323" s="637">
        <f>IFERROR(INDEX('[17]CN HĐ'!$J$10:$J$76,MATCH(B323,'[17]CN HĐ'!$H$10:$H$76,0)),"")</f>
        <v>30</v>
      </c>
      <c r="P323" s="638" t="e">
        <f>IF(M323&gt;#REF!,M323,#REF!)</f>
        <v>#REF!</v>
      </c>
      <c r="Q323" s="484">
        <f t="shared" si="63"/>
        <v>14020903</v>
      </c>
      <c r="R323" s="639"/>
      <c r="S323" s="484">
        <v>0</v>
      </c>
      <c r="T323" s="657"/>
      <c r="U323" s="484">
        <v>0</v>
      </c>
      <c r="V323" s="679">
        <f t="shared" si="64"/>
        <v>125186.63</v>
      </c>
      <c r="W323" s="641">
        <f t="shared" si="65"/>
        <v>14020903</v>
      </c>
      <c r="X323" s="1080">
        <f t="shared" si="58"/>
        <v>7.7893905555555554</v>
      </c>
      <c r="Y323" s="1116">
        <v>1800000</v>
      </c>
      <c r="Z323" s="1117">
        <f t="shared" si="59"/>
        <v>14020903</v>
      </c>
      <c r="AA323" s="593">
        <f t="shared" si="57"/>
        <v>301</v>
      </c>
      <c r="AB323" s="643">
        <f>IFERROR(INDEX('[17]CN HĐ'!$M$10:$M$76,MATCH(B323,'[17]CN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4">
        <v>1603205341982</v>
      </c>
      <c r="F324" s="634"/>
      <c r="G324" s="634"/>
      <c r="H324" s="383" t="s">
        <v>2042</v>
      </c>
      <c r="I324" s="635">
        <v>7515057</v>
      </c>
      <c r="J324" s="1058" t="str">
        <f>VLOOKUP(B324,TH.T5!$B$318:$F$647,5,FALSE)</f>
        <v>NV Kế toán</v>
      </c>
      <c r="K324" s="484">
        <f t="shared" si="62"/>
        <v>5260539.8999999994</v>
      </c>
      <c r="L324" s="636" t="str">
        <f>VLOOKUP(B324,'[24]Gui chi Quynh'!$B$11:$E$400,4,FALSE)</f>
        <v>A2</v>
      </c>
      <c r="M324" s="484">
        <f t="shared" si="66"/>
        <v>7364756</v>
      </c>
      <c r="N324" s="636">
        <v>25</v>
      </c>
      <c r="O324" s="637">
        <f>IFERROR(INDEX('[17]CN HĐ'!$J$10:$J$76,MATCH(B324,'[17]CN HĐ'!$H$10:$H$76,0)),"")</f>
        <v>24</v>
      </c>
      <c r="P324" s="638" t="e">
        <f>IF(M324&gt;#REF!,M324,#REF!)</f>
        <v>#REF!</v>
      </c>
      <c r="Q324" s="484">
        <f t="shared" si="63"/>
        <v>7070166</v>
      </c>
      <c r="R324" s="639"/>
      <c r="S324" s="484">
        <v>0</v>
      </c>
      <c r="T324" s="484" t="e">
        <f>S324*#REF!*0.5</f>
        <v>#REF!</v>
      </c>
      <c r="U324" s="484">
        <v>0</v>
      </c>
      <c r="V324" s="679">
        <f t="shared" si="64"/>
        <v>75150.570000000007</v>
      </c>
      <c r="W324" s="641">
        <f t="shared" si="65"/>
        <v>7070166</v>
      </c>
      <c r="X324" s="1080">
        <f t="shared" si="58"/>
        <v>3.92787</v>
      </c>
      <c r="Y324" s="1116">
        <v>1800000</v>
      </c>
      <c r="Z324" s="1117">
        <f t="shared" si="59"/>
        <v>7070166</v>
      </c>
      <c r="AA324" s="593">
        <f t="shared" si="57"/>
        <v>302</v>
      </c>
      <c r="AB324" s="643" t="str">
        <f>IFERROR(INDEX('[17]CN HĐ'!$M$10:$M$76,MATCH(B324,'[17]CN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3" t="s">
        <v>2097</v>
      </c>
      <c r="F325" s="653"/>
      <c r="G325" s="653"/>
      <c r="H325" s="383" t="s">
        <v>2042</v>
      </c>
      <c r="I325" s="635">
        <v>5733201</v>
      </c>
      <c r="J325" s="1058" t="str">
        <f>VLOOKUP(B325,TH.T5!$B$318:$F$647,5,FALSE)</f>
        <v>NV Kế toán</v>
      </c>
      <c r="K325" s="484">
        <f t="shared" si="62"/>
        <v>4013240.6999999997</v>
      </c>
      <c r="L325" s="636" t="str">
        <f>VLOOKUP(B325,'[24]Gui chi Quynh'!$B$11:$E$400,4,FALSE)</f>
        <v>A3</v>
      </c>
      <c r="M325" s="484">
        <f t="shared" si="66"/>
        <v>4815889</v>
      </c>
      <c r="N325" s="636">
        <v>25</v>
      </c>
      <c r="O325" s="637">
        <f>IFERROR(INDEX('[17]CN HĐ'!$J$10:$J$76,MATCH(B325,'[17]CN HĐ'!$H$10:$H$76,0)),"")</f>
        <v>23</v>
      </c>
      <c r="P325" s="638" t="e">
        <f>IF(M325&gt;#REF!,M325,#REF!)</f>
        <v>#REF!</v>
      </c>
      <c r="Q325" s="484">
        <f t="shared" si="63"/>
        <v>4430618</v>
      </c>
      <c r="R325" s="639"/>
      <c r="S325" s="484">
        <v>0</v>
      </c>
      <c r="T325" s="484"/>
      <c r="U325" s="484">
        <v>0</v>
      </c>
      <c r="V325" s="679">
        <f t="shared" si="64"/>
        <v>57332.01</v>
      </c>
      <c r="W325" s="641">
        <f t="shared" si="65"/>
        <v>4430618</v>
      </c>
      <c r="X325" s="1080">
        <f t="shared" si="58"/>
        <v>2.4614544444444446</v>
      </c>
      <c r="Y325" s="1116">
        <v>1800000</v>
      </c>
      <c r="Z325" s="1117">
        <f t="shared" si="59"/>
        <v>4430618</v>
      </c>
      <c r="AA325" s="593">
        <f t="shared" si="57"/>
        <v>303</v>
      </c>
      <c r="AB325" s="643" t="str">
        <f>IFERROR(INDEX('[17]CN HĐ'!$M$10:$M$76,MATCH(B325,'[17]CN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6"/>
      <c r="F326" s="646"/>
      <c r="G326" s="646"/>
      <c r="H326" s="383" t="s">
        <v>2042</v>
      </c>
      <c r="I326" s="635">
        <v>5733201</v>
      </c>
      <c r="J326" s="1058" t="str">
        <f>VLOOKUP(B326,TH.T5!$B$318:$F$647,5,FALSE)</f>
        <v>NV Kế toán</v>
      </c>
      <c r="K326" s="484">
        <f t="shared" si="62"/>
        <v>4013240.6999999997</v>
      </c>
      <c r="L326" s="636" t="str">
        <f>VLOOKUP(B326,'[24]Gui chi Quynh'!$B$11:$E$400,4,FALSE)</f>
        <v>A2</v>
      </c>
      <c r="M326" s="484">
        <f t="shared" si="66"/>
        <v>5618537</v>
      </c>
      <c r="N326" s="636">
        <v>25</v>
      </c>
      <c r="O326" s="637">
        <f>IFERROR(INDEX('[17]CN HĐ'!$J$10:$J$76,MATCH(B326,'[17]CN HĐ'!$H$10:$H$76,0)),"")</f>
        <v>25</v>
      </c>
      <c r="P326" s="638"/>
      <c r="Q326" s="484">
        <f t="shared" si="63"/>
        <v>5618537</v>
      </c>
      <c r="R326" s="639"/>
      <c r="S326" s="484">
        <v>0</v>
      </c>
      <c r="T326" s="484"/>
      <c r="U326" s="484">
        <v>0</v>
      </c>
      <c r="V326" s="679">
        <f t="shared" si="64"/>
        <v>57332.01</v>
      </c>
      <c r="W326" s="641">
        <f t="shared" si="65"/>
        <v>5618537</v>
      </c>
      <c r="X326" s="1080">
        <f t="shared" si="58"/>
        <v>3.1214094444444442</v>
      </c>
      <c r="Y326" s="1116">
        <v>1800000</v>
      </c>
      <c r="Z326" s="1117">
        <f t="shared" si="59"/>
        <v>5618537</v>
      </c>
      <c r="AA326" s="593">
        <f t="shared" si="57"/>
        <v>304</v>
      </c>
      <c r="AB326" s="643">
        <f>IFERROR(INDEX('[17]CN HĐ'!$M$10:$M$76,MATCH(B326,'[17]CN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6"/>
      <c r="F327" s="646"/>
      <c r="G327" s="646"/>
      <c r="H327" s="383" t="s">
        <v>2042</v>
      </c>
      <c r="I327" s="635">
        <v>5358132</v>
      </c>
      <c r="J327" s="1058" t="str">
        <f>VLOOKUP(B327,TH.T5!$B$318:$F$647,5,FALSE)</f>
        <v>NV Kế toán</v>
      </c>
      <c r="K327" s="484">
        <f t="shared" si="62"/>
        <v>3750692.4</v>
      </c>
      <c r="L327" s="636" t="str">
        <f>VLOOKUP(B327,'[24]Gui chi Quynh'!$B$11:$E$400,4,FALSE)</f>
        <v>A2</v>
      </c>
      <c r="M327" s="484">
        <f t="shared" si="66"/>
        <v>5250969</v>
      </c>
      <c r="N327" s="636">
        <v>25</v>
      </c>
      <c r="O327" s="637">
        <f>IFERROR(INDEX('[17]CN HĐ'!$J$10:$J$76,MATCH(B327,'[17]CN HĐ'!$H$10:$H$76,0)),"")</f>
        <v>25</v>
      </c>
      <c r="P327" s="638"/>
      <c r="Q327" s="484">
        <f t="shared" si="63"/>
        <v>5250969</v>
      </c>
      <c r="R327" s="639"/>
      <c r="S327" s="484">
        <v>0</v>
      </c>
      <c r="T327" s="484"/>
      <c r="U327" s="484">
        <v>0</v>
      </c>
      <c r="V327" s="679">
        <f t="shared" si="64"/>
        <v>53581.32</v>
      </c>
      <c r="W327" s="641">
        <f t="shared" si="65"/>
        <v>5250969</v>
      </c>
      <c r="X327" s="1080">
        <f t="shared" si="58"/>
        <v>2.917205</v>
      </c>
      <c r="Y327" s="1116">
        <v>1800000</v>
      </c>
      <c r="Z327" s="1117">
        <f t="shared" si="59"/>
        <v>5250969</v>
      </c>
      <c r="AA327" s="593">
        <f t="shared" si="57"/>
        <v>305</v>
      </c>
      <c r="AB327" s="643">
        <f>IFERROR(INDEX('[17]CN HĐ'!$M$10:$M$76,MATCH(B327,'[17]CN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5" t="s">
        <v>2100</v>
      </c>
      <c r="C328" s="656" t="s">
        <v>1053</v>
      </c>
      <c r="D328" s="435" t="s">
        <v>2101</v>
      </c>
      <c r="E328" s="644">
        <v>1603205399011</v>
      </c>
      <c r="F328" s="644"/>
      <c r="G328" s="644"/>
      <c r="H328" s="86" t="s">
        <v>2042</v>
      </c>
      <c r="I328" s="635">
        <v>8041111</v>
      </c>
      <c r="J328" s="1058" t="str">
        <f>VLOOKUP(B328,TH.T5!$B$318:$F$647,5,FALSE)</f>
        <v>Nhân viên</v>
      </c>
      <c r="K328" s="484">
        <f t="shared" si="62"/>
        <v>5628777.6999999993</v>
      </c>
      <c r="L328" s="636" t="str">
        <f>VLOOKUP(B328,'[24]Gui chi Quynh'!$B$11:$E$400,4,FALSE)</f>
        <v>A4</v>
      </c>
      <c r="M328" s="484">
        <f t="shared" si="66"/>
        <v>5628778</v>
      </c>
      <c r="N328" s="636">
        <v>25</v>
      </c>
      <c r="O328" s="637">
        <f>IFERROR(INDEX('[17]CN HĐ'!$J$10:$J$76,MATCH(B328,'[17]CN HĐ'!$H$10:$H$76,0)),"")</f>
        <v>25</v>
      </c>
      <c r="P328" s="638" t="e">
        <f>IF(M328&gt;#REF!,M328,#REF!)</f>
        <v>#REF!</v>
      </c>
      <c r="Q328" s="484">
        <f t="shared" si="63"/>
        <v>5628778</v>
      </c>
      <c r="R328" s="639"/>
      <c r="S328" s="484">
        <v>0</v>
      </c>
      <c r="T328" s="657"/>
      <c r="U328" s="484">
        <v>0</v>
      </c>
      <c r="V328" s="679">
        <f t="shared" si="64"/>
        <v>80411.11</v>
      </c>
      <c r="W328" s="641">
        <f t="shared" si="65"/>
        <v>5628778</v>
      </c>
      <c r="X328" s="1080">
        <f t="shared" si="58"/>
        <v>3.1270988888888889</v>
      </c>
      <c r="Y328" s="1116">
        <v>1800000</v>
      </c>
      <c r="Z328" s="1117">
        <f t="shared" si="59"/>
        <v>5628778</v>
      </c>
      <c r="AA328" s="593">
        <f t="shared" si="57"/>
        <v>306</v>
      </c>
      <c r="AB328" s="643">
        <f>IFERROR(INDEX('[17]CN HĐ'!$M$10:$M$76,MATCH(B328,'[17]CN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4" t="s">
        <v>2105</v>
      </c>
      <c r="F329" s="634"/>
      <c r="G329" s="634"/>
      <c r="H329" s="383" t="s">
        <v>2038</v>
      </c>
      <c r="I329" s="635">
        <v>6086769</v>
      </c>
      <c r="J329" s="1058" t="str">
        <f>VLOOKUP(B329,TH.T5!$B$318:$F$647,5,FALSE)</f>
        <v>NV Phòng Quản trị - Dịch vụ</v>
      </c>
      <c r="K329" s="484">
        <f t="shared" si="62"/>
        <v>4260738.3</v>
      </c>
      <c r="L329" s="636" t="str">
        <f>VLOOKUP(B329,'[24]Gui chi Quynh'!$B$11:$E$400,4,FALSE)</f>
        <v>A3</v>
      </c>
      <c r="M329" s="484">
        <f t="shared" si="66"/>
        <v>5112886</v>
      </c>
      <c r="N329" s="636">
        <v>25</v>
      </c>
      <c r="O329" s="637">
        <f>IFERROR(INDEX('[17]CN HĐ'!$J$10:$J$76,MATCH(B329,'[17]CN HĐ'!$H$10:$H$76,0)),"")</f>
        <v>24</v>
      </c>
      <c r="P329" s="638" t="e">
        <f>IF(M329&gt;#REF!,M329,#REF!)</f>
        <v>#REF!</v>
      </c>
      <c r="Q329" s="484">
        <f t="shared" si="63"/>
        <v>4908371</v>
      </c>
      <c r="R329" s="639"/>
      <c r="S329" s="484">
        <v>0</v>
      </c>
      <c r="T329" s="640"/>
      <c r="U329" s="484">
        <v>0</v>
      </c>
      <c r="V329" s="679">
        <f t="shared" si="64"/>
        <v>60867.69</v>
      </c>
      <c r="W329" s="641">
        <f t="shared" si="65"/>
        <v>4908371</v>
      </c>
      <c r="X329" s="1080">
        <f t="shared" si="58"/>
        <v>2.7268727777777779</v>
      </c>
      <c r="Y329" s="1116">
        <v>1800000</v>
      </c>
      <c r="Z329" s="1117">
        <f t="shared" si="59"/>
        <v>4908371</v>
      </c>
      <c r="AA329" s="593">
        <f t="shared" si="57"/>
        <v>307</v>
      </c>
      <c r="AB329" s="643">
        <f>IFERROR(INDEX('[17]CN HĐ'!$M$10:$M$76,MATCH(B329,'[17]CN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6">
        <v>1603205192034</v>
      </c>
      <c r="F330" s="646"/>
      <c r="G330" s="646"/>
      <c r="H330" s="383" t="s">
        <v>2038</v>
      </c>
      <c r="I330" s="635">
        <v>6086769</v>
      </c>
      <c r="J330" s="1058" t="str">
        <f>VLOOKUP(B330,TH.T5!$B$318:$F$647,5,FALSE)</f>
        <v>Nhân viên phòng Thanh tra GD - Quan hệ DN</v>
      </c>
      <c r="K330" s="484">
        <f t="shared" si="62"/>
        <v>4260738.3</v>
      </c>
      <c r="L330" s="636" t="str">
        <f>VLOOKUP(B330,'[24]Gui chi Quynh'!$B$11:$E$400,4,FALSE)</f>
        <v>A4</v>
      </c>
      <c r="M330" s="484">
        <f t="shared" si="66"/>
        <v>4260738</v>
      </c>
      <c r="N330" s="636">
        <v>25</v>
      </c>
      <c r="O330" s="637">
        <f>IFERROR(INDEX('[17]CN HĐ'!$J$10:$J$76,MATCH(B330,'[17]CN HĐ'!$H$10:$H$76,0)),"")</f>
        <v>25</v>
      </c>
      <c r="P330" s="638" t="e">
        <f>IF(M330&gt;#REF!,M330,#REF!)</f>
        <v>#REF!</v>
      </c>
      <c r="Q330" s="484">
        <f t="shared" si="63"/>
        <v>4260738</v>
      </c>
      <c r="R330" s="639"/>
      <c r="S330" s="484">
        <v>0</v>
      </c>
      <c r="T330" s="640"/>
      <c r="U330" s="484">
        <v>0</v>
      </c>
      <c r="V330" s="679">
        <f t="shared" si="64"/>
        <v>60867.69</v>
      </c>
      <c r="W330" s="641">
        <f t="shared" si="65"/>
        <v>4260738</v>
      </c>
      <c r="X330" s="1080">
        <f t="shared" si="58"/>
        <v>2.3670766666666667</v>
      </c>
      <c r="Y330" s="1116">
        <v>1800000</v>
      </c>
      <c r="Z330" s="1117">
        <f t="shared" si="59"/>
        <v>4260738</v>
      </c>
      <c r="AA330" s="593">
        <f t="shared" si="57"/>
        <v>308</v>
      </c>
      <c r="AB330" s="643">
        <f>IFERROR(INDEX('[17]CN HĐ'!$M$10:$M$76,MATCH(B330,'[17]CN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6"/>
      <c r="F331" s="646"/>
      <c r="G331" s="646"/>
      <c r="H331" s="383" t="s">
        <v>2042</v>
      </c>
      <c r="I331" s="635">
        <v>5733201</v>
      </c>
      <c r="J331" s="1058" t="str">
        <f>VLOOKUP(B331,TH.T5!$B$318:$F$647,5,FALSE)</f>
        <v>Nhân viên phòng Thanh tra GD - Quan hệ DN</v>
      </c>
      <c r="K331" s="484">
        <f t="shared" si="62"/>
        <v>4013240.6999999997</v>
      </c>
      <c r="L331" s="636" t="str">
        <f>VLOOKUP(B331,'[24]Gui chi Quynh'!$B$11:$E$400,4,FALSE)</f>
        <v>A3</v>
      </c>
      <c r="M331" s="484">
        <f t="shared" si="66"/>
        <v>4815889</v>
      </c>
      <c r="N331" s="636">
        <v>25</v>
      </c>
      <c r="O331" s="637">
        <f>IFERROR(INDEX('[17]CN HĐ'!$J$10:$J$76,MATCH(B331,'[17]CN HĐ'!$H$10:$H$76,0)),"")</f>
        <v>24</v>
      </c>
      <c r="P331" s="638" t="e">
        <f>IF(M331&gt;#REF!,M331,#REF!)</f>
        <v>#REF!</v>
      </c>
      <c r="Q331" s="484">
        <f t="shared" si="63"/>
        <v>4623253</v>
      </c>
      <c r="R331" s="639"/>
      <c r="S331" s="484">
        <v>0</v>
      </c>
      <c r="T331" s="640"/>
      <c r="U331" s="484">
        <v>0</v>
      </c>
      <c r="V331" s="679">
        <f t="shared" si="64"/>
        <v>57332.01</v>
      </c>
      <c r="W331" s="641">
        <f t="shared" si="65"/>
        <v>4623253</v>
      </c>
      <c r="X331" s="1080">
        <f t="shared" si="58"/>
        <v>2.5684738888888887</v>
      </c>
      <c r="Y331" s="1116">
        <v>1800000</v>
      </c>
      <c r="Z331" s="1117">
        <f t="shared" si="59"/>
        <v>4623253</v>
      </c>
      <c r="AA331" s="593">
        <f t="shared" si="57"/>
        <v>309</v>
      </c>
      <c r="AB331" s="643" t="str">
        <f>IFERROR(INDEX('[17]CN HĐ'!$M$10:$M$76,MATCH(B331,'[17]CN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6"/>
      <c r="F332" s="646"/>
      <c r="G332" s="646"/>
      <c r="H332" s="383" t="s">
        <v>2038</v>
      </c>
      <c r="I332" s="635">
        <v>5257980</v>
      </c>
      <c r="J332" s="1058" t="str">
        <f>VLOOKUP(B332,TH.T5!$B$318:$F$647,5,FALSE)</f>
        <v>Nhân viên phòng Thanh tra GD - Quan hệ DN</v>
      </c>
      <c r="K332" s="484">
        <f t="shared" si="62"/>
        <v>3680585.9999999995</v>
      </c>
      <c r="L332" s="636" t="str">
        <f>VLOOKUP(B332,'[24]Gui chi Quynh'!$B$11:$E$400,4,FALSE)</f>
        <v>A3</v>
      </c>
      <c r="M332" s="484">
        <f t="shared" si="66"/>
        <v>4416703</v>
      </c>
      <c r="N332" s="636">
        <v>25</v>
      </c>
      <c r="O332" s="637">
        <f>IFERROR(INDEX('[17]CN HĐ'!$J$10:$J$76,MATCH(B332,'[17]CN HĐ'!$H$10:$H$76,0)),"")</f>
        <v>25</v>
      </c>
      <c r="P332" s="638"/>
      <c r="Q332" s="484">
        <f t="shared" si="63"/>
        <v>4416703</v>
      </c>
      <c r="R332" s="639"/>
      <c r="S332" s="484">
        <v>0</v>
      </c>
      <c r="T332" s="640"/>
      <c r="U332" s="484">
        <v>0</v>
      </c>
      <c r="V332" s="484">
        <f t="shared" si="64"/>
        <v>52579.8</v>
      </c>
      <c r="W332" s="641">
        <f t="shared" si="65"/>
        <v>4416703</v>
      </c>
      <c r="X332" s="1080">
        <f t="shared" si="58"/>
        <v>2.4537238888888888</v>
      </c>
      <c r="Y332" s="1116">
        <v>1800000</v>
      </c>
      <c r="Z332" s="1117">
        <f t="shared" si="59"/>
        <v>4416703</v>
      </c>
      <c r="AA332" s="593">
        <f t="shared" si="57"/>
        <v>310</v>
      </c>
      <c r="AB332" s="643">
        <f>IFERROR(INDEX('[17]CN HĐ'!$M$10:$M$76,MATCH(B332,'[17]CN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6">
        <v>1603205355935</v>
      </c>
      <c r="F333" s="646"/>
      <c r="G333" s="646"/>
      <c r="H333" s="383" t="s">
        <v>2038</v>
      </c>
      <c r="I333" s="635">
        <v>5520879</v>
      </c>
      <c r="J333" s="1058" t="str">
        <f>VLOOKUP(B333,TH.T5!$B$318:$F$647,5,FALSE)</f>
        <v>Nhân viên phòng Quản trị - Dịch vụ</v>
      </c>
      <c r="K333" s="484">
        <f t="shared" si="62"/>
        <v>3864615.3</v>
      </c>
      <c r="L333" s="636" t="str">
        <f>VLOOKUP(B333,'[24]Gui chi Quynh'!$B$11:$E$400,4,FALSE)</f>
        <v>A4</v>
      </c>
      <c r="M333" s="484">
        <f t="shared" si="66"/>
        <v>3864615</v>
      </c>
      <c r="N333" s="636">
        <v>25</v>
      </c>
      <c r="O333" s="637">
        <f>IFERROR(INDEX('[17]CN HĐ'!$J$10:$J$76,MATCH(B333,'[17]CN HĐ'!$H$10:$H$76,0)),"")</f>
        <v>24</v>
      </c>
      <c r="P333" s="638" t="e">
        <f>IF(M333&gt;#REF!,M333,#REF!)</f>
        <v>#REF!</v>
      </c>
      <c r="Q333" s="484">
        <f t="shared" si="63"/>
        <v>3710030</v>
      </c>
      <c r="R333" s="639"/>
      <c r="S333" s="484">
        <v>0</v>
      </c>
      <c r="T333" s="640"/>
      <c r="U333" s="484">
        <v>0</v>
      </c>
      <c r="V333" s="484">
        <f t="shared" si="64"/>
        <v>55208.79</v>
      </c>
      <c r="W333" s="641">
        <f t="shared" si="65"/>
        <v>3710030</v>
      </c>
      <c r="X333" s="1080">
        <f t="shared" si="58"/>
        <v>2.0611277777777777</v>
      </c>
      <c r="Y333" s="1116">
        <v>1800000</v>
      </c>
      <c r="Z333" s="1117">
        <f t="shared" si="59"/>
        <v>3710030</v>
      </c>
      <c r="AA333" s="593">
        <f t="shared" si="57"/>
        <v>311</v>
      </c>
      <c r="AB333" s="643" t="str">
        <f>IFERROR(INDEX('[17]CN HĐ'!$M$10:$M$76,MATCH(B333,'[17]CN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4">
        <v>1603205639363</v>
      </c>
      <c r="F334" s="634"/>
      <c r="G334" s="634"/>
      <c r="H334" s="383" t="s">
        <v>2042</v>
      </c>
      <c r="I334" s="635">
        <v>5733201</v>
      </c>
      <c r="J334" s="1058" t="str">
        <f>VLOOKUP(B334,TH.T5!$B$318:$F$647,5,FALSE)</f>
        <v>Nhân viên phòng Thanh tra GD - Quan hệ DN</v>
      </c>
      <c r="K334" s="484">
        <f t="shared" si="62"/>
        <v>4013240.6999999997</v>
      </c>
      <c r="L334" s="636" t="str">
        <f>VLOOKUP(B334,'[24]Gui chi Quynh'!$B$11:$E$400,4,FALSE)</f>
        <v>A4</v>
      </c>
      <c r="M334" s="484">
        <f t="shared" si="66"/>
        <v>4013241</v>
      </c>
      <c r="N334" s="636">
        <v>25</v>
      </c>
      <c r="O334" s="637">
        <f>IFERROR(INDEX('[17]CN HĐ'!$J$10:$J$76,MATCH(B334,'[17]CN HĐ'!$H$10:$H$76,0)),"")</f>
        <v>23</v>
      </c>
      <c r="P334" s="638" t="e">
        <f>IF(M334&gt;#REF!,M334,#REF!)</f>
        <v>#REF!</v>
      </c>
      <c r="Q334" s="484">
        <f t="shared" si="63"/>
        <v>3692182</v>
      </c>
      <c r="R334" s="639"/>
      <c r="S334" s="484">
        <v>0</v>
      </c>
      <c r="T334" s="640"/>
      <c r="U334" s="484">
        <v>0</v>
      </c>
      <c r="V334" s="679">
        <f t="shared" si="64"/>
        <v>57332.01</v>
      </c>
      <c r="W334" s="641">
        <f t="shared" si="65"/>
        <v>3692182</v>
      </c>
      <c r="X334" s="1080">
        <f t="shared" si="58"/>
        <v>2.0512122222222224</v>
      </c>
      <c r="Y334" s="1116">
        <v>1800000</v>
      </c>
      <c r="Z334" s="1117">
        <f t="shared" si="59"/>
        <v>3692182.0000000005</v>
      </c>
      <c r="AA334" s="593">
        <f t="shared" si="57"/>
        <v>312</v>
      </c>
      <c r="AB334" s="643" t="str">
        <f>IFERROR(INDEX('[17]CN HĐ'!$M$10:$M$76,MATCH(B334,'[17]CN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4">
        <v>1603205324898</v>
      </c>
      <c r="F335" s="634"/>
      <c r="G335" s="634"/>
      <c r="H335" s="383" t="s">
        <v>2042</v>
      </c>
      <c r="I335" s="635">
        <v>7515057</v>
      </c>
      <c r="J335" s="1058" t="str">
        <f>VLOOKUP(B335,TH.T5!$B$318:$F$647,5,FALSE)</f>
        <v>Nhân viên phòng KHCN &amp; HTQT</v>
      </c>
      <c r="K335" s="484">
        <f t="shared" si="62"/>
        <v>5260539.8999999994</v>
      </c>
      <c r="L335" s="636" t="str">
        <f>VLOOKUP(B335,'[24]Gui chi Quynh'!$B$11:$E$400,4,FALSE)</f>
        <v>A2</v>
      </c>
      <c r="M335" s="484">
        <f t="shared" si="66"/>
        <v>7364756</v>
      </c>
      <c r="N335" s="636">
        <v>25</v>
      </c>
      <c r="O335" s="637">
        <f>IFERROR(INDEX('[17]CN HĐ'!$J$10:$J$76,MATCH(B335,'[17]CN HĐ'!$H$10:$H$76,0)),"")</f>
        <v>24</v>
      </c>
      <c r="P335" s="638" t="e">
        <f>IF(M335&gt;#REF!,M335,#REF!)</f>
        <v>#REF!</v>
      </c>
      <c r="Q335" s="484">
        <f t="shared" si="63"/>
        <v>7070166</v>
      </c>
      <c r="R335" s="639"/>
      <c r="S335" s="484">
        <v>0</v>
      </c>
      <c r="T335" s="640"/>
      <c r="U335" s="484">
        <v>0</v>
      </c>
      <c r="V335" s="679">
        <f t="shared" si="64"/>
        <v>75150.570000000007</v>
      </c>
      <c r="W335" s="641">
        <f t="shared" si="65"/>
        <v>7070166</v>
      </c>
      <c r="X335" s="1080">
        <f t="shared" si="58"/>
        <v>3.92787</v>
      </c>
      <c r="Y335" s="1116">
        <v>1800000</v>
      </c>
      <c r="Z335" s="1117">
        <f t="shared" si="59"/>
        <v>7070166</v>
      </c>
      <c r="AA335" s="593">
        <f t="shared" si="57"/>
        <v>313</v>
      </c>
      <c r="AB335" s="643" t="str">
        <f>IFERROR(INDEX('[17]CN HĐ'!$M$10:$M$76,MATCH(B335,'[17]CN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4" t="s">
        <v>2118</v>
      </c>
      <c r="F336" s="644"/>
      <c r="G336" s="644"/>
      <c r="H336" s="383" t="s">
        <v>2042</v>
      </c>
      <c r="I336" s="635">
        <v>5733201</v>
      </c>
      <c r="J336" s="1058" t="str">
        <f>VLOOKUP(B336,TH.T5!$B$318:$F$647,5,FALSE)</f>
        <v>Nhân viên phòng KHCN &amp; HTQT</v>
      </c>
      <c r="K336" s="484">
        <f t="shared" si="62"/>
        <v>4013240.6999999997</v>
      </c>
      <c r="L336" s="636" t="str">
        <f>VLOOKUP(B336,'[24]Gui chi Quynh'!$B$11:$E$400,4,FALSE)</f>
        <v>A4</v>
      </c>
      <c r="M336" s="484">
        <f t="shared" si="66"/>
        <v>4013241</v>
      </c>
      <c r="N336" s="636">
        <v>25</v>
      </c>
      <c r="O336" s="637">
        <f>IFERROR(INDEX('[17]CN HĐ'!$J$10:$J$76,MATCH(B336,'[17]CN HĐ'!$H$10:$H$76,0)),"")</f>
        <v>25</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1116">
        <v>1800000</v>
      </c>
      <c r="Z336" s="1117">
        <f t="shared" si="59"/>
        <v>4013241</v>
      </c>
      <c r="AA336" s="593">
        <f t="shared" si="57"/>
        <v>314</v>
      </c>
      <c r="AB336" s="643">
        <f>IFERROR(INDEX('[17]CN HĐ'!$M$10:$M$76,MATCH(B336,'[17]CN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4" t="s">
        <v>2122</v>
      </c>
      <c r="F337" s="634"/>
      <c r="G337" s="634"/>
      <c r="H337" s="86" t="s">
        <v>2042</v>
      </c>
      <c r="I337" s="635">
        <v>5733201</v>
      </c>
      <c r="J337" s="1058" t="str">
        <f>VLOOKUP(B337,TH.T5!$B$318:$F$647,5,FALSE)</f>
        <v>Nhân viên phòng Thanh tra GD - Quan hệ DN</v>
      </c>
      <c r="K337" s="484">
        <f t="shared" si="62"/>
        <v>4013240.6999999997</v>
      </c>
      <c r="L337" s="636" t="str">
        <f>VLOOKUP(B337,'[24]Gui chi Quynh'!$B$11:$E$400,4,FALSE)</f>
        <v>A4</v>
      </c>
      <c r="M337" s="484">
        <f t="shared" si="66"/>
        <v>4013241</v>
      </c>
      <c r="N337" s="636">
        <v>25</v>
      </c>
      <c r="O337" s="637">
        <f>IFERROR(INDEX('[17]CN HĐ'!$J$10:$J$76,MATCH(B337,'[17]CN HĐ'!$H$10:$H$76,0)),"")</f>
        <v>24</v>
      </c>
      <c r="P337" s="638" t="e">
        <f>IF(M337&gt;#REF!,M337,#REF!)</f>
        <v>#REF!</v>
      </c>
      <c r="Q337" s="484">
        <f t="shared" si="63"/>
        <v>3852711</v>
      </c>
      <c r="R337" s="639"/>
      <c r="S337" s="484">
        <v>0</v>
      </c>
      <c r="T337" s="640"/>
      <c r="U337" s="484">
        <v>0</v>
      </c>
      <c r="V337" s="679">
        <f t="shared" si="64"/>
        <v>57332.01</v>
      </c>
      <c r="W337" s="641">
        <f t="shared" si="65"/>
        <v>3852711</v>
      </c>
      <c r="X337" s="1080">
        <f t="shared" si="58"/>
        <v>2.1403949999999998</v>
      </c>
      <c r="Y337" s="1116">
        <v>1800000</v>
      </c>
      <c r="Z337" s="1117">
        <f t="shared" si="59"/>
        <v>3852710.9999999995</v>
      </c>
      <c r="AA337" s="593">
        <f t="shared" si="57"/>
        <v>315</v>
      </c>
      <c r="AB337" s="643">
        <f>IFERROR(INDEX('[17]CN HĐ'!$M$10:$M$76,MATCH(B337,'[17]CN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4">
        <v>1603205327079</v>
      </c>
      <c r="F338" s="634"/>
      <c r="G338" s="634"/>
      <c r="H338" s="383" t="s">
        <v>2038</v>
      </c>
      <c r="I338" s="635">
        <v>6391108</v>
      </c>
      <c r="J338" s="1058" t="str">
        <f>VLOOKUP(B338,TH.T5!$B$318:$F$647,5,FALSE)</f>
        <v>Nhân viên phòng Thanh tra GD - Quan hệ DN</v>
      </c>
      <c r="K338" s="484">
        <f t="shared" si="62"/>
        <v>4473775.5999999996</v>
      </c>
      <c r="L338" s="636" t="str">
        <f>VLOOKUP(B338,'[24]Gui chi Quynh'!$B$11:$E$400,4,FALSE)</f>
        <v>A4</v>
      </c>
      <c r="M338" s="484">
        <f t="shared" si="66"/>
        <v>4473776</v>
      </c>
      <c r="N338" s="636">
        <v>25</v>
      </c>
      <c r="O338" s="637">
        <f>IFERROR(INDEX('[17]CN HĐ'!$J$10:$J$76,MATCH(B338,'[17]CN HĐ'!$H$10:$H$76,0)),"")</f>
        <v>24</v>
      </c>
      <c r="P338" s="638" t="e">
        <f>IF(M338&gt;#REF!,M338,#REF!)</f>
        <v>#REF!</v>
      </c>
      <c r="Q338" s="484">
        <f t="shared" si="63"/>
        <v>4294825</v>
      </c>
      <c r="R338" s="639"/>
      <c r="S338" s="484">
        <v>0</v>
      </c>
      <c r="T338" s="640"/>
      <c r="U338" s="484">
        <v>0</v>
      </c>
      <c r="V338" s="679">
        <f t="shared" si="64"/>
        <v>63911.08</v>
      </c>
      <c r="W338" s="641">
        <f t="shared" si="65"/>
        <v>4294825</v>
      </c>
      <c r="X338" s="1080">
        <f t="shared" si="58"/>
        <v>2.3860138888888889</v>
      </c>
      <c r="Y338" s="1116">
        <v>1800000</v>
      </c>
      <c r="Z338" s="1117">
        <f t="shared" si="59"/>
        <v>4294825</v>
      </c>
      <c r="AA338" s="593">
        <f t="shared" si="57"/>
        <v>316</v>
      </c>
      <c r="AB338" s="643" t="str">
        <f>IFERROR(INDEX('[17]CN HĐ'!$M$10:$M$76,MATCH(B338,'[17]CN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4" t="s">
        <v>2127</v>
      </c>
      <c r="F339" s="634"/>
      <c r="G339" s="634"/>
      <c r="H339" s="383" t="s">
        <v>2042</v>
      </c>
      <c r="I339" s="635">
        <v>6563942</v>
      </c>
      <c r="J339" s="1058" t="str">
        <f>VLOOKUP(B339,TH.T5!$B$318:$F$647,5,FALSE)</f>
        <v>NV Phòng Tuyển sinh - Đào tạo</v>
      </c>
      <c r="K339" s="484">
        <f t="shared" si="62"/>
        <v>4594759.3999999994</v>
      </c>
      <c r="L339" s="636" t="str">
        <f>VLOOKUP(B339,'[24]Gui chi Quynh'!$B$11:$E$400,4,FALSE)</f>
        <v>A3</v>
      </c>
      <c r="M339" s="484">
        <f t="shared" si="66"/>
        <v>5513711</v>
      </c>
      <c r="N339" s="636">
        <v>25</v>
      </c>
      <c r="O339" s="637">
        <f>IFERROR(INDEX('[17]CN HĐ'!$J$10:$J$76,MATCH(B339,'[17]CN HĐ'!$H$10:$H$76,0)),"")</f>
        <v>25</v>
      </c>
      <c r="P339" s="638" t="e">
        <f>IF(M339&gt;#REF!,M339,#REF!)</f>
        <v>#REF!</v>
      </c>
      <c r="Q339" s="484">
        <f>ROUND(IF(O339&gt;=N339,M339,M339/N339*O339),)</f>
        <v>5513711</v>
      </c>
      <c r="R339" s="639"/>
      <c r="S339" s="484">
        <v>0</v>
      </c>
      <c r="T339" s="640"/>
      <c r="U339" s="484">
        <v>0</v>
      </c>
      <c r="V339" s="679">
        <f t="shared" si="64"/>
        <v>65639.42</v>
      </c>
      <c r="W339" s="641">
        <f t="shared" si="65"/>
        <v>5513711</v>
      </c>
      <c r="X339" s="1080">
        <f t="shared" si="58"/>
        <v>3.063172777777778</v>
      </c>
      <c r="Y339" s="1116">
        <v>1800000</v>
      </c>
      <c r="Z339" s="1117">
        <f t="shared" si="59"/>
        <v>5513711</v>
      </c>
      <c r="AA339" s="593">
        <f t="shared" si="57"/>
        <v>317</v>
      </c>
      <c r="AB339" s="643">
        <f>IFERROR(INDEX('[17]CN HĐ'!$M$10:$M$76,MATCH(B339,'[17]CN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4" t="s">
        <v>2130</v>
      </c>
      <c r="F340" s="634"/>
      <c r="G340" s="634"/>
      <c r="H340" s="383" t="s">
        <v>2042</v>
      </c>
      <c r="I340" s="635">
        <v>5733201</v>
      </c>
      <c r="J340" s="1058" t="str">
        <f>VLOOKUP(B340,TH.T5!$B$318:$F$647,5,FALSE)</f>
        <v>NV phòng TS - Đào tạo</v>
      </c>
      <c r="K340" s="484">
        <f t="shared" si="62"/>
        <v>4013240.6999999997</v>
      </c>
      <c r="L340" s="636" t="str">
        <f>VLOOKUP(B340,'[24]Gui chi Quynh'!$B$11:$E$400,4,FALSE)</f>
        <v>A2</v>
      </c>
      <c r="M340" s="484">
        <f t="shared" si="66"/>
        <v>5618537</v>
      </c>
      <c r="N340" s="636">
        <v>25</v>
      </c>
      <c r="O340" s="637">
        <f>IFERROR(INDEX('[17]CN HĐ'!$J$10:$J$76,MATCH(B340,'[17]CN HĐ'!$H$10:$H$76,0)),"")</f>
        <v>26</v>
      </c>
      <c r="P340" s="638" t="e">
        <f>IF(M340&gt;#REF!,M340,#REF!)</f>
        <v>#REF!</v>
      </c>
      <c r="Q340" s="484">
        <f t="shared" si="63"/>
        <v>5618537</v>
      </c>
      <c r="R340" s="639"/>
      <c r="S340" s="484">
        <v>0</v>
      </c>
      <c r="T340" s="640"/>
      <c r="U340" s="484">
        <v>0</v>
      </c>
      <c r="V340" s="679">
        <f t="shared" si="64"/>
        <v>57332.01</v>
      </c>
      <c r="W340" s="641">
        <f t="shared" si="65"/>
        <v>5618537</v>
      </c>
      <c r="X340" s="1080">
        <f t="shared" si="58"/>
        <v>3.1214094444444442</v>
      </c>
      <c r="Y340" s="1116">
        <v>1800000</v>
      </c>
      <c r="Z340" s="1117">
        <f t="shared" si="59"/>
        <v>5618537</v>
      </c>
      <c r="AA340" s="593">
        <f t="shared" si="57"/>
        <v>318</v>
      </c>
      <c r="AB340" s="643">
        <f>IFERROR(INDEX('[17]CN HĐ'!$M$10:$M$76,MATCH(B340,'[17]CN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4" t="s">
        <v>2133</v>
      </c>
      <c r="F341" s="634"/>
      <c r="G341" s="634"/>
      <c r="H341" s="383" t="s">
        <v>2042</v>
      </c>
      <c r="I341" s="635">
        <v>7515057</v>
      </c>
      <c r="J341" s="1058" t="str">
        <f>VLOOKUP(B341,TH.T5!$B$318:$F$647,5,FALSE)</f>
        <v>NV phòng TS - Đào tạo</v>
      </c>
      <c r="K341" s="484">
        <f t="shared" si="62"/>
        <v>5260539.8999999994</v>
      </c>
      <c r="L341" s="636" t="str">
        <f>VLOOKUP(B341,'[24]Gui chi Quynh'!$B$11:$E$400,4,FALSE)</f>
        <v>A2</v>
      </c>
      <c r="M341" s="484">
        <f t="shared" si="66"/>
        <v>7364756</v>
      </c>
      <c r="N341" s="636">
        <v>25</v>
      </c>
      <c r="O341" s="637">
        <f>IFERROR(INDEX('[17]CN HĐ'!$J$10:$J$76,MATCH(B341,'[17]CN HĐ'!$H$10:$H$76,0)),"")</f>
        <v>25</v>
      </c>
      <c r="P341" s="638" t="e">
        <f>IF(M341&gt;#REF!,M341,#REF!)</f>
        <v>#REF!</v>
      </c>
      <c r="Q341" s="484">
        <f t="shared" si="63"/>
        <v>7364756</v>
      </c>
      <c r="R341" s="639"/>
      <c r="S341" s="484">
        <v>0</v>
      </c>
      <c r="T341" s="640"/>
      <c r="U341" s="484">
        <v>0</v>
      </c>
      <c r="V341" s="679">
        <f t="shared" si="64"/>
        <v>75150.570000000007</v>
      </c>
      <c r="W341" s="641">
        <f t="shared" si="65"/>
        <v>7364756</v>
      </c>
      <c r="X341" s="1080">
        <f t="shared" si="58"/>
        <v>4.0915311111111112</v>
      </c>
      <c r="Y341" s="1116">
        <v>1800000</v>
      </c>
      <c r="Z341" s="1117">
        <f t="shared" si="59"/>
        <v>7364756</v>
      </c>
      <c r="AA341" s="593">
        <f t="shared" si="57"/>
        <v>319</v>
      </c>
      <c r="AB341" s="643">
        <f>IFERROR(INDEX('[17]CN HĐ'!$M$10:$M$76,MATCH(B341,'[17]CN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4" t="s">
        <v>2136</v>
      </c>
      <c r="F342" s="634"/>
      <c r="G342" s="634"/>
      <c r="H342" s="383" t="s">
        <v>2042</v>
      </c>
      <c r="I342" s="635">
        <v>8041111</v>
      </c>
      <c r="J342" s="1058" t="str">
        <f>VLOOKUP(B342,TH.T5!$B$318:$F$647,5,FALSE)</f>
        <v>NV phòng TS - Đào tạo</v>
      </c>
      <c r="K342" s="484">
        <f t="shared" si="62"/>
        <v>5628777.6999999993</v>
      </c>
      <c r="L342" s="636" t="str">
        <f>VLOOKUP(B342,'[24]Gui chi Quynh'!$B$11:$E$400,4,FALSE)</f>
        <v>A2</v>
      </c>
      <c r="M342" s="484">
        <f t="shared" si="66"/>
        <v>7880289</v>
      </c>
      <c r="N342" s="636">
        <v>25</v>
      </c>
      <c r="O342" s="637">
        <f>IFERROR(INDEX('[17]CN HĐ'!$J$10:$J$76,MATCH(B342,'[17]CN HĐ'!$H$10:$H$76,0)),"")</f>
        <v>25</v>
      </c>
      <c r="P342" s="638" t="e">
        <f>IF(M342&gt;#REF!,M342,#REF!)</f>
        <v>#REF!</v>
      </c>
      <c r="Q342" s="484">
        <f t="shared" si="63"/>
        <v>7880289</v>
      </c>
      <c r="R342" s="639"/>
      <c r="S342" s="484">
        <v>0</v>
      </c>
      <c r="T342" s="640"/>
      <c r="U342" s="484">
        <v>0</v>
      </c>
      <c r="V342" s="679">
        <f t="shared" si="64"/>
        <v>80411.11</v>
      </c>
      <c r="W342" s="641">
        <f t="shared" si="65"/>
        <v>7880289</v>
      </c>
      <c r="X342" s="1080">
        <f t="shared" si="58"/>
        <v>4.3779383333333337</v>
      </c>
      <c r="Y342" s="1116">
        <v>1800000</v>
      </c>
      <c r="Z342" s="1117">
        <f t="shared" si="59"/>
        <v>7880289.0000000009</v>
      </c>
      <c r="AA342" s="593">
        <f t="shared" si="57"/>
        <v>320</v>
      </c>
      <c r="AB342" s="643">
        <f>IFERROR(INDEX('[17]CN HĐ'!$M$10:$M$76,MATCH(B342,'[17]CN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4"/>
      <c r="F343" s="634"/>
      <c r="G343" s="634"/>
      <c r="H343" s="383" t="s">
        <v>2042</v>
      </c>
      <c r="I343" s="635">
        <f>5358132</f>
        <v>5358132</v>
      </c>
      <c r="J343" s="1058" t="str">
        <f>VLOOKUP(B343,TH.T5!$B$318:$F$647,5,FALSE)</f>
        <v>NV phòng TS - Đào tạo</v>
      </c>
      <c r="K343" s="484">
        <f t="shared" si="62"/>
        <v>3750692.4</v>
      </c>
      <c r="L343" s="636" t="str">
        <f>VLOOKUP(B343,'[24]Gui chi Quynh'!$B$11:$E$400,4,FALSE)</f>
        <v>A2</v>
      </c>
      <c r="M343" s="484">
        <f t="shared" si="66"/>
        <v>5250969</v>
      </c>
      <c r="N343" s="636">
        <v>25</v>
      </c>
      <c r="O343" s="637">
        <f>IFERROR(INDEX('[17]CN HĐ'!$J$10:$J$76,MATCH(B343,'[17]CN HĐ'!$H$10:$H$76,0)),"")</f>
        <v>25</v>
      </c>
      <c r="P343" s="638"/>
      <c r="Q343" s="484">
        <f t="shared" si="63"/>
        <v>5250969</v>
      </c>
      <c r="R343" s="639"/>
      <c r="S343" s="484">
        <v>0</v>
      </c>
      <c r="T343" s="640"/>
      <c r="U343" s="484">
        <v>0</v>
      </c>
      <c r="V343" s="679">
        <f t="shared" si="64"/>
        <v>53581.32</v>
      </c>
      <c r="W343" s="641">
        <f t="shared" si="65"/>
        <v>5250969</v>
      </c>
      <c r="X343" s="1080">
        <f t="shared" si="58"/>
        <v>2.917205</v>
      </c>
      <c r="Y343" s="1116">
        <v>1800000</v>
      </c>
      <c r="Z343" s="1117">
        <f t="shared" si="59"/>
        <v>5250969</v>
      </c>
      <c r="AA343" s="593">
        <f t="shared" ref="AA343:AA353" si="67">A343</f>
        <v>321</v>
      </c>
      <c r="AB343" s="643">
        <f>IFERROR(INDEX('[17]CN HĐ'!$M$10:$M$76,MATCH(B343,'[17]CN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7" t="s">
        <v>2141</v>
      </c>
      <c r="F344" s="667"/>
      <c r="G344" s="667"/>
      <c r="H344" s="383" t="s">
        <v>2031</v>
      </c>
      <c r="I344" s="635">
        <v>5417685</v>
      </c>
      <c r="J344" s="1058" t="str">
        <f>VLOOKUP(B344,TH.T5!$B$318:$F$647,5,FALSE)</f>
        <v>NV TT Điều hành và QLDL</v>
      </c>
      <c r="K344" s="484">
        <f t="shared" si="62"/>
        <v>1625305.5</v>
      </c>
      <c r="L344" s="636" t="str">
        <f>VLOOKUP(B344,'[24]Gui chi Quynh'!$B$11:$E$400,4,FALSE)</f>
        <v>A4</v>
      </c>
      <c r="M344" s="484">
        <f t="shared" si="66"/>
        <v>1625306</v>
      </c>
      <c r="N344" s="636">
        <v>25</v>
      </c>
      <c r="O344" s="637">
        <f>IFERROR(INDEX('[17]CN HĐ'!$J$10:$J$76,MATCH(B344,'[17]CN HĐ'!$H$10:$H$76,0)),"")</f>
        <v>25</v>
      </c>
      <c r="P344" s="638" t="e">
        <f>IF(M344&gt;#REF!,M344,#REF!)</f>
        <v>#REF!</v>
      </c>
      <c r="Q344" s="484">
        <f t="shared" si="63"/>
        <v>1625306</v>
      </c>
      <c r="R344" s="639"/>
      <c r="S344" s="484">
        <v>0</v>
      </c>
      <c r="T344" s="640"/>
      <c r="U344" s="484">
        <v>0</v>
      </c>
      <c r="V344" s="679">
        <f t="shared" si="64"/>
        <v>54176.85</v>
      </c>
      <c r="W344" s="641">
        <f t="shared" si="65"/>
        <v>1625306</v>
      </c>
      <c r="X344" s="1080">
        <f t="shared" ref="X344:X353" si="68">W344/Y344</f>
        <v>0.90294777777777779</v>
      </c>
      <c r="Y344" s="1116">
        <v>1800000</v>
      </c>
      <c r="Z344" s="1117">
        <f t="shared" ref="Z344:Z353" si="69">X344*Y344</f>
        <v>1625306</v>
      </c>
      <c r="AA344" s="593">
        <f t="shared" si="67"/>
        <v>322</v>
      </c>
      <c r="AB344" s="643">
        <f>IFERROR(INDEX('[17]CN HĐ'!$M$10:$M$76,MATCH(B344,'[17]CN HĐ'!$H$10:$H$76,0)),"")</f>
        <v>0</v>
      </c>
      <c r="AC344" s="114" t="str">
        <f>VLOOKUP(B344,TH.T4!B340:AC670,28,FALSE)</f>
        <v>TTĐHDL</v>
      </c>
    </row>
    <row r="345" spans="1:52" s="387" customFormat="1" ht="33.75" customHeight="1">
      <c r="A345" s="394">
        <f>_xlfn.AGGREGATE(4,7,A$22:A344)+1</f>
        <v>323</v>
      </c>
      <c r="B345" s="462" t="s">
        <v>2142</v>
      </c>
      <c r="C345" s="436"/>
      <c r="D345" s="435"/>
      <c r="E345" s="634"/>
      <c r="F345" s="634"/>
      <c r="G345" s="634"/>
      <c r="H345" s="383" t="s">
        <v>2038</v>
      </c>
      <c r="I345" s="635">
        <v>5007600</v>
      </c>
      <c r="J345" s="1058" t="str">
        <f>VLOOKUP(B345,TH.T5!$B$318:$F$647,5,FALSE)</f>
        <v>NV TT Điều hành và QLDL</v>
      </c>
      <c r="K345" s="484">
        <f t="shared" si="62"/>
        <v>3505320</v>
      </c>
      <c r="L345" s="636" t="str">
        <f>VLOOKUP(B345,'[24]Gui chi Quynh'!$B$11:$E$400,4,FALSE)</f>
        <v>A1</v>
      </c>
      <c r="M345" s="484">
        <f t="shared" si="66"/>
        <v>5608512</v>
      </c>
      <c r="N345" s="636">
        <v>25</v>
      </c>
      <c r="O345" s="637">
        <f>IFERROR(INDEX('[17]CN HĐ'!$J$10:$J$76,MATCH(B345,'[17]CN HĐ'!$H$10:$H$76,0)),"")</f>
        <v>25</v>
      </c>
      <c r="P345" s="638"/>
      <c r="Q345" s="484">
        <f t="shared" si="63"/>
        <v>5608512</v>
      </c>
      <c r="R345" s="639"/>
      <c r="S345" s="484">
        <v>0</v>
      </c>
      <c r="T345" s="640"/>
      <c r="U345" s="484">
        <v>0</v>
      </c>
      <c r="V345" s="679">
        <f t="shared" si="64"/>
        <v>50076</v>
      </c>
      <c r="W345" s="641">
        <f t="shared" si="65"/>
        <v>5608512</v>
      </c>
      <c r="X345" s="1080">
        <f t="shared" si="68"/>
        <v>3.1158399999999999</v>
      </c>
      <c r="Y345" s="1116">
        <v>1800000</v>
      </c>
      <c r="Z345" s="1117">
        <f t="shared" si="69"/>
        <v>5608512</v>
      </c>
      <c r="AA345" s="593">
        <f t="shared" si="67"/>
        <v>323</v>
      </c>
      <c r="AB345" s="643">
        <f>IFERROR(INDEX('[17]CN HĐ'!$M$10:$M$76,MATCH(B345,'[17]CN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4"/>
      <c r="F346" s="634"/>
      <c r="G346" s="634"/>
      <c r="H346" s="383" t="s">
        <v>2038</v>
      </c>
      <c r="I346" s="635">
        <v>5007600</v>
      </c>
      <c r="J346" s="1058" t="str">
        <f>VLOOKUP(B346,TH.T5!$B$318:$F$647,5,FALSE)</f>
        <v>NV TT Điều hành và QLDL</v>
      </c>
      <c r="K346" s="484">
        <f t="shared" si="62"/>
        <v>3505320</v>
      </c>
      <c r="L346" s="636" t="str">
        <f>VLOOKUP(B346,'[24]Gui chi Quynh'!$B$11:$E$400,4,FALSE)</f>
        <v>A4</v>
      </c>
      <c r="M346" s="484">
        <f t="shared" si="66"/>
        <v>3505320</v>
      </c>
      <c r="N346" s="636">
        <v>25</v>
      </c>
      <c r="O346" s="637">
        <f>IFERROR(INDEX('[17]CN HĐ'!$J$10:$J$76,MATCH(B346,'[17]CN HĐ'!$H$10:$H$76,0)),"")</f>
        <v>24</v>
      </c>
      <c r="P346" s="638"/>
      <c r="Q346" s="484">
        <f t="shared" si="63"/>
        <v>3365107</v>
      </c>
      <c r="R346" s="639"/>
      <c r="S346" s="484">
        <v>0</v>
      </c>
      <c r="T346" s="640"/>
      <c r="U346" s="484">
        <v>0</v>
      </c>
      <c r="V346" s="484">
        <f t="shared" si="64"/>
        <v>50076</v>
      </c>
      <c r="W346" s="641">
        <f t="shared" si="65"/>
        <v>3365107</v>
      </c>
      <c r="X346" s="1080">
        <f t="shared" si="68"/>
        <v>1.8695038888888889</v>
      </c>
      <c r="Y346" s="1116">
        <v>1800000</v>
      </c>
      <c r="Z346" s="1117">
        <f t="shared" si="69"/>
        <v>3365107</v>
      </c>
      <c r="AA346" s="593">
        <f t="shared" si="67"/>
        <v>324</v>
      </c>
      <c r="AB346" s="643" t="str">
        <f>IFERROR(INDEX('[17]CN HĐ'!$M$10:$M$76,MATCH(B346,'[17]CN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4">
        <v>1603205351493</v>
      </c>
      <c r="F347" s="634"/>
      <c r="G347" s="634"/>
      <c r="H347" s="383" t="s">
        <v>2042</v>
      </c>
      <c r="I347" s="635">
        <v>7515057</v>
      </c>
      <c r="J347" s="1058" t="str">
        <f>VLOOKUP(B347,TH.T5!$B$318:$F$647,5,FALSE)</f>
        <v>NV phòng Khảo thí và ĐBCL</v>
      </c>
      <c r="K347" s="484">
        <f t="shared" si="62"/>
        <v>5260539.8999999994</v>
      </c>
      <c r="L347" s="636" t="str">
        <f>VLOOKUP(B347,'[24]Gui chi Quynh'!$B$11:$E$400,4,FALSE)</f>
        <v>A3</v>
      </c>
      <c r="M347" s="484">
        <f t="shared" si="66"/>
        <v>6312648</v>
      </c>
      <c r="N347" s="636">
        <v>25</v>
      </c>
      <c r="O347" s="637">
        <f>IFERROR(INDEX('[17]CN HĐ'!$J$10:$J$76,MATCH(B347,'[17]CN HĐ'!$H$10:$H$76,0)),"")</f>
        <v>25</v>
      </c>
      <c r="P347" s="638" t="e">
        <f>IF(M347&gt;#REF!,M347,#REF!)</f>
        <v>#REF!</v>
      </c>
      <c r="Q347" s="484">
        <f t="shared" si="63"/>
        <v>6312648</v>
      </c>
      <c r="R347" s="639"/>
      <c r="S347" s="484">
        <v>0</v>
      </c>
      <c r="T347" s="640"/>
      <c r="U347" s="484">
        <v>0</v>
      </c>
      <c r="V347" s="679">
        <f t="shared" si="64"/>
        <v>75150.570000000007</v>
      </c>
      <c r="W347" s="641">
        <f t="shared" si="65"/>
        <v>6312648</v>
      </c>
      <c r="X347" s="1080">
        <f t="shared" si="68"/>
        <v>3.5070266666666665</v>
      </c>
      <c r="Y347" s="1116">
        <v>1800000</v>
      </c>
      <c r="Z347" s="1117">
        <f t="shared" si="69"/>
        <v>6312648</v>
      </c>
      <c r="AA347" s="593">
        <f t="shared" si="67"/>
        <v>325</v>
      </c>
      <c r="AB347" s="643">
        <f>IFERROR(INDEX('[17]CN HĐ'!$M$10:$M$76,MATCH(B347,'[17]CN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5">
        <v>10540257</v>
      </c>
      <c r="J348" s="1058" t="str">
        <f>VLOOKUP(B348,TH.T5!$B$318:$F$647,5,FALSE)</f>
        <v>Khoa Động lực</v>
      </c>
      <c r="K348" s="484">
        <f t="shared" si="62"/>
        <v>7378179.8999999994</v>
      </c>
      <c r="L348" s="636" t="str">
        <f>VLOOKUP(B348,'[24]Gui chi Quynh'!$B$11:$E$400,4,FALSE)</f>
        <v>A4</v>
      </c>
      <c r="M348" s="484">
        <f t="shared" si="66"/>
        <v>7378180</v>
      </c>
      <c r="N348" s="636">
        <v>25</v>
      </c>
      <c r="O348" s="637">
        <f>IFERROR(INDEX('[17]CN HĐ'!$J$10:$J$76,MATCH(B348,'[17]CN HĐ'!$H$10:$H$76,0)),"")</f>
        <v>24</v>
      </c>
      <c r="P348" s="638" t="e">
        <f>IF(M348&gt;#REF!,M348,#REF!)</f>
        <v>#REF!</v>
      </c>
      <c r="Q348" s="484">
        <f t="shared" si="63"/>
        <v>7083053</v>
      </c>
      <c r="R348" s="639"/>
      <c r="S348" s="484">
        <v>0</v>
      </c>
      <c r="T348" s="640"/>
      <c r="U348" s="484">
        <v>0</v>
      </c>
      <c r="V348" s="679">
        <f t="shared" si="64"/>
        <v>105402.57</v>
      </c>
      <c r="W348" s="641">
        <f t="shared" si="65"/>
        <v>7083053</v>
      </c>
      <c r="X348" s="1080">
        <f t="shared" si="68"/>
        <v>3.9350294444444445</v>
      </c>
      <c r="Y348" s="1116">
        <v>1800000</v>
      </c>
      <c r="Z348" s="1117">
        <f t="shared" si="69"/>
        <v>7083053</v>
      </c>
      <c r="AA348" s="593">
        <f t="shared" si="67"/>
        <v>326</v>
      </c>
      <c r="AB348" s="643">
        <f>IFERROR(INDEX('[17]CN HĐ'!$M$10:$M$76,MATCH(B348,'[17]CN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5">
        <v>6086769</v>
      </c>
      <c r="J349" s="1058" t="str">
        <f>VLOOKUP(B349,TH.T5!$B$318:$F$647,5,FALSE)</f>
        <v>NV TT Đào tạo Lý Tự Trọng</v>
      </c>
      <c r="K349" s="484">
        <f t="shared" si="62"/>
        <v>4260738.3</v>
      </c>
      <c r="L349" s="636" t="str">
        <f>VLOOKUP(B349,'[24]Gui chi Quynh'!$B$11:$E$400,4,FALSE)</f>
        <v>A4</v>
      </c>
      <c r="M349" s="484">
        <f t="shared" si="66"/>
        <v>4260738</v>
      </c>
      <c r="N349" s="636">
        <v>25</v>
      </c>
      <c r="O349" s="637">
        <f>IFERROR(INDEX('[17]CN HĐ'!$J$10:$J$76,MATCH(B349,'[17]CN HĐ'!$H$10:$H$76,0)),"")</f>
        <v>25</v>
      </c>
      <c r="P349" s="638"/>
      <c r="Q349" s="484">
        <f t="shared" si="63"/>
        <v>4260738</v>
      </c>
      <c r="R349" s="639"/>
      <c r="S349" s="484">
        <v>0</v>
      </c>
      <c r="T349" s="640"/>
      <c r="U349" s="484">
        <v>0</v>
      </c>
      <c r="V349" s="679">
        <f t="shared" si="64"/>
        <v>60867.69</v>
      </c>
      <c r="W349" s="641">
        <f t="shared" si="65"/>
        <v>4260738</v>
      </c>
      <c r="X349" s="1080">
        <f t="shared" si="68"/>
        <v>2.3670766666666667</v>
      </c>
      <c r="Y349" s="1116">
        <v>1800000</v>
      </c>
      <c r="Z349" s="1117">
        <f t="shared" si="69"/>
        <v>4260738</v>
      </c>
      <c r="AA349" s="593">
        <f t="shared" si="67"/>
        <v>327</v>
      </c>
      <c r="AB349" s="643">
        <f>IFERROR(INDEX('[17]CN HĐ'!$M$10:$M$76,MATCH(B349,'[17]CN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7"/>
      <c r="F350" s="667"/>
      <c r="G350" s="667"/>
      <c r="H350" s="383" t="s">
        <v>2031</v>
      </c>
      <c r="I350" s="635">
        <v>4680000</v>
      </c>
      <c r="J350" s="1058" t="str">
        <f>VLOOKUP(B350,TH.T5!$B$318:$F$647,5,FALSE)</f>
        <v>NV TT Đào tạo Lý Tự Trọng</v>
      </c>
      <c r="K350" s="484">
        <f t="shared" si="62"/>
        <v>1404000</v>
      </c>
      <c r="L350" s="636" t="str">
        <f>VLOOKUP(B350,'[24]Gui chi Quynh'!$B$11:$E$400,4,FALSE)</f>
        <v>A3</v>
      </c>
      <c r="M350" s="484">
        <f t="shared" si="66"/>
        <v>1684800</v>
      </c>
      <c r="N350" s="636">
        <v>25</v>
      </c>
      <c r="O350" s="637">
        <f>IFERROR(INDEX('[17]CN HĐ'!$J$10:$J$76,MATCH(B350,'[17]CN HĐ'!$H$10:$H$76,0)),"")</f>
        <v>25</v>
      </c>
      <c r="P350" s="638"/>
      <c r="Q350" s="484">
        <f t="shared" si="63"/>
        <v>1684800</v>
      </c>
      <c r="R350" s="639"/>
      <c r="S350" s="484">
        <v>0</v>
      </c>
      <c r="T350" s="640"/>
      <c r="U350" s="484">
        <v>0</v>
      </c>
      <c r="V350" s="679">
        <f t="shared" si="64"/>
        <v>46800</v>
      </c>
      <c r="W350" s="641">
        <f t="shared" si="65"/>
        <v>1684800</v>
      </c>
      <c r="X350" s="1080">
        <f t="shared" si="68"/>
        <v>0.93600000000000005</v>
      </c>
      <c r="Y350" s="1116">
        <v>1800000</v>
      </c>
      <c r="Z350" s="1117">
        <f t="shared" si="69"/>
        <v>1684800</v>
      </c>
      <c r="AA350" s="593">
        <f t="shared" si="67"/>
        <v>328</v>
      </c>
      <c r="AB350" s="643">
        <f>IFERROR(INDEX('[17]CN HĐ'!$M$10:$M$76,MATCH(B350,'[17]CN HĐ'!$H$10:$H$76,0)),"")</f>
        <v>0</v>
      </c>
      <c r="AC350" s="114" t="str">
        <f>VLOOKUP(B350,TH.T4!B346:AC676,28,FALSE)</f>
        <v>TTĐT</v>
      </c>
    </row>
    <row r="351" spans="1:52" s="387" customFormat="1" ht="27.75" customHeight="1">
      <c r="A351" s="394">
        <f>_xlfn.AGGREGATE(4,7,A$22:A350)+1</f>
        <v>329</v>
      </c>
      <c r="B351" s="462" t="s">
        <v>2152</v>
      </c>
      <c r="C351" s="436" t="s">
        <v>960</v>
      </c>
      <c r="D351" s="435" t="s">
        <v>2153</v>
      </c>
      <c r="E351" s="634" t="s">
        <v>2154</v>
      </c>
      <c r="F351" s="634"/>
      <c r="G351" s="634"/>
      <c r="H351" s="383" t="s">
        <v>2042</v>
      </c>
      <c r="I351" s="635">
        <v>6563942</v>
      </c>
      <c r="J351" s="1058" t="str">
        <f>VLOOKUP(B351,TH.T5!$B$318:$F$647,5,FALSE)</f>
        <v xml:space="preserve">NV Thư viện  </v>
      </c>
      <c r="K351" s="484">
        <f t="shared" si="62"/>
        <v>4594759.3999999994</v>
      </c>
      <c r="L351" s="636" t="str">
        <f>VLOOKUP(B351,'[24]Gui chi Quynh'!$B$11:$E$400,4,FALSE)</f>
        <v>A3</v>
      </c>
      <c r="M351" s="484">
        <f t="shared" si="66"/>
        <v>5513711</v>
      </c>
      <c r="N351" s="636">
        <v>25</v>
      </c>
      <c r="O351" s="637">
        <f>IFERROR(INDEX('[17]CN HĐ'!$J$10:$J$76,MATCH(B351,'[17]CN HĐ'!$H$10:$H$76,0)),"")</f>
        <v>23</v>
      </c>
      <c r="P351" s="638" t="e">
        <f>IF(M351&gt;#REF!,M351,#REF!)</f>
        <v>#REF!</v>
      </c>
      <c r="Q351" s="484">
        <f t="shared" si="63"/>
        <v>5072614</v>
      </c>
      <c r="R351" s="639"/>
      <c r="S351" s="484">
        <v>0</v>
      </c>
      <c r="T351" s="640"/>
      <c r="U351" s="484">
        <v>0</v>
      </c>
      <c r="V351" s="679">
        <f t="shared" si="64"/>
        <v>65639.42</v>
      </c>
      <c r="W351" s="641">
        <f t="shared" si="65"/>
        <v>5072614</v>
      </c>
      <c r="X351" s="1080">
        <f t="shared" si="68"/>
        <v>2.8181188888888888</v>
      </c>
      <c r="Y351" s="1116">
        <v>1800000</v>
      </c>
      <c r="Z351" s="1117">
        <f t="shared" si="69"/>
        <v>5072614</v>
      </c>
      <c r="AA351" s="593">
        <f t="shared" si="67"/>
        <v>329</v>
      </c>
      <c r="AB351" s="643" t="str">
        <f>IFERROR(INDEX('[17]CN HĐ'!$M$10:$M$76,MATCH(B351,'[17]CN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4"/>
      <c r="F352" s="634"/>
      <c r="G352" s="634"/>
      <c r="H352" s="383" t="s">
        <v>2038</v>
      </c>
      <c r="I352" s="635">
        <v>5520879</v>
      </c>
      <c r="J352" s="1058" t="str">
        <f>VLOOKUP(B352,TH.T5!$B$318:$F$647,5,FALSE)</f>
        <v xml:space="preserve">NV Thư viện  </v>
      </c>
      <c r="K352" s="484">
        <f t="shared" si="62"/>
        <v>3864615.3</v>
      </c>
      <c r="L352" s="636" t="str">
        <f>VLOOKUP(B352,'[24]Gui chi Quynh'!$B$11:$E$400,4,FALSE)</f>
        <v>A3</v>
      </c>
      <c r="M352" s="484">
        <f t="shared" si="66"/>
        <v>4637538</v>
      </c>
      <c r="N352" s="636">
        <v>25</v>
      </c>
      <c r="O352" s="637">
        <f>IFERROR(INDEX('[17]CN HĐ'!$J$10:$J$76,MATCH(B352,'[17]CN HĐ'!$H$10:$H$76,0)),"")</f>
        <v>25</v>
      </c>
      <c r="P352" s="638" t="e">
        <f>IF(M352&gt;#REF!,M352,#REF!)</f>
        <v>#REF!</v>
      </c>
      <c r="Q352" s="484">
        <f t="shared" si="63"/>
        <v>4637538</v>
      </c>
      <c r="R352" s="639"/>
      <c r="S352" s="484">
        <v>0</v>
      </c>
      <c r="T352" s="640"/>
      <c r="U352" s="484">
        <v>0</v>
      </c>
      <c r="V352" s="679">
        <f t="shared" si="64"/>
        <v>55208.79</v>
      </c>
      <c r="W352" s="641">
        <f t="shared" si="65"/>
        <v>4637538</v>
      </c>
      <c r="X352" s="1080">
        <f t="shared" si="68"/>
        <v>2.5764100000000001</v>
      </c>
      <c r="Y352" s="1116">
        <v>1800000</v>
      </c>
      <c r="Z352" s="1117">
        <f t="shared" si="69"/>
        <v>4637538</v>
      </c>
      <c r="AA352" s="593">
        <f t="shared" si="67"/>
        <v>330</v>
      </c>
      <c r="AB352" s="643">
        <f>IFERROR(INDEX('[17]CN HĐ'!$M$10:$M$76,MATCH(B352,'[17]CN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8" t="s">
        <v>2158</v>
      </c>
      <c r="F353" s="669"/>
      <c r="G353" s="669"/>
      <c r="H353" s="86" t="s">
        <v>2042</v>
      </c>
      <c r="I353" s="635">
        <v>6563942</v>
      </c>
      <c r="J353" s="1058" t="str">
        <f>VLOOKUP(B353,TH.T5!$B$318:$F$647,5,FALSE)</f>
        <v xml:space="preserve">NV Thư viện  </v>
      </c>
      <c r="K353" s="484">
        <f t="shared" si="62"/>
        <v>4594759.3999999994</v>
      </c>
      <c r="L353" s="636" t="str">
        <f>VLOOKUP(B353,'[24]Gui chi Quynh'!$B$11:$E$400,4,FALSE)</f>
        <v>A4</v>
      </c>
      <c r="M353" s="484">
        <f t="shared" si="66"/>
        <v>4594759</v>
      </c>
      <c r="N353" s="636">
        <v>25</v>
      </c>
      <c r="O353" s="637">
        <f>IFERROR(INDEX('[17]CN HĐ'!$J$10:$J$76,MATCH(B353,'[17]CN HĐ'!$H$10:$H$76,0)),"")</f>
        <v>20</v>
      </c>
      <c r="P353" s="638" t="e">
        <f>IF(M353&gt;#REF!,M353,#REF!)</f>
        <v>#REF!</v>
      </c>
      <c r="Q353" s="484">
        <f t="shared" si="63"/>
        <v>3675807</v>
      </c>
      <c r="R353" s="639"/>
      <c r="S353" s="484">
        <v>0</v>
      </c>
      <c r="T353" s="640"/>
      <c r="U353" s="484">
        <v>0</v>
      </c>
      <c r="V353" s="679">
        <f t="shared" si="64"/>
        <v>65639.42</v>
      </c>
      <c r="W353" s="641">
        <f t="shared" si="65"/>
        <v>3675807</v>
      </c>
      <c r="X353" s="1080">
        <f t="shared" si="68"/>
        <v>2.0421149999999999</v>
      </c>
      <c r="Y353" s="1116">
        <v>1800000</v>
      </c>
      <c r="Z353" s="1117">
        <f t="shared" si="69"/>
        <v>3675807</v>
      </c>
      <c r="AA353" s="593">
        <f t="shared" si="67"/>
        <v>331</v>
      </c>
      <c r="AB353" s="643" t="str">
        <f>IFERROR(INDEX('[17]CN HĐ'!$M$10:$M$76,MATCH(B353,'[17]CN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4">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09"/>
      <c r="W355" s="3"/>
      <c r="X355" s="3"/>
      <c r="Y355" s="3"/>
      <c r="Z355" s="3"/>
    </row>
    <row r="356" spans="1:52" s="16" customFormat="1" ht="21.75" customHeight="1">
      <c r="B356" s="510" t="s">
        <v>2260</v>
      </c>
      <c r="C356" s="19"/>
      <c r="D356" s="19"/>
      <c r="E356" s="19"/>
      <c r="F356" s="19"/>
      <c r="G356" s="15"/>
      <c r="H356" s="15"/>
      <c r="I356" s="15"/>
      <c r="J356" s="15"/>
      <c r="K356" s="85"/>
      <c r="L356" s="369"/>
      <c r="M356" s="1093"/>
      <c r="N356" s="17"/>
      <c r="O356" s="1093"/>
      <c r="P356" s="1093"/>
      <c r="Q356" s="48"/>
      <c r="R356" s="468"/>
      <c r="S356" s="17"/>
      <c r="T356" s="397"/>
      <c r="U356" s="17"/>
      <c r="V356" s="607"/>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3"/>
      <c r="N357" s="17"/>
      <c r="O357" s="1093"/>
      <c r="P357" s="1093"/>
      <c r="Q357" s="48"/>
      <c r="R357" s="468"/>
      <c r="S357" s="17"/>
      <c r="T357" s="397"/>
      <c r="U357" s="17"/>
      <c r="V357" s="607"/>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699" t="s">
        <v>2258</v>
      </c>
      <c r="V358" s="1699"/>
      <c r="W358" s="1699"/>
      <c r="X358" s="1699"/>
      <c r="Y358" s="1699"/>
      <c r="Z358" s="1699"/>
      <c r="AA358" s="1699"/>
      <c r="AB358" s="1699"/>
    </row>
    <row r="359" spans="1:52" s="16" customFormat="1">
      <c r="A359" s="1678" t="s">
        <v>859</v>
      </c>
      <c r="B359" s="1678"/>
      <c r="C359" s="19"/>
      <c r="D359" s="19"/>
      <c r="E359" s="19"/>
      <c r="F359" s="1681" t="s">
        <v>1191</v>
      </c>
      <c r="G359" s="1681"/>
      <c r="H359" s="1681"/>
      <c r="I359" s="1681"/>
      <c r="J359" s="1681"/>
      <c r="K359" s="1681"/>
      <c r="L359" s="1681"/>
      <c r="M359" s="1681"/>
      <c r="N359" s="1681"/>
      <c r="O359" s="1681"/>
      <c r="P359" s="1681"/>
      <c r="Q359" s="1681"/>
      <c r="R359" s="1681"/>
      <c r="S359" s="1681"/>
      <c r="T359" s="1681"/>
      <c r="U359" s="1681"/>
      <c r="V359" s="1681"/>
      <c r="W359" s="1681"/>
      <c r="X359" s="1681"/>
      <c r="Y359" s="1681"/>
      <c r="Z359" s="1678" t="s">
        <v>41</v>
      </c>
      <c r="AA359" s="1678"/>
      <c r="AB359" s="1678"/>
      <c r="AC359" s="111"/>
      <c r="AD359" s="514"/>
      <c r="AF359" s="158"/>
    </row>
    <row r="360" spans="1:52" s="16" customFormat="1" ht="13.5" customHeight="1">
      <c r="A360" s="1085"/>
      <c r="B360" s="1085"/>
      <c r="C360" s="19"/>
      <c r="D360" s="19"/>
      <c r="E360" s="19"/>
      <c r="F360" s="19"/>
      <c r="G360" s="19"/>
      <c r="H360" s="19"/>
      <c r="I360" s="19"/>
      <c r="J360" s="1085"/>
      <c r="K360" s="235"/>
      <c r="L360" s="366"/>
      <c r="M360" s="681"/>
      <c r="N360" s="14"/>
      <c r="O360" s="1085"/>
      <c r="P360" s="19"/>
      <c r="Q360" s="1085"/>
      <c r="R360" s="475"/>
      <c r="S360" s="1085"/>
      <c r="T360" s="403"/>
      <c r="V360" s="615"/>
      <c r="W360" s="1085"/>
      <c r="X360" s="1085"/>
      <c r="Y360" s="1085"/>
      <c r="Z360" s="1085"/>
      <c r="AB360" s="103"/>
      <c r="AC360" s="111"/>
      <c r="AD360" s="514"/>
      <c r="AF360" s="158"/>
    </row>
    <row r="361" spans="1:52" s="16" customFormat="1" ht="10.5" customHeight="1">
      <c r="A361" s="1085"/>
      <c r="B361" s="1085"/>
      <c r="C361" s="19"/>
      <c r="D361" s="19"/>
      <c r="E361" s="19"/>
      <c r="F361" s="19"/>
      <c r="G361" s="19"/>
      <c r="H361" s="19"/>
      <c r="I361" s="19"/>
      <c r="J361" s="1085"/>
      <c r="K361" s="235"/>
      <c r="L361" s="366"/>
      <c r="M361" s="681">
        <f>COUNTIF(M24:M289,"A1")</f>
        <v>34</v>
      </c>
      <c r="N361" s="14"/>
      <c r="O361" s="1085"/>
      <c r="P361" s="19"/>
      <c r="Q361" s="1085"/>
      <c r="R361" s="475"/>
      <c r="S361" s="1085"/>
      <c r="T361" s="403"/>
      <c r="V361" s="615"/>
      <c r="W361" s="1085"/>
      <c r="X361" s="1085"/>
      <c r="Y361" s="1085"/>
      <c r="Z361" s="1085"/>
      <c r="AB361" s="103"/>
      <c r="AC361" s="111"/>
      <c r="AD361" s="514"/>
      <c r="AF361" s="158"/>
    </row>
    <row r="362" spans="1:52" s="16" customFormat="1" ht="13.5" customHeight="1">
      <c r="H362" s="1094"/>
      <c r="I362" s="1093"/>
      <c r="K362" s="235"/>
      <c r="L362" s="372"/>
      <c r="M362" s="681">
        <f>COUNTIF($M$23:$M$288,"A2")</f>
        <v>38</v>
      </c>
      <c r="N362" s="1085"/>
      <c r="O362" s="1085"/>
      <c r="P362" s="1093"/>
      <c r="Q362" s="1093"/>
      <c r="R362" s="476"/>
      <c r="S362" s="1093"/>
      <c r="T362" s="404"/>
      <c r="U362" s="1093"/>
      <c r="V362" s="616"/>
      <c r="W362" s="1093"/>
      <c r="X362" s="1093"/>
      <c r="Y362" s="1093"/>
      <c r="Z362" s="1093"/>
      <c r="AB362" s="101"/>
      <c r="AC362" s="111"/>
      <c r="AD362" s="514"/>
      <c r="AF362" s="158"/>
    </row>
    <row r="363" spans="1:52" s="16" customFormat="1" ht="13.5" customHeight="1">
      <c r="H363" s="1094"/>
      <c r="I363" s="1093"/>
      <c r="K363" s="235"/>
      <c r="L363" s="372"/>
      <c r="M363" s="681">
        <f>COUNTIF($M$23:$M$288,"A3")</f>
        <v>108</v>
      </c>
      <c r="N363" s="1085"/>
      <c r="O363" s="1085"/>
      <c r="P363" s="1093"/>
      <c r="Q363" s="410"/>
      <c r="R363" s="476"/>
      <c r="S363" s="1093"/>
      <c r="T363" s="404"/>
      <c r="U363" s="1093"/>
      <c r="V363" s="616"/>
      <c r="W363" s="1093"/>
      <c r="X363" s="1093"/>
      <c r="Y363" s="1093"/>
      <c r="Z363" s="1093"/>
      <c r="AB363" s="466"/>
      <c r="AC363" s="111"/>
      <c r="AD363" s="514"/>
      <c r="AF363" s="158"/>
    </row>
    <row r="364" spans="1:52" s="16" customFormat="1" ht="13.5" customHeight="1">
      <c r="H364" s="1094"/>
      <c r="I364" s="1093"/>
      <c r="K364" s="235"/>
      <c r="L364" s="372"/>
      <c r="M364" s="681">
        <f>COUNTIF($M$23:$M$288,"A4")</f>
        <v>83</v>
      </c>
      <c r="N364" s="1085"/>
      <c r="O364" s="1085"/>
      <c r="P364" s="1093"/>
      <c r="Q364" s="49"/>
      <c r="R364" s="476"/>
      <c r="S364" s="1093"/>
      <c r="T364" s="404"/>
      <c r="U364" s="1093"/>
      <c r="V364" s="616"/>
      <c r="W364" s="49"/>
      <c r="X364" s="49"/>
      <c r="Y364" s="49"/>
      <c r="Z364" s="49"/>
      <c r="AB364" s="101"/>
      <c r="AC364" s="111"/>
      <c r="AD364" s="514"/>
      <c r="AF364" s="158"/>
    </row>
    <row r="365" spans="1:52" s="16" customFormat="1" ht="13.5" customHeight="1">
      <c r="H365" s="1094"/>
      <c r="I365" s="1093"/>
      <c r="J365" s="1093"/>
      <c r="K365" s="1087"/>
      <c r="L365" s="367"/>
      <c r="M365" s="676"/>
      <c r="N365" s="1085"/>
      <c r="O365" s="1093"/>
      <c r="P365" s="1093"/>
      <c r="Q365" s="1093"/>
      <c r="R365" s="476"/>
      <c r="S365" s="1093"/>
      <c r="T365" s="404"/>
      <c r="U365" s="1093"/>
      <c r="V365" s="616"/>
      <c r="W365" s="1093"/>
      <c r="X365" s="1093"/>
      <c r="Y365" s="1093"/>
      <c r="Z365" s="1093"/>
      <c r="AB365" s="466"/>
      <c r="AC365" s="111"/>
      <c r="AD365" s="514"/>
      <c r="AF365" s="158"/>
    </row>
    <row r="366" spans="1:52" s="16" customFormat="1" ht="13.5" customHeight="1">
      <c r="H366" s="1698"/>
      <c r="I366" s="1698"/>
      <c r="J366" s="1093"/>
      <c r="K366" s="1087"/>
      <c r="L366" s="367"/>
      <c r="M366" s="676"/>
      <c r="N366" s="1085"/>
      <c r="O366" s="1093"/>
      <c r="P366" s="1093"/>
      <c r="Q366" s="1093"/>
      <c r="R366" s="476"/>
      <c r="S366" s="1093"/>
      <c r="T366" s="404"/>
      <c r="U366" s="1093"/>
      <c r="V366" s="616"/>
      <c r="W366" s="1093"/>
      <c r="X366" s="1093"/>
      <c r="Y366" s="1093"/>
      <c r="Z366" s="1093"/>
      <c r="AB366" s="101"/>
      <c r="AC366" s="111"/>
      <c r="AD366" s="514"/>
      <c r="AF366" s="158"/>
    </row>
    <row r="367" spans="1:52" s="16" customFormat="1">
      <c r="A367" s="1678" t="s">
        <v>1827</v>
      </c>
      <c r="B367" s="1678"/>
      <c r="C367" s="1085"/>
      <c r="D367" s="1085"/>
      <c r="E367" s="1085"/>
      <c r="F367" s="1681" t="s">
        <v>1445</v>
      </c>
      <c r="G367" s="1681"/>
      <c r="H367" s="1681"/>
      <c r="I367" s="1681"/>
      <c r="J367" s="1681"/>
      <c r="K367" s="1681"/>
      <c r="L367" s="1681"/>
      <c r="M367" s="1681"/>
      <c r="N367" s="1681"/>
      <c r="O367" s="1681"/>
      <c r="P367" s="1681"/>
      <c r="Q367" s="1681"/>
      <c r="R367" s="1681"/>
      <c r="S367" s="1681"/>
      <c r="T367" s="1681"/>
      <c r="U367" s="1681"/>
      <c r="V367" s="1681"/>
      <c r="W367" s="1681"/>
      <c r="X367" s="1681"/>
      <c r="Y367" s="1681"/>
      <c r="Z367" s="1678" t="s">
        <v>1433</v>
      </c>
      <c r="AA367" s="1678"/>
      <c r="AB367" s="1678"/>
      <c r="AC367" s="111"/>
      <c r="AD367" s="514"/>
      <c r="AF367" s="158"/>
    </row>
    <row r="368" spans="1:52">
      <c r="L368" s="374"/>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712" priority="279" stopIfTrue="1" operator="equal">
      <formula>"KXL"</formula>
    </cfRule>
    <cfRule type="cellIs" dxfId="711" priority="280" stopIfTrue="1" operator="equal">
      <formula>"A DN"</formula>
    </cfRule>
    <cfRule type="cellIs" dxfId="710" priority="281" stopIfTrue="1" operator="equal">
      <formula>"C"</formula>
    </cfRule>
    <cfRule type="cellIs" dxfId="709" priority="282" stopIfTrue="1" operator="equal">
      <formula>"B"</formula>
    </cfRule>
  </conditionalFormatting>
  <conditionalFormatting sqref="B280:C280 R280 T280">
    <cfRule type="cellIs" dxfId="708" priority="275" stopIfTrue="1" operator="equal">
      <formula>"KXL"</formula>
    </cfRule>
    <cfRule type="cellIs" dxfId="707" priority="276" stopIfTrue="1" operator="equal">
      <formula>"A DN"</formula>
    </cfRule>
    <cfRule type="cellIs" dxfId="706" priority="277" stopIfTrue="1" operator="equal">
      <formula>"C"</formula>
    </cfRule>
    <cfRule type="cellIs" dxfId="705" priority="278" stopIfTrue="1" operator="equal">
      <formula>"B"</formula>
    </cfRule>
  </conditionalFormatting>
  <conditionalFormatting sqref="B61:C61 R61 T61 F61:G61 AD61:IY61 AD74:IY74 AD126:IY126 I61">
    <cfRule type="cellIs" dxfId="704" priority="272" stopIfTrue="1" operator="equal">
      <formula>"C"</formula>
    </cfRule>
    <cfRule type="cellIs" dxfId="703" priority="273" stopIfTrue="1" operator="equal">
      <formula>"B"</formula>
    </cfRule>
    <cfRule type="cellIs" dxfId="702" priority="274" stopIfTrue="1" operator="equal">
      <formula>"A DN"</formula>
    </cfRule>
  </conditionalFormatting>
  <conditionalFormatting sqref="R74 B74:C74 T74 F74:G74 I74">
    <cfRule type="cellIs" dxfId="701" priority="269" stopIfTrue="1" operator="equal">
      <formula>"C"</formula>
    </cfRule>
    <cfRule type="cellIs" dxfId="700" priority="270" stopIfTrue="1" operator="equal">
      <formula>"B"</formula>
    </cfRule>
    <cfRule type="cellIs" dxfId="699" priority="271" stopIfTrue="1" operator="equal">
      <formula>"A DN"</formula>
    </cfRule>
  </conditionalFormatting>
  <conditionalFormatting sqref="B126:C126 F126:G126 R126 T126 I126">
    <cfRule type="cellIs" dxfId="698" priority="266" stopIfTrue="1" operator="equal">
      <formula>"C"</formula>
    </cfRule>
    <cfRule type="cellIs" dxfId="697" priority="267" stopIfTrue="1" operator="equal">
      <formula>"B"</formula>
    </cfRule>
    <cfRule type="cellIs" dxfId="696" priority="268" stopIfTrue="1" operator="equal">
      <formula>"A DN"</formula>
    </cfRule>
  </conditionalFormatting>
  <conditionalFormatting sqref="E126">
    <cfRule type="cellIs" dxfId="695" priority="262" stopIfTrue="1" operator="equal">
      <formula>"KXL"</formula>
    </cfRule>
    <cfRule type="cellIs" dxfId="694" priority="263" stopIfTrue="1" operator="equal">
      <formula>"A DN"</formula>
    </cfRule>
    <cfRule type="cellIs" dxfId="693" priority="264" stopIfTrue="1" operator="equal">
      <formula>"C"</formula>
    </cfRule>
    <cfRule type="cellIs" dxfId="692" priority="265" stopIfTrue="1" operator="equal">
      <formula>"B"</formula>
    </cfRule>
  </conditionalFormatting>
  <conditionalFormatting sqref="D28:G28 I28 R28 T28">
    <cfRule type="cellIs" dxfId="691" priority="258" stopIfTrue="1" operator="equal">
      <formula>"KXL"</formula>
    </cfRule>
    <cfRule type="cellIs" dxfId="690" priority="259" stopIfTrue="1" operator="equal">
      <formula>"A DN"</formula>
    </cfRule>
    <cfRule type="cellIs" dxfId="689" priority="260" stopIfTrue="1" operator="equal">
      <formula>"C"</formula>
    </cfRule>
    <cfRule type="cellIs" dxfId="688" priority="261" stopIfTrue="1" operator="equal">
      <formula>"B"</formula>
    </cfRule>
  </conditionalFormatting>
  <conditionalFormatting sqref="D47:G47 R47:R48 I47:I48 T47:T48 D48 F48:G48">
    <cfRule type="cellIs" dxfId="687" priority="254" stopIfTrue="1" operator="equal">
      <formula>"KXL"</formula>
    </cfRule>
    <cfRule type="cellIs" dxfId="686" priority="255" stopIfTrue="1" operator="equal">
      <formula>"A DN"</formula>
    </cfRule>
    <cfRule type="cellIs" dxfId="685" priority="256" stopIfTrue="1" operator="equal">
      <formula>"C"</formula>
    </cfRule>
    <cfRule type="cellIs" dxfId="684" priority="257" stopIfTrue="1" operator="equal">
      <formula>"B"</formula>
    </cfRule>
  </conditionalFormatting>
  <conditionalFormatting sqref="M23:M288">
    <cfRule type="expression" dxfId="683" priority="251" stopIfTrue="1">
      <formula>"if=B1"</formula>
    </cfRule>
    <cfRule type="expression" dxfId="682" priority="252" stopIfTrue="1">
      <formula>$B12</formula>
    </cfRule>
    <cfRule type="expression" dxfId="681" priority="253" stopIfTrue="1">
      <formula>B12</formula>
    </cfRule>
  </conditionalFormatting>
  <conditionalFormatting sqref="V94 Q94:S94 L94:L96">
    <cfRule type="cellIs" dxfId="680" priority="247" stopIfTrue="1" operator="equal">
      <formula>"KXL"</formula>
    </cfRule>
    <cfRule type="cellIs" dxfId="679" priority="248" stopIfTrue="1" operator="equal">
      <formula>"A DN"</formula>
    </cfRule>
    <cfRule type="cellIs" dxfId="678" priority="249" stopIfTrue="1" operator="equal">
      <formula>"C"</formula>
    </cfRule>
    <cfRule type="cellIs" dxfId="677" priority="250" stopIfTrue="1" operator="equal">
      <formula>"B"</formula>
    </cfRule>
  </conditionalFormatting>
  <conditionalFormatting sqref="AD94:IY94 D94:I94 T94:U94 K94">
    <cfRule type="cellIs" dxfId="676" priority="243" stopIfTrue="1" operator="equal">
      <formula>"KXL"</formula>
    </cfRule>
    <cfRule type="cellIs" dxfId="675" priority="244" stopIfTrue="1" operator="equal">
      <formula>"A DN"</formula>
    </cfRule>
    <cfRule type="cellIs" dxfId="674" priority="245" stopIfTrue="1" operator="equal">
      <formula>"C"</formula>
    </cfRule>
    <cfRule type="cellIs" dxfId="673" priority="246" stopIfTrue="1" operator="equal">
      <formula>"B"</formula>
    </cfRule>
  </conditionalFormatting>
  <conditionalFormatting sqref="M23:M288">
    <cfRule type="cellIs" dxfId="672" priority="283" stopIfTrue="1" operator="equal">
      <formula>"C2"</formula>
    </cfRule>
    <cfRule type="cellIs" dxfId="671" priority="284" stopIfTrue="1" operator="equal">
      <formula>"C1"</formula>
    </cfRule>
    <cfRule type="cellIs" dxfId="670" priority="285" stopIfTrue="1" operator="equal">
      <formula>"C2"</formula>
    </cfRule>
    <cfRule type="cellIs" dxfId="669" priority="286" stopIfTrue="1" operator="equal">
      <formula>"D"</formula>
    </cfRule>
    <cfRule type="cellIs" dxfId="668" priority="287" stopIfTrue="1" operator="equal">
      <formula>"E"</formula>
    </cfRule>
    <cfRule type="cellIs" dxfId="667" priority="288" stopIfTrue="1" operator="equal">
      <formula>"A DN"</formula>
    </cfRule>
    <cfRule type="cellIs" dxfId="666" priority="289" stopIfTrue="1" operator="equal">
      <formula>"A DN"</formula>
    </cfRule>
    <cfRule type="cellIs" dxfId="665" priority="290" stopIfTrue="1" operator="equal">
      <formula>"E"</formula>
    </cfRule>
    <cfRule type="cellIs" dxfId="664" priority="291" stopIfTrue="1" operator="equal">
      <formula>"D"</formula>
    </cfRule>
    <cfRule type="cellIs" dxfId="663" priority="292" stopIfTrue="1" operator="equal">
      <formula>"D1"</formula>
    </cfRule>
    <cfRule type="cellIs" dxfId="662" priority="293" stopIfTrue="1" operator="equal">
      <formula>"C2"</formula>
    </cfRule>
    <cfRule type="cellIs" dxfId="661" priority="294" stopIfTrue="1" operator="equal">
      <formula>"C1"</formula>
    </cfRule>
    <cfRule type="cellIs" dxfId="660" priority="295" stopIfTrue="1" operator="equal">
      <formula>"B2"</formula>
    </cfRule>
    <cfRule type="cellIs" dxfId="659" priority="296" stopIfTrue="1" operator="equal">
      <formula>"B1"</formula>
    </cfRule>
    <cfRule type="expression" dxfId="658" priority="297" stopIfTrue="1">
      <formula>B12</formula>
    </cfRule>
    <cfRule type="cellIs" dxfId="657" priority="298" stopIfTrue="1" operator="equal">
      <formula>"D"</formula>
    </cfRule>
  </conditionalFormatting>
  <conditionalFormatting sqref="M23:M288">
    <cfRule type="cellIs" dxfId="656" priority="299" stopIfTrue="1" operator="equal">
      <formula>"B1"</formula>
    </cfRule>
    <cfRule type="expression" dxfId="655" priority="300" stopIfTrue="1">
      <formula>B12</formula>
    </cfRule>
  </conditionalFormatting>
  <conditionalFormatting sqref="M23:M288">
    <cfRule type="cellIs" dxfId="654" priority="301" stopIfTrue="1" operator="equal">
      <formula>"B2"</formula>
    </cfRule>
    <cfRule type="expression" dxfId="653"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652" priority="131" stopIfTrue="1" operator="equal">
      <formula>"KXL"</formula>
    </cfRule>
    <cfRule type="cellIs" dxfId="651" priority="132" stopIfTrue="1" operator="equal">
      <formula>"A DN"</formula>
    </cfRule>
    <cfRule type="cellIs" dxfId="650" priority="133" stopIfTrue="1" operator="equal">
      <formula>"C"</formula>
    </cfRule>
    <cfRule type="cellIs" dxfId="649" priority="134" stopIfTrue="1" operator="equal">
      <formula>"B"</formula>
    </cfRule>
  </conditionalFormatting>
  <conditionalFormatting sqref="L289:L353">
    <cfRule type="cellIs" dxfId="648" priority="130" stopIfTrue="1" operator="equal">
      <formula>"D"</formula>
    </cfRule>
  </conditionalFormatting>
  <conditionalFormatting sqref="B293:C305 T293:T305 P293:P305 R293:R305 AD293:IY305">
    <cfRule type="cellIs" dxfId="647" priority="126" stopIfTrue="1" operator="equal">
      <formula>"KXL"</formula>
    </cfRule>
    <cfRule type="cellIs" dxfId="646" priority="127" stopIfTrue="1" operator="equal">
      <formula>"A DN"</formula>
    </cfRule>
    <cfRule type="cellIs" dxfId="645" priority="128" stopIfTrue="1" operator="equal">
      <formula>"C"</formula>
    </cfRule>
    <cfRule type="cellIs" dxfId="644" priority="129" stopIfTrue="1" operator="equal">
      <formula>"B"</formula>
    </cfRule>
  </conditionalFormatting>
  <conditionalFormatting sqref="E310:G310">
    <cfRule type="cellIs" dxfId="643" priority="122" stopIfTrue="1" operator="equal">
      <formula>"KXL"</formula>
    </cfRule>
    <cfRule type="cellIs" dxfId="642" priority="123" stopIfTrue="1" operator="equal">
      <formula>"A DN"</formula>
    </cfRule>
    <cfRule type="cellIs" dxfId="641" priority="124" stopIfTrue="1" operator="equal">
      <formula>"C"</formula>
    </cfRule>
    <cfRule type="cellIs" dxfId="640" priority="125" stopIfTrue="1" operator="equal">
      <formula>"B"</formula>
    </cfRule>
  </conditionalFormatting>
  <conditionalFormatting sqref="H294:H304">
    <cfRule type="cellIs" dxfId="639" priority="118" stopIfTrue="1" operator="equal">
      <formula>"KXL"</formula>
    </cfRule>
    <cfRule type="cellIs" dxfId="638" priority="119" stopIfTrue="1" operator="equal">
      <formula>"A DN"</formula>
    </cfRule>
    <cfRule type="cellIs" dxfId="637" priority="120" stopIfTrue="1" operator="equal">
      <formula>"C"</formula>
    </cfRule>
    <cfRule type="cellIs" dxfId="636" priority="121" stopIfTrue="1" operator="equal">
      <formula>"B"</formula>
    </cfRule>
  </conditionalFormatting>
  <conditionalFormatting sqref="E348:G350">
    <cfRule type="cellIs" dxfId="635" priority="86" stopIfTrue="1" operator="equal">
      <formula>"KXL"</formula>
    </cfRule>
    <cfRule type="cellIs" dxfId="634" priority="87" stopIfTrue="1" operator="equal">
      <formula>"A DN"</formula>
    </cfRule>
    <cfRule type="cellIs" dxfId="633" priority="88" stopIfTrue="1" operator="equal">
      <formula>"C"</formula>
    </cfRule>
    <cfRule type="cellIs" dxfId="632" priority="89" stopIfTrue="1" operator="equal">
      <formula>"B"</formula>
    </cfRule>
  </conditionalFormatting>
  <conditionalFormatting sqref="E306:G306">
    <cfRule type="cellIs" dxfId="631" priority="114" stopIfTrue="1" operator="equal">
      <formula>"KXL"</formula>
    </cfRule>
    <cfRule type="cellIs" dxfId="630" priority="115" stopIfTrue="1" operator="equal">
      <formula>"A DN"</formula>
    </cfRule>
    <cfRule type="cellIs" dxfId="629" priority="116" stopIfTrue="1" operator="equal">
      <formula>"C"</formula>
    </cfRule>
    <cfRule type="cellIs" dxfId="628" priority="117" stopIfTrue="1" operator="equal">
      <formula>"B"</formula>
    </cfRule>
  </conditionalFormatting>
  <conditionalFormatting sqref="E300:G305">
    <cfRule type="cellIs" dxfId="627" priority="110" stopIfTrue="1" operator="equal">
      <formula>"KXL"</formula>
    </cfRule>
    <cfRule type="cellIs" dxfId="626" priority="111" stopIfTrue="1" operator="equal">
      <formula>"A DN"</formula>
    </cfRule>
    <cfRule type="cellIs" dxfId="625" priority="112" stopIfTrue="1" operator="equal">
      <formula>"C"</formula>
    </cfRule>
    <cfRule type="cellIs" dxfId="624" priority="113" stopIfTrue="1" operator="equal">
      <formula>"B"</formula>
    </cfRule>
  </conditionalFormatting>
  <conditionalFormatting sqref="E313:G313">
    <cfRule type="cellIs" dxfId="623" priority="106" stopIfTrue="1" operator="equal">
      <formula>"KXL"</formula>
    </cfRule>
    <cfRule type="cellIs" dxfId="622" priority="107" stopIfTrue="1" operator="equal">
      <formula>"A DN"</formula>
    </cfRule>
    <cfRule type="cellIs" dxfId="621" priority="108" stopIfTrue="1" operator="equal">
      <formula>"C"</formula>
    </cfRule>
    <cfRule type="cellIs" dxfId="620" priority="109" stopIfTrue="1" operator="equal">
      <formula>"B"</formula>
    </cfRule>
  </conditionalFormatting>
  <conditionalFormatting sqref="E323:G323">
    <cfRule type="cellIs" dxfId="619" priority="102" stopIfTrue="1" operator="equal">
      <formula>"KXL"</formula>
    </cfRule>
    <cfRule type="cellIs" dxfId="618" priority="103" stopIfTrue="1" operator="equal">
      <formula>"A DN"</formula>
    </cfRule>
    <cfRule type="cellIs" dxfId="617" priority="104" stopIfTrue="1" operator="equal">
      <formula>"C"</formula>
    </cfRule>
    <cfRule type="cellIs" dxfId="616" priority="105" stopIfTrue="1" operator="equal">
      <formula>"B"</formula>
    </cfRule>
  </conditionalFormatting>
  <conditionalFormatting sqref="E325:G327">
    <cfRule type="cellIs" dxfId="615" priority="98" stopIfTrue="1" operator="equal">
      <formula>"KXL"</formula>
    </cfRule>
    <cfRule type="cellIs" dxfId="614" priority="99" stopIfTrue="1" operator="equal">
      <formula>"A DN"</formula>
    </cfRule>
    <cfRule type="cellIs" dxfId="613" priority="100" stopIfTrue="1" operator="equal">
      <formula>"C"</formula>
    </cfRule>
    <cfRule type="cellIs" dxfId="612" priority="101" stopIfTrue="1" operator="equal">
      <formula>"B"</formula>
    </cfRule>
  </conditionalFormatting>
  <conditionalFormatting sqref="E334:G334">
    <cfRule type="cellIs" dxfId="611" priority="94" stopIfTrue="1" operator="equal">
      <formula>"KXL"</formula>
    </cfRule>
    <cfRule type="cellIs" dxfId="610" priority="95" stopIfTrue="1" operator="equal">
      <formula>"A DN"</formula>
    </cfRule>
    <cfRule type="cellIs" dxfId="609" priority="96" stopIfTrue="1" operator="equal">
      <formula>"C"</formula>
    </cfRule>
    <cfRule type="cellIs" dxfId="608" priority="97" stopIfTrue="1" operator="equal">
      <formula>"B"</formula>
    </cfRule>
  </conditionalFormatting>
  <conditionalFormatting sqref="E336:G336">
    <cfRule type="cellIs" dxfId="607" priority="90" stopIfTrue="1" operator="equal">
      <formula>"KXL"</formula>
    </cfRule>
    <cfRule type="cellIs" dxfId="606" priority="91" stopIfTrue="1" operator="equal">
      <formula>"A DN"</formula>
    </cfRule>
    <cfRule type="cellIs" dxfId="605" priority="92" stopIfTrue="1" operator="equal">
      <formula>"C"</formula>
    </cfRule>
    <cfRule type="cellIs" dxfId="604" priority="93" stopIfTrue="1" operator="equal">
      <formula>"B"</formula>
    </cfRule>
  </conditionalFormatting>
  <conditionalFormatting sqref="H305">
    <cfRule type="cellIs" dxfId="603" priority="82" stopIfTrue="1" operator="equal">
      <formula>"KXL"</formula>
    </cfRule>
    <cfRule type="cellIs" dxfId="602" priority="83" stopIfTrue="1" operator="equal">
      <formula>"A DN"</formula>
    </cfRule>
    <cfRule type="cellIs" dxfId="601" priority="84" stopIfTrue="1" operator="equal">
      <formula>"C"</formula>
    </cfRule>
    <cfRule type="cellIs" dxfId="600" priority="85" stopIfTrue="1" operator="equal">
      <formula>"B"</formula>
    </cfRule>
  </conditionalFormatting>
  <conditionalFormatting sqref="L321:L336">
    <cfRule type="cellIs" dxfId="599" priority="135" operator="equal">
      <formula>"A DN"</formula>
    </cfRule>
    <cfRule type="cellIs" dxfId="598" priority="136" operator="equal">
      <formula>"D"</formula>
    </cfRule>
    <cfRule type="cellIs" dxfId="597" priority="137" operator="equal">
      <formula>"C2"</formula>
    </cfRule>
    <cfRule type="cellIs" dxfId="596" priority="138" operator="equal">
      <formula>"C1"</formula>
    </cfRule>
    <cfRule type="cellIs" dxfId="595" priority="139" operator="equal">
      <formula>"C"</formula>
    </cfRule>
    <cfRule type="cellIs" dxfId="594" priority="140" operator="equal">
      <formula>"B2"</formula>
    </cfRule>
    <cfRule type="cellIs" dxfId="593" priority="141" operator="equal">
      <formula>"B1"</formula>
    </cfRule>
    <cfRule type="cellIs" dxfId="592" priority="142" operator="equal">
      <formula>"B"</formula>
    </cfRule>
    <cfRule type="cellIs" dxfId="591" priority="143" operator="equal">
      <formula>"B1"</formula>
    </cfRule>
    <cfRule type="cellIs" dxfId="590" priority="144" operator="greaterThan">
      <formula>B</formula>
    </cfRule>
  </conditionalFormatting>
  <conditionalFormatting sqref="L305:L346">
    <cfRule type="cellIs" dxfId="589" priority="147" operator="equal">
      <formula>"A DN"</formula>
    </cfRule>
    <cfRule type="cellIs" dxfId="588" priority="148" operator="equal">
      <formula>"D"</formula>
    </cfRule>
    <cfRule type="cellIs" dxfId="587" priority="149" operator="equal">
      <formula>"C2"</formula>
    </cfRule>
    <cfRule type="cellIs" dxfId="586" priority="150" operator="equal">
      <formula>"C1"</formula>
    </cfRule>
    <cfRule type="cellIs" dxfId="585" priority="151" operator="equal">
      <formula>"C"</formula>
    </cfRule>
    <cfRule type="cellIs" dxfId="584" priority="152" operator="equal">
      <formula>"B2"</formula>
    </cfRule>
    <cfRule type="cellIs" dxfId="583" priority="153" operator="equal">
      <formula>"B1"</formula>
    </cfRule>
    <cfRule type="cellIs" dxfId="582" priority="154" operator="equal">
      <formula>"B"</formula>
    </cfRule>
    <cfRule type="cellIs" dxfId="581" priority="155" operator="equal">
      <formula>"B1"</formula>
    </cfRule>
    <cfRule type="cellIs" dxfId="580" priority="156" operator="greaterThan">
      <formula>B</formula>
    </cfRule>
  </conditionalFormatting>
  <conditionalFormatting sqref="L347:L353 L300:L319">
    <cfRule type="cellIs" dxfId="579" priority="159" operator="equal">
      <formula>"A DN"</formula>
    </cfRule>
    <cfRule type="cellIs" dxfId="578" priority="160" operator="equal">
      <formula>"D"</formula>
    </cfRule>
    <cfRule type="cellIs" dxfId="577" priority="161" operator="equal">
      <formula>"C2"</formula>
    </cfRule>
    <cfRule type="cellIs" dxfId="576" priority="162" operator="equal">
      <formula>"C1"</formula>
    </cfRule>
    <cfRule type="cellIs" dxfId="575" priority="163" operator="equal">
      <formula>"C"</formula>
    </cfRule>
    <cfRule type="cellIs" dxfId="574" priority="164" operator="equal">
      <formula>"B2"</formula>
    </cfRule>
    <cfRule type="cellIs" dxfId="573" priority="165" operator="equal">
      <formula>"B1"</formula>
    </cfRule>
    <cfRule type="cellIs" dxfId="572" priority="166" operator="equal">
      <formula>"B"</formula>
    </cfRule>
    <cfRule type="cellIs" dxfId="571" priority="167" operator="equal">
      <formula>"B1"</formula>
    </cfRule>
    <cfRule type="cellIs" dxfId="570" priority="168" operator="greaterThan">
      <formula>B</formula>
    </cfRule>
  </conditionalFormatting>
  <conditionalFormatting sqref="L347:L353 L320:L334">
    <cfRule type="cellIs" dxfId="569" priority="171" operator="equal">
      <formula>"A DN"</formula>
    </cfRule>
    <cfRule type="cellIs" dxfId="568" priority="172" operator="equal">
      <formula>"D"</formula>
    </cfRule>
    <cfRule type="cellIs" dxfId="567" priority="173" operator="equal">
      <formula>"C2"</formula>
    </cfRule>
    <cfRule type="cellIs" dxfId="566" priority="174" operator="equal">
      <formula>"C1"</formula>
    </cfRule>
    <cfRule type="cellIs" dxfId="565" priority="175" operator="equal">
      <formula>"C"</formula>
    </cfRule>
    <cfRule type="cellIs" dxfId="564" priority="176" operator="equal">
      <formula>"B2"</formula>
    </cfRule>
    <cfRule type="cellIs" dxfId="563" priority="177" operator="equal">
      <formula>"B1"</formula>
    </cfRule>
    <cfRule type="cellIs" dxfId="562" priority="178" operator="equal">
      <formula>"B"</formula>
    </cfRule>
    <cfRule type="cellIs" dxfId="561" priority="179" operator="equal">
      <formula>"B1"</formula>
    </cfRule>
    <cfRule type="cellIs" dxfId="560" priority="180" operator="greaterThan">
      <formula>B</formula>
    </cfRule>
  </conditionalFormatting>
  <conditionalFormatting sqref="L321:L353">
    <cfRule type="cellIs" dxfId="559" priority="183" operator="equal">
      <formula>"A DN"</formula>
    </cfRule>
    <cfRule type="cellIs" dxfId="558" priority="184" operator="equal">
      <formula>"D"</formula>
    </cfRule>
    <cfRule type="cellIs" dxfId="557" priority="185" operator="equal">
      <formula>"C2"</formula>
    </cfRule>
    <cfRule type="cellIs" dxfId="556" priority="186" operator="equal">
      <formula>"C1"</formula>
    </cfRule>
    <cfRule type="cellIs" dxfId="555" priority="187" operator="equal">
      <formula>"C"</formula>
    </cfRule>
    <cfRule type="cellIs" dxfId="554" priority="188" operator="equal">
      <formula>"B2"</formula>
    </cfRule>
    <cfRule type="cellIs" dxfId="553" priority="189" operator="equal">
      <formula>"B1"</formula>
    </cfRule>
    <cfRule type="cellIs" dxfId="552" priority="190" operator="equal">
      <formula>"B"</formula>
    </cfRule>
    <cfRule type="cellIs" dxfId="551" priority="191" operator="equal">
      <formula>"B1"</formula>
    </cfRule>
    <cfRule type="cellIs" dxfId="550" priority="192" operator="greaterThan">
      <formula>B</formula>
    </cfRule>
  </conditionalFormatting>
  <conditionalFormatting sqref="L320:L353">
    <cfRule type="cellIs" dxfId="549" priority="195" operator="equal">
      <formula>"A DN"</formula>
    </cfRule>
    <cfRule type="cellIs" dxfId="548" priority="196" operator="equal">
      <formula>"D"</formula>
    </cfRule>
    <cfRule type="cellIs" dxfId="547" priority="197" operator="equal">
      <formula>"C2"</formula>
    </cfRule>
    <cfRule type="cellIs" dxfId="546" priority="198" operator="equal">
      <formula>"C1"</formula>
    </cfRule>
    <cfRule type="cellIs" dxfId="545" priority="199" operator="equal">
      <formula>"C"</formula>
    </cfRule>
    <cfRule type="cellIs" dxfId="544" priority="200" operator="equal">
      <formula>"B2"</formula>
    </cfRule>
    <cfRule type="cellIs" dxfId="543" priority="201" operator="equal">
      <formula>"B1"</formula>
    </cfRule>
    <cfRule type="cellIs" dxfId="542" priority="202" operator="equal">
      <formula>"B"</formula>
    </cfRule>
    <cfRule type="cellIs" dxfId="541" priority="203" operator="equal">
      <formula>"B1"</formula>
    </cfRule>
    <cfRule type="cellIs" dxfId="540" priority="204" operator="greaterThan">
      <formula>B</formula>
    </cfRule>
  </conditionalFormatting>
  <conditionalFormatting sqref="L320">
    <cfRule type="cellIs" dxfId="539" priority="207" operator="equal">
      <formula>"A DN"</formula>
    </cfRule>
    <cfRule type="cellIs" dxfId="538" priority="208" operator="equal">
      <formula>"D"</formula>
    </cfRule>
    <cfRule type="cellIs" dxfId="537" priority="209" operator="equal">
      <formula>"C2"</formula>
    </cfRule>
    <cfRule type="cellIs" dxfId="536" priority="210" operator="equal">
      <formula>"C1"</formula>
    </cfRule>
    <cfRule type="cellIs" dxfId="535" priority="211" operator="equal">
      <formula>"C"</formula>
    </cfRule>
    <cfRule type="cellIs" dxfId="534" priority="212" operator="equal">
      <formula>"B2"</formula>
    </cfRule>
    <cfRule type="cellIs" dxfId="533" priority="213" operator="equal">
      <formula>"B1"</formula>
    </cfRule>
    <cfRule type="cellIs" dxfId="532" priority="214" operator="equal">
      <formula>"B"</formula>
    </cfRule>
    <cfRule type="cellIs" dxfId="531" priority="215" operator="equal">
      <formula>"B1"</formula>
    </cfRule>
    <cfRule type="cellIs" dxfId="530" priority="216" operator="greaterThan">
      <formula>B</formula>
    </cfRule>
  </conditionalFormatting>
  <conditionalFormatting sqref="L289:L353">
    <cfRule type="cellIs" dxfId="529" priority="219" operator="equal">
      <formula>"A DN"</formula>
    </cfRule>
    <cfRule type="cellIs" dxfId="528" priority="220" operator="equal">
      <formula>"D"</formula>
    </cfRule>
    <cfRule type="cellIs" dxfId="527" priority="221" operator="equal">
      <formula>"C2"</formula>
    </cfRule>
    <cfRule type="cellIs" dxfId="526" priority="222" operator="equal">
      <formula>"C1"</formula>
    </cfRule>
    <cfRule type="cellIs" dxfId="525" priority="223" operator="equal">
      <formula>"C"</formula>
    </cfRule>
    <cfRule type="cellIs" dxfId="524" priority="224" operator="equal">
      <formula>"B2"</formula>
    </cfRule>
    <cfRule type="cellIs" dxfId="523" priority="225" operator="equal">
      <formula>"B1"</formula>
    </cfRule>
    <cfRule type="cellIs" dxfId="522" priority="226" operator="equal">
      <formula>"B"</formula>
    </cfRule>
    <cfRule type="cellIs" dxfId="521" priority="227" operator="equal">
      <formula>"B1"</formula>
    </cfRule>
    <cfRule type="cellIs" dxfId="520" priority="228" operator="greaterThan">
      <formula>B</formula>
    </cfRule>
  </conditionalFormatting>
  <conditionalFormatting sqref="L320">
    <cfRule type="cellIs" dxfId="519" priority="231" operator="equal">
      <formula>"A DN"</formula>
    </cfRule>
    <cfRule type="cellIs" dxfId="518" priority="232" operator="equal">
      <formula>"D"</formula>
    </cfRule>
    <cfRule type="cellIs" dxfId="517" priority="233" operator="equal">
      <formula>"C2"</formula>
    </cfRule>
    <cfRule type="cellIs" dxfId="516" priority="234" operator="equal">
      <formula>"C1"</formula>
    </cfRule>
    <cfRule type="cellIs" dxfId="515" priority="235" operator="equal">
      <formula>"C"</formula>
    </cfRule>
    <cfRule type="cellIs" dxfId="514" priority="236" operator="equal">
      <formula>"B2"</formula>
    </cfRule>
    <cfRule type="cellIs" dxfId="513" priority="237" operator="equal">
      <formula>"B1"</formula>
    </cfRule>
    <cfRule type="cellIs" dxfId="512" priority="238" operator="equal">
      <formula>"B"</formula>
    </cfRule>
    <cfRule type="cellIs" dxfId="511" priority="239" operator="equal">
      <formula>"B1"</formula>
    </cfRule>
    <cfRule type="cellIs" dxfId="510" priority="240" operator="greaterThan">
      <formula>B</formula>
    </cfRule>
  </conditionalFormatting>
  <conditionalFormatting sqref="AC11:IY11 A8:XFD9 K10:W11 AC10:XFD10 AA11">
    <cfRule type="cellIs" dxfId="509" priority="77" stopIfTrue="1" operator="equal">
      <formula>"KXL"</formula>
    </cfRule>
    <cfRule type="cellIs" dxfId="508" priority="78" stopIfTrue="1" operator="equal">
      <formula>"A DN"</formula>
    </cfRule>
    <cfRule type="cellIs" dxfId="507" priority="79" stopIfTrue="1" operator="equal">
      <formula>"C"</formula>
    </cfRule>
    <cfRule type="cellIs" dxfId="506" priority="80" stopIfTrue="1" operator="equal">
      <formula>"B"</formula>
    </cfRule>
  </conditionalFormatting>
  <conditionalFormatting sqref="Z4">
    <cfRule type="cellIs" dxfId="505" priority="73" stopIfTrue="1" operator="equal">
      <formula>"KXL"</formula>
    </cfRule>
    <cfRule type="cellIs" dxfId="504" priority="74" stopIfTrue="1" operator="equal">
      <formula>"A DN"</formula>
    </cfRule>
    <cfRule type="cellIs" dxfId="503" priority="75" stopIfTrue="1" operator="equal">
      <formula>"C"</formula>
    </cfRule>
    <cfRule type="cellIs" dxfId="502" priority="76" stopIfTrue="1" operator="equal">
      <formula>"B"</formula>
    </cfRule>
  </conditionalFormatting>
  <conditionalFormatting sqref="AG1:IW7">
    <cfRule type="cellIs" dxfId="501" priority="69" stopIfTrue="1" operator="equal">
      <formula>"KXL"</formula>
    </cfRule>
    <cfRule type="cellIs" dxfId="500" priority="70" stopIfTrue="1" operator="equal">
      <formula>"A DN"</formula>
    </cfRule>
    <cfRule type="cellIs" dxfId="499" priority="71" stopIfTrue="1" operator="equal">
      <formula>"C"</formula>
    </cfRule>
    <cfRule type="cellIs" dxfId="498" priority="72" stopIfTrue="1" operator="equal">
      <formula>"B"</formula>
    </cfRule>
  </conditionalFormatting>
  <conditionalFormatting sqref="Z5">
    <cfRule type="cellIs" dxfId="497" priority="65" stopIfTrue="1" operator="equal">
      <formula>"KXL"</formula>
    </cfRule>
    <cfRule type="cellIs" dxfId="496" priority="66" stopIfTrue="1" operator="equal">
      <formula>"A DN"</formula>
    </cfRule>
    <cfRule type="cellIs" dxfId="495" priority="67" stopIfTrue="1" operator="equal">
      <formula>"C"</formula>
    </cfRule>
    <cfRule type="cellIs" dxfId="494" priority="68" stopIfTrue="1" operator="equal">
      <formula>"B"</formula>
    </cfRule>
  </conditionalFormatting>
  <conditionalFormatting sqref="A1 O1:U1 K1:M1">
    <cfRule type="cellIs" dxfId="493" priority="61" stopIfTrue="1" operator="equal">
      <formula>"KXL"</formula>
    </cfRule>
    <cfRule type="cellIs" dxfId="492" priority="62" stopIfTrue="1" operator="equal">
      <formula>"A DN"</formula>
    </cfRule>
    <cfRule type="cellIs" dxfId="491" priority="63" stopIfTrue="1" operator="equal">
      <formula>"C"</formula>
    </cfRule>
    <cfRule type="cellIs" dxfId="490" priority="64" stopIfTrue="1" operator="equal">
      <formula>"B"</formula>
    </cfRule>
  </conditionalFormatting>
  <conditionalFormatting sqref="O2:U3 A3:M3 A1:A2 K1:M2 A4:Y4">
    <cfRule type="cellIs" dxfId="489" priority="53" stopIfTrue="1" operator="equal">
      <formula>"KXL"</formula>
    </cfRule>
    <cfRule type="cellIs" dxfId="488" priority="54" stopIfTrue="1" operator="equal">
      <formula>"A DN"</formula>
    </cfRule>
    <cfRule type="cellIs" dxfId="487" priority="55" stopIfTrue="1" operator="equal">
      <formula>"C"</formula>
    </cfRule>
    <cfRule type="cellIs" dxfId="486" priority="56" stopIfTrue="1" operator="equal">
      <formula>"B"</formula>
    </cfRule>
  </conditionalFormatting>
  <conditionalFormatting sqref="A5:Y5 A6:A7">
    <cfRule type="cellIs" dxfId="485" priority="57" stopIfTrue="1" operator="equal">
      <formula>"KXL"</formula>
    </cfRule>
    <cfRule type="cellIs" dxfId="484" priority="58" stopIfTrue="1" operator="equal">
      <formula>"A DN"</formula>
    </cfRule>
    <cfRule type="cellIs" dxfId="483" priority="59" stopIfTrue="1" operator="equal">
      <formula>"C"</formula>
    </cfRule>
    <cfRule type="cellIs" dxfId="482" priority="60" stopIfTrue="1" operator="equal">
      <formula>"B"</formula>
    </cfRule>
  </conditionalFormatting>
  <conditionalFormatting sqref="Z5">
    <cfRule type="cellIs" dxfId="481" priority="49" stopIfTrue="1" operator="equal">
      <formula>"KXL"</formula>
    </cfRule>
    <cfRule type="cellIs" dxfId="480" priority="50" stopIfTrue="1" operator="equal">
      <formula>"A DN"</formula>
    </cfRule>
    <cfRule type="cellIs" dxfId="479" priority="51" stopIfTrue="1" operator="equal">
      <formula>"C"</formula>
    </cfRule>
    <cfRule type="cellIs" dxfId="478" priority="52" stopIfTrue="1" operator="equal">
      <formula>"B"</formula>
    </cfRule>
  </conditionalFormatting>
  <conditionalFormatting sqref="A11:I11 A10:E10 G10:I10">
    <cfRule type="cellIs" dxfId="477" priority="45" stopIfTrue="1" operator="equal">
      <formula>"KXL"</formula>
    </cfRule>
    <cfRule type="cellIs" dxfId="476" priority="46" stopIfTrue="1" operator="equal">
      <formula>"A DN"</formula>
    </cfRule>
    <cfRule type="cellIs" dxfId="475" priority="47" stopIfTrue="1" operator="equal">
      <formula>"C"</formula>
    </cfRule>
    <cfRule type="cellIs" dxfId="474" priority="48" stopIfTrue="1" operator="equal">
      <formula>"B"</formula>
    </cfRule>
  </conditionalFormatting>
  <conditionalFormatting sqref="J10">
    <cfRule type="cellIs" dxfId="473" priority="41" stopIfTrue="1" operator="equal">
      <formula>"KXL"</formula>
    </cfRule>
    <cfRule type="cellIs" dxfId="472" priority="42" stopIfTrue="1" operator="equal">
      <formula>"A DN"</formula>
    </cfRule>
    <cfRule type="cellIs" dxfId="471" priority="43" stopIfTrue="1" operator="equal">
      <formula>"C"</formula>
    </cfRule>
    <cfRule type="cellIs" dxfId="470" priority="44" stopIfTrue="1" operator="equal">
      <formula>"B"</formula>
    </cfRule>
  </conditionalFormatting>
  <conditionalFormatting sqref="J11">
    <cfRule type="cellIs" dxfId="469" priority="37" stopIfTrue="1" operator="equal">
      <formula>"KXL"</formula>
    </cfRule>
    <cfRule type="cellIs" dxfId="468" priority="38" stopIfTrue="1" operator="equal">
      <formula>"A DN"</formula>
    </cfRule>
    <cfRule type="cellIs" dxfId="467" priority="39" stopIfTrue="1" operator="equal">
      <formula>"C"</formula>
    </cfRule>
    <cfRule type="cellIs" dxfId="466" priority="40" stopIfTrue="1" operator="equal">
      <formula>"B"</formula>
    </cfRule>
  </conditionalFormatting>
  <conditionalFormatting sqref="X10:Y11">
    <cfRule type="cellIs" dxfId="465" priority="33" stopIfTrue="1" operator="equal">
      <formula>"KXL"</formula>
    </cfRule>
    <cfRule type="cellIs" dxfId="464" priority="34" stopIfTrue="1" operator="equal">
      <formula>"A DN"</formula>
    </cfRule>
    <cfRule type="cellIs" dxfId="463" priority="35" stopIfTrue="1" operator="equal">
      <formula>"C"</formula>
    </cfRule>
    <cfRule type="cellIs" dxfId="462" priority="36" stopIfTrue="1" operator="equal">
      <formula>"B"</formula>
    </cfRule>
  </conditionalFormatting>
  <conditionalFormatting sqref="X10:Y10">
    <cfRule type="cellIs" dxfId="461" priority="29" stopIfTrue="1" operator="equal">
      <formula>"KXL"</formula>
    </cfRule>
    <cfRule type="cellIs" dxfId="460" priority="30" stopIfTrue="1" operator="equal">
      <formula>"A DN"</formula>
    </cfRule>
    <cfRule type="cellIs" dxfId="459" priority="31" stopIfTrue="1" operator="equal">
      <formula>"C"</formula>
    </cfRule>
    <cfRule type="cellIs" dxfId="458" priority="32" stopIfTrue="1" operator="equal">
      <formula>"B"</formula>
    </cfRule>
  </conditionalFormatting>
  <conditionalFormatting sqref="X11:Y11">
    <cfRule type="cellIs" dxfId="457" priority="25" stopIfTrue="1" operator="equal">
      <formula>"KXL"</formula>
    </cfRule>
    <cfRule type="cellIs" dxfId="456" priority="26" stopIfTrue="1" operator="equal">
      <formula>"A DN"</formula>
    </cfRule>
    <cfRule type="cellIs" dxfId="455" priority="27" stopIfTrue="1" operator="equal">
      <formula>"C"</formula>
    </cfRule>
    <cfRule type="cellIs" dxfId="454" priority="28" stopIfTrue="1" operator="equal">
      <formula>"B"</formula>
    </cfRule>
  </conditionalFormatting>
  <conditionalFormatting sqref="Z10">
    <cfRule type="cellIs" dxfId="453" priority="21" stopIfTrue="1" operator="equal">
      <formula>"KXL"</formula>
    </cfRule>
    <cfRule type="cellIs" dxfId="452" priority="22" stopIfTrue="1" operator="equal">
      <formula>"A DN"</formula>
    </cfRule>
    <cfRule type="cellIs" dxfId="451" priority="23" stopIfTrue="1" operator="equal">
      <formula>"C"</formula>
    </cfRule>
    <cfRule type="cellIs" dxfId="450" priority="24" stopIfTrue="1" operator="equal">
      <formula>"B"</formula>
    </cfRule>
  </conditionalFormatting>
  <conditionalFormatting sqref="AA10:AB10">
    <cfRule type="cellIs" dxfId="449" priority="17" stopIfTrue="1" operator="equal">
      <formula>"KXL"</formula>
    </cfRule>
    <cfRule type="cellIs" dxfId="448" priority="18" stopIfTrue="1" operator="equal">
      <formula>"A DN"</formula>
    </cfRule>
    <cfRule type="cellIs" dxfId="447" priority="19" stopIfTrue="1" operator="equal">
      <formula>"C"</formula>
    </cfRule>
    <cfRule type="cellIs" dxfId="446" priority="20" stopIfTrue="1" operator="equal">
      <formula>"B"</formula>
    </cfRule>
  </conditionalFormatting>
  <conditionalFormatting sqref="AA10">
    <cfRule type="cellIs" dxfId="445" priority="13" stopIfTrue="1" operator="equal">
      <formula>"KXL"</formula>
    </cfRule>
    <cfRule type="cellIs" dxfId="444" priority="14" stopIfTrue="1" operator="equal">
      <formula>"A DN"</formula>
    </cfRule>
    <cfRule type="cellIs" dxfId="443" priority="15" stopIfTrue="1" operator="equal">
      <formula>"C"</formula>
    </cfRule>
    <cfRule type="cellIs" dxfId="442" priority="16" stopIfTrue="1" operator="equal">
      <formula>"B"</formula>
    </cfRule>
  </conditionalFormatting>
  <conditionalFormatting sqref="Z11">
    <cfRule type="cellIs" dxfId="441" priority="9" stopIfTrue="1" operator="equal">
      <formula>"KXL"</formula>
    </cfRule>
    <cfRule type="cellIs" dxfId="440" priority="10" stopIfTrue="1" operator="equal">
      <formula>"A DN"</formula>
    </cfRule>
    <cfRule type="cellIs" dxfId="439" priority="11" stopIfTrue="1" operator="equal">
      <formula>"C"</formula>
    </cfRule>
    <cfRule type="cellIs" dxfId="438" priority="12" stopIfTrue="1" operator="equal">
      <formula>"B"</formula>
    </cfRule>
  </conditionalFormatting>
  <conditionalFormatting sqref="F10">
    <cfRule type="cellIs" dxfId="437" priority="5" stopIfTrue="1" operator="equal">
      <formula>"KXL"</formula>
    </cfRule>
    <cfRule type="cellIs" dxfId="436" priority="6" stopIfTrue="1" operator="equal">
      <formula>"A DN"</formula>
    </cfRule>
    <cfRule type="cellIs" dxfId="435" priority="7" stopIfTrue="1" operator="equal">
      <formula>"C"</formula>
    </cfRule>
    <cfRule type="cellIs" dxfId="434" priority="8" stopIfTrue="1" operator="equal">
      <formula>"B"</formula>
    </cfRule>
  </conditionalFormatting>
  <conditionalFormatting sqref="AC367:IY367 A356:AB357 A360:XFD366 A358:U358 AC356:IY359 A359:F359 A367:F367">
    <cfRule type="cellIs" dxfId="433" priority="1" stopIfTrue="1" operator="equal">
      <formula>"KXL"</formula>
    </cfRule>
    <cfRule type="cellIs" dxfId="432" priority="2" stopIfTrue="1" operator="equal">
      <formula>"A DN"</formula>
    </cfRule>
    <cfRule type="cellIs" dxfId="431" priority="3" stopIfTrue="1" operator="equal">
      <formula>"C"</formula>
    </cfRule>
    <cfRule type="cellIs" dxfId="430"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'111'!B288</xm:f>
            <x14:dxf>
              <fill>
                <patternFill>
                  <bgColor rgb="FFFFFF00"/>
                </patternFill>
              </fill>
            </x14:dxf>
          </x14:cfRule>
          <x14:cfRule type="cellIs" priority="158" operator="equal" id="{6C698E4D-93A8-488F-8908-E9FA5A3456E3}">
            <xm:f>'111'!B288</xm:f>
            <x14:dxf>
              <font>
                <color rgb="FF9C0006"/>
              </font>
            </x14:dxf>
          </x14:cfRule>
          <xm:sqref>L305:L346</xm:sqref>
        </x14:conditionalFormatting>
        <x14:conditionalFormatting xmlns:xm="http://schemas.microsoft.com/office/excel/2006/main">
          <x14:cfRule type="expression" priority="169" id="{569B47F7-E2E0-46D0-BA3B-5FE87F124499}">
            <xm:f>'111'!B284</xm:f>
            <x14:dxf>
              <fill>
                <patternFill>
                  <bgColor rgb="FFFFFF00"/>
                </patternFill>
              </fill>
            </x14:dxf>
          </x14:cfRule>
          <x14:cfRule type="cellIs" priority="170" operator="equal" id="{A46FEC52-8CEE-447E-BA00-C9D85BA1F676}">
            <xm:f>'111'!B284</xm:f>
            <x14:dxf>
              <font>
                <color rgb="FF9C0006"/>
              </font>
            </x14:dxf>
          </x14:cfRule>
          <xm:sqref>L347:L353 L300:L319</xm:sqref>
        </x14:conditionalFormatting>
        <x14:conditionalFormatting xmlns:xm="http://schemas.microsoft.com/office/excel/2006/main">
          <x14:cfRule type="expression" priority="181" id="{0E1FAB4A-53B2-4095-8C7D-8F1C80A21093}">
            <xm:f>'111'!B302</xm:f>
            <x14:dxf>
              <fill>
                <patternFill>
                  <bgColor rgb="FFFFFF00"/>
                </patternFill>
              </fill>
            </x14:dxf>
          </x14:cfRule>
          <x14:cfRule type="cellIs" priority="182" operator="equal" id="{973B159B-7EEE-4312-AB57-16E776BA01E1}">
            <xm:f>'111'!B302</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'111'!B305</xm:f>
            <x14:dxf>
              <fill>
                <patternFill>
                  <bgColor rgb="FFFFFF00"/>
                </patternFill>
              </fill>
            </x14:dxf>
          </x14:cfRule>
          <x14:cfRule type="cellIs" priority="206" operator="equal" id="{CCA181B3-3283-4557-898F-8C4F69F61B8E}">
            <xm:f>'111'!B305</xm:f>
            <x14:dxf>
              <font>
                <color rgb="FF9C0006"/>
              </font>
            </x14:dxf>
          </x14:cfRule>
          <xm:sqref>L320:L353</xm:sqref>
        </x14:conditionalFormatting>
        <x14:conditionalFormatting xmlns:xm="http://schemas.microsoft.com/office/excel/2006/main">
          <x14:cfRule type="expression" priority="217" id="{4A4081D0-3FAE-4E06-BF29-071F806B58FA}">
            <xm:f>'111'!B301</xm:f>
            <x14:dxf>
              <fill>
                <patternFill>
                  <bgColor rgb="FFFFFF00"/>
                </patternFill>
              </fill>
            </x14:dxf>
          </x14:cfRule>
          <x14:cfRule type="cellIs" priority="218" operator="equal" id="{0C723CA9-6256-438B-B5CC-9EAC247451BE}">
            <xm:f>'111'!B301</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'111'!B307</xm:f>
            <x14:dxf>
              <fill>
                <patternFill>
                  <bgColor rgb="FFFFFF00"/>
                </patternFill>
              </fill>
            </x14:dxf>
          </x14:cfRule>
          <x14:cfRule type="cellIs" priority="242" operator="equal" id="{E5574BCA-8A04-43ED-936A-9113251DD5ED}">
            <xm:f>'111'!B307</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24"/>
  <sheetViews>
    <sheetView topLeftCell="A348" zoomScale="120" zoomScaleNormal="120" workbookViewId="0">
      <selection activeCell="A355" sqref="A355:XFD367"/>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11" width="8.140625" style="1272" hidden="1" customWidth="1"/>
    <col min="12" max="12" width="8.85546875" style="1272" hidden="1" customWidth="1"/>
    <col min="13" max="13" width="6.42578125" style="1272" hidden="1" customWidth="1"/>
    <col min="14" max="14" width="8.85546875" style="1272" hidden="1" customWidth="1"/>
    <col min="15" max="15" width="10.5703125" style="1272" hidden="1" customWidth="1"/>
    <col min="16" max="16" width="17.140625" style="1272" hidden="1" customWidth="1"/>
    <col min="17" max="17" width="11.28515625" style="1272" customWidth="1"/>
    <col min="18" max="18" width="14.140625" style="1272" customWidth="1"/>
    <col min="19" max="19" width="16.7109375" style="1272" customWidth="1"/>
    <col min="20" max="20" width="3.85546875" style="1272" customWidth="1"/>
    <col min="21" max="21" width="19.285156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03" t="s">
        <v>492</v>
      </c>
      <c r="B1" s="1703"/>
      <c r="C1" s="1703"/>
      <c r="D1" s="1703"/>
      <c r="E1" s="1703"/>
      <c r="F1" s="1703"/>
      <c r="G1" s="1703"/>
      <c r="H1" s="1120"/>
      <c r="I1" s="1120"/>
      <c r="J1" s="1704" t="s">
        <v>849</v>
      </c>
      <c r="K1" s="1704"/>
      <c r="L1" s="1704"/>
      <c r="M1" s="1704"/>
      <c r="N1" s="1704"/>
      <c r="O1" s="1704"/>
      <c r="P1" s="1704"/>
      <c r="Q1" s="1704"/>
      <c r="R1" s="1704"/>
      <c r="S1" s="1704"/>
      <c r="T1" s="1704"/>
      <c r="U1" s="1704"/>
    </row>
    <row r="2" spans="1:36" ht="15" customHeight="1">
      <c r="A2" s="1704" t="s">
        <v>1563</v>
      </c>
      <c r="B2" s="1704"/>
      <c r="C2" s="1704"/>
      <c r="D2" s="1704"/>
      <c r="E2" s="1704"/>
      <c r="F2" s="1704"/>
      <c r="G2" s="1704"/>
      <c r="H2" s="1121"/>
      <c r="I2" s="1121"/>
      <c r="J2" s="1704" t="s">
        <v>2179</v>
      </c>
      <c r="K2" s="1704"/>
      <c r="L2" s="1704"/>
      <c r="M2" s="1704"/>
      <c r="N2" s="1704"/>
      <c r="O2" s="1704"/>
      <c r="P2" s="1704"/>
      <c r="Q2" s="1704"/>
      <c r="R2" s="1704"/>
      <c r="S2" s="1704"/>
      <c r="T2" s="1704"/>
      <c r="U2" s="1704"/>
    </row>
    <row r="3" spans="1:36" ht="16.5" customHeight="1">
      <c r="A3" s="1704" t="s">
        <v>1564</v>
      </c>
      <c r="B3" s="1704"/>
      <c r="C3" s="1704"/>
      <c r="D3" s="1704"/>
      <c r="E3" s="1704"/>
      <c r="F3" s="1704"/>
      <c r="G3" s="1704"/>
      <c r="H3" s="1121"/>
      <c r="I3" s="1121"/>
      <c r="J3" s="1121"/>
      <c r="K3" s="1121"/>
      <c r="L3" s="1643"/>
      <c r="M3" s="1643"/>
      <c r="N3" s="1643"/>
      <c r="O3" s="1643"/>
      <c r="P3" s="1388"/>
      <c r="Q3" s="1388"/>
      <c r="R3" s="1388"/>
      <c r="S3" s="1388"/>
      <c r="T3" s="1120"/>
    </row>
    <row r="4" spans="1:36" ht="9" customHeight="1">
      <c r="A4" s="1389"/>
      <c r="B4" s="1389"/>
      <c r="C4" s="1389"/>
      <c r="D4" s="1389"/>
      <c r="E4" s="1389"/>
      <c r="F4" s="1389"/>
      <c r="G4" s="1389"/>
      <c r="H4" s="1389"/>
      <c r="I4" s="1389"/>
      <c r="J4" s="1389"/>
      <c r="K4" s="1389"/>
      <c r="L4" s="1643"/>
      <c r="M4" s="1643"/>
      <c r="N4" s="1643"/>
      <c r="O4" s="1643"/>
      <c r="P4" s="1388"/>
      <c r="Q4" s="1388"/>
      <c r="R4" s="1388"/>
      <c r="S4" s="1388"/>
      <c r="T4" s="1120"/>
    </row>
    <row r="5" spans="1:36" ht="18.75" customHeight="1">
      <c r="A5" s="1690" t="s">
        <v>2183</v>
      </c>
      <c r="B5" s="1690"/>
      <c r="C5" s="1690"/>
      <c r="D5" s="1690"/>
      <c r="E5" s="1690"/>
      <c r="F5" s="1690"/>
      <c r="G5" s="1690"/>
      <c r="H5" s="1690"/>
      <c r="I5" s="1690"/>
      <c r="J5" s="1690"/>
      <c r="K5" s="1690"/>
      <c r="L5" s="1690"/>
      <c r="M5" s="1690"/>
      <c r="N5" s="1690"/>
      <c r="O5" s="1690"/>
      <c r="P5" s="1690"/>
      <c r="Q5" s="1690"/>
      <c r="R5" s="1690"/>
      <c r="S5" s="1690"/>
      <c r="T5" s="1690"/>
      <c r="U5" s="1690"/>
      <c r="V5" s="733"/>
      <c r="W5" s="733"/>
      <c r="X5" s="733"/>
      <c r="Y5" s="733"/>
      <c r="Z5" s="733"/>
      <c r="AA5" s="733"/>
      <c r="AB5" s="733"/>
      <c r="AC5" s="733"/>
      <c r="AD5" s="733"/>
      <c r="AE5" s="733"/>
      <c r="AF5" s="733"/>
      <c r="AG5" s="733"/>
      <c r="AH5" s="733"/>
      <c r="AI5" s="733"/>
      <c r="AJ5" s="733"/>
    </row>
    <row r="6" spans="1:36" ht="18.75" customHeight="1">
      <c r="A6" s="1706" t="s">
        <v>2410</v>
      </c>
      <c r="B6" s="1706"/>
      <c r="C6" s="1706"/>
      <c r="D6" s="1706"/>
      <c r="E6" s="1706"/>
      <c r="F6" s="1706"/>
      <c r="G6" s="1706"/>
      <c r="H6" s="1706"/>
      <c r="I6" s="1706"/>
      <c r="J6" s="1706"/>
      <c r="K6" s="1706"/>
      <c r="L6" s="1706"/>
      <c r="M6" s="1706"/>
      <c r="N6" s="1706"/>
      <c r="O6" s="1706"/>
      <c r="P6" s="1706"/>
      <c r="Q6" s="1706"/>
      <c r="R6" s="1706"/>
      <c r="S6" s="1706"/>
      <c r="T6" s="1706"/>
      <c r="U6" s="1706"/>
    </row>
    <row r="7" spans="1:36" ht="36.75" hidden="1" customHeight="1">
      <c r="A7" s="1707" t="s">
        <v>2261</v>
      </c>
      <c r="B7" s="1707"/>
      <c r="C7" s="1707"/>
      <c r="D7" s="1707"/>
      <c r="E7" s="1707"/>
      <c r="F7" s="1707"/>
      <c r="G7" s="1707"/>
      <c r="H7" s="1707"/>
      <c r="I7" s="1707"/>
      <c r="J7" s="1707"/>
      <c r="K7" s="1707"/>
      <c r="L7" s="1707"/>
      <c r="M7" s="1707"/>
      <c r="N7" s="1707"/>
      <c r="O7" s="1707"/>
      <c r="P7" s="1707"/>
      <c r="Q7" s="1707"/>
      <c r="R7" s="1707"/>
      <c r="S7" s="1707"/>
      <c r="T7" s="1707"/>
      <c r="U7" s="1707"/>
    </row>
    <row r="8" spans="1:36" s="1120" customFormat="1" ht="16.5" hidden="1" customHeight="1">
      <c r="A8" s="1119"/>
      <c r="C8" s="1121"/>
      <c r="D8" s="1121"/>
      <c r="E8" s="1121"/>
      <c r="F8" s="1643"/>
      <c r="G8" s="1643"/>
      <c r="H8" s="1643"/>
      <c r="I8" s="1643"/>
      <c r="J8" s="1643"/>
      <c r="K8" s="1643"/>
      <c r="L8" s="1708"/>
      <c r="M8" s="1708"/>
      <c r="N8" s="1708"/>
      <c r="O8" s="1708"/>
      <c r="P8" s="1642" t="s">
        <v>1181</v>
      </c>
      <c r="Q8" s="1642"/>
      <c r="R8" s="1642"/>
      <c r="S8" s="1642"/>
      <c r="T8" s="1643"/>
      <c r="U8" s="1124"/>
      <c r="V8" s="1125"/>
      <c r="W8" s="1126"/>
      <c r="Y8" s="1127"/>
    </row>
    <row r="9" spans="1:36" ht="17.25" customHeight="1">
      <c r="A9" s="1124"/>
      <c r="B9" s="1119"/>
      <c r="C9" s="1119"/>
      <c r="D9" s="1121"/>
      <c r="E9" s="1121"/>
      <c r="F9" s="1124"/>
      <c r="G9" s="1124"/>
      <c r="H9" s="1124"/>
      <c r="I9" s="1124"/>
      <c r="J9" s="1709"/>
      <c r="K9" s="1709"/>
      <c r="L9" s="1124"/>
      <c r="M9" s="1124"/>
      <c r="N9" s="1124"/>
      <c r="O9" s="1404" t="s">
        <v>2371</v>
      </c>
      <c r="P9" s="1464">
        <v>2340000</v>
      </c>
      <c r="Q9" s="1269"/>
      <c r="R9" s="1269"/>
      <c r="S9" s="1269"/>
      <c r="T9" s="1124"/>
      <c r="U9" s="1124" t="s">
        <v>2403</v>
      </c>
    </row>
    <row r="10" spans="1:36" s="1384" customFormat="1" ht="18.75" customHeight="1">
      <c r="A10" s="1710" t="s">
        <v>853</v>
      </c>
      <c r="B10" s="1710" t="s">
        <v>854</v>
      </c>
      <c r="C10" s="1380" t="s">
        <v>1598</v>
      </c>
      <c r="D10" s="1381" t="s">
        <v>50</v>
      </c>
      <c r="E10" s="1710" t="s">
        <v>2176</v>
      </c>
      <c r="F10" s="1712" t="s">
        <v>2264</v>
      </c>
      <c r="G10" s="1713"/>
      <c r="H10" s="1713"/>
      <c r="I10" s="1714"/>
      <c r="J10" s="1713" t="s">
        <v>860</v>
      </c>
      <c r="K10" s="1714"/>
      <c r="L10" s="1712" t="s">
        <v>2387</v>
      </c>
      <c r="M10" s="1713"/>
      <c r="N10" s="1714"/>
      <c r="O10" s="1710" t="s">
        <v>2269</v>
      </c>
      <c r="P10" s="1710" t="s">
        <v>1100</v>
      </c>
      <c r="Q10" s="1710" t="s">
        <v>2399</v>
      </c>
      <c r="R10" s="1710" t="s">
        <v>2400</v>
      </c>
      <c r="S10" s="1710" t="s">
        <v>1100</v>
      </c>
      <c r="T10" s="1719" t="s">
        <v>40</v>
      </c>
      <c r="U10" s="1720"/>
      <c r="V10" s="1383"/>
      <c r="Y10" s="1385"/>
    </row>
    <row r="11" spans="1:36" s="1384" customFormat="1" ht="15.75" customHeight="1">
      <c r="A11" s="1711"/>
      <c r="B11" s="1711"/>
      <c r="C11" s="1380"/>
      <c r="D11" s="1381"/>
      <c r="E11" s="1711"/>
      <c r="F11" s="1639" t="s">
        <v>2356</v>
      </c>
      <c r="G11" s="1644" t="s">
        <v>2357</v>
      </c>
      <c r="H11" s="1644" t="s">
        <v>2262</v>
      </c>
      <c r="I11" s="1639" t="s">
        <v>2358</v>
      </c>
      <c r="J11" s="1639" t="s">
        <v>2270</v>
      </c>
      <c r="K11" s="1639" t="s">
        <v>2271</v>
      </c>
      <c r="L11" s="1576" t="s">
        <v>2388</v>
      </c>
      <c r="M11" s="1576"/>
      <c r="N11" s="1576" t="s">
        <v>2389</v>
      </c>
      <c r="O11" s="1711"/>
      <c r="P11" s="1711"/>
      <c r="Q11" s="1718"/>
      <c r="R11" s="1718"/>
      <c r="S11" s="1718"/>
      <c r="T11" s="1721"/>
      <c r="U11" s="1722"/>
      <c r="V11" s="1383"/>
      <c r="Y11" s="1385"/>
    </row>
    <row r="12" spans="1:36" s="1130" customFormat="1" ht="15" customHeight="1">
      <c r="A12" s="1128" t="s">
        <v>1110</v>
      </c>
      <c r="B12" s="1128" t="s">
        <v>1111</v>
      </c>
      <c r="C12" s="1128" t="s">
        <v>1112</v>
      </c>
      <c r="D12" s="1128" t="s">
        <v>1113</v>
      </c>
      <c r="E12" s="1128" t="s">
        <v>1112</v>
      </c>
      <c r="F12" s="1128" t="s">
        <v>1122</v>
      </c>
      <c r="G12" s="1128" t="s">
        <v>1123</v>
      </c>
      <c r="H12" s="1128" t="s">
        <v>1124</v>
      </c>
      <c r="I12" s="1128" t="s">
        <v>1125</v>
      </c>
      <c r="J12" s="1128" t="s">
        <v>1133</v>
      </c>
      <c r="K12" s="1128" t="s">
        <v>1142</v>
      </c>
      <c r="L12" s="1128" t="s">
        <v>1143</v>
      </c>
      <c r="M12" s="1128"/>
      <c r="N12" s="1128"/>
      <c r="O12" s="1128" t="s">
        <v>1146</v>
      </c>
      <c r="P12" s="1128" t="s">
        <v>1147</v>
      </c>
      <c r="Q12" s="1640" t="s">
        <v>1113</v>
      </c>
      <c r="R12" s="1640" t="s">
        <v>1114</v>
      </c>
      <c r="S12" s="1640" t="s">
        <v>1115</v>
      </c>
      <c r="T12" s="1723" t="s">
        <v>1116</v>
      </c>
      <c r="U12" s="1724"/>
      <c r="V12" s="1129"/>
      <c r="Y12" s="1131"/>
    </row>
    <row r="13" spans="1:36" hidden="1">
      <c r="A13" s="1703" t="s">
        <v>492</v>
      </c>
      <c r="B13" s="1703"/>
      <c r="C13" s="1703"/>
      <c r="D13" s="1703"/>
      <c r="E13" s="1703"/>
      <c r="F13" s="1703"/>
      <c r="G13" s="1703"/>
      <c r="H13" s="1120"/>
      <c r="I13" s="1120"/>
      <c r="J13" s="1704" t="s">
        <v>849</v>
      </c>
      <c r="K13" s="1704"/>
      <c r="L13" s="1704"/>
      <c r="M13" s="1704"/>
      <c r="N13" s="1704"/>
      <c r="O13" s="1704"/>
      <c r="P13" s="1704"/>
      <c r="Q13" s="1704"/>
      <c r="R13" s="1704"/>
      <c r="S13" s="1704"/>
      <c r="T13" s="1704"/>
      <c r="U13" s="1704"/>
    </row>
    <row r="14" spans="1:36" ht="15" hidden="1" customHeight="1">
      <c r="A14" s="1704" t="s">
        <v>1563</v>
      </c>
      <c r="B14" s="1704"/>
      <c r="C14" s="1704"/>
      <c r="D14" s="1704"/>
      <c r="E14" s="1704"/>
      <c r="F14" s="1704"/>
      <c r="G14" s="1704"/>
      <c r="H14" s="1121"/>
      <c r="I14" s="1121"/>
      <c r="J14" s="1704" t="s">
        <v>2179</v>
      </c>
      <c r="K14" s="1704"/>
      <c r="L14" s="1704"/>
      <c r="M14" s="1704"/>
      <c r="N14" s="1704"/>
      <c r="O14" s="1704"/>
      <c r="P14" s="1704"/>
      <c r="Q14" s="1704"/>
      <c r="R14" s="1704"/>
      <c r="S14" s="1704"/>
      <c r="T14" s="1704"/>
      <c r="U14" s="1704"/>
    </row>
    <row r="15" spans="1:36" ht="16.5" hidden="1" customHeight="1">
      <c r="A15" s="1704" t="s">
        <v>1564</v>
      </c>
      <c r="B15" s="1704"/>
      <c r="C15" s="1704"/>
      <c r="D15" s="1704"/>
      <c r="E15" s="1704"/>
      <c r="F15" s="1704"/>
      <c r="G15" s="1704"/>
      <c r="H15" s="1121"/>
      <c r="I15" s="1121"/>
      <c r="J15" s="1121"/>
      <c r="K15" s="1121"/>
      <c r="L15" s="1643"/>
      <c r="M15" s="1643"/>
      <c r="N15" s="1643"/>
      <c r="O15" s="1643"/>
      <c r="P15" s="1388"/>
      <c r="Q15" s="1388"/>
      <c r="R15" s="1388"/>
      <c r="S15" s="1388"/>
      <c r="T15" s="1120"/>
    </row>
    <row r="16" spans="1:36" ht="9" hidden="1" customHeight="1">
      <c r="A16" s="1389"/>
      <c r="B16" s="1389"/>
      <c r="C16" s="1389"/>
      <c r="D16" s="1389"/>
      <c r="E16" s="1389"/>
      <c r="F16" s="1389"/>
      <c r="G16" s="1389"/>
      <c r="H16" s="1389"/>
      <c r="I16" s="1389"/>
      <c r="J16" s="1389"/>
      <c r="K16" s="1389"/>
      <c r="L16" s="1643"/>
      <c r="M16" s="1643"/>
      <c r="N16" s="1643"/>
      <c r="O16" s="1643"/>
      <c r="P16" s="1388"/>
      <c r="Q16" s="1388"/>
      <c r="R16" s="1388"/>
      <c r="S16" s="1388"/>
      <c r="T16" s="1120"/>
    </row>
    <row r="17" spans="1:35" ht="18.75" hidden="1" customHeight="1">
      <c r="A17" s="1706" t="s">
        <v>2407</v>
      </c>
      <c r="B17" s="1706"/>
      <c r="C17" s="1706"/>
      <c r="D17" s="1706"/>
      <c r="E17" s="1706"/>
      <c r="F17" s="1706"/>
      <c r="G17" s="1706"/>
      <c r="H17" s="1706"/>
      <c r="I17" s="1706"/>
      <c r="J17" s="1706"/>
      <c r="K17" s="1706"/>
      <c r="L17" s="1706"/>
      <c r="M17" s="1706"/>
      <c r="N17" s="1706"/>
      <c r="O17" s="1706"/>
      <c r="P17" s="1706"/>
      <c r="Q17" s="1706"/>
      <c r="R17" s="1706"/>
      <c r="S17" s="1706"/>
      <c r="T17" s="1706"/>
      <c r="U17" s="1706"/>
    </row>
    <row r="18" spans="1:35" ht="18.75" hidden="1" customHeight="1">
      <c r="A18" s="1706" t="s">
        <v>1600</v>
      </c>
      <c r="B18" s="1706"/>
      <c r="C18" s="1706"/>
      <c r="D18" s="1706"/>
      <c r="E18" s="1706"/>
      <c r="F18" s="1706"/>
      <c r="G18" s="1706"/>
      <c r="H18" s="1706"/>
      <c r="I18" s="1706"/>
      <c r="J18" s="1706"/>
      <c r="K18" s="1706"/>
      <c r="L18" s="1706"/>
      <c r="M18" s="1706"/>
      <c r="N18" s="1706"/>
      <c r="O18" s="1706"/>
      <c r="P18" s="1706"/>
      <c r="Q18" s="1706"/>
      <c r="R18" s="1706"/>
      <c r="S18" s="1706"/>
      <c r="T18" s="1706"/>
      <c r="U18" s="1706"/>
    </row>
    <row r="19" spans="1:35" ht="36.75" hidden="1" customHeight="1">
      <c r="A19" s="1707" t="s">
        <v>2261</v>
      </c>
      <c r="B19" s="1707"/>
      <c r="C19" s="1707"/>
      <c r="D19" s="1707"/>
      <c r="E19" s="1707"/>
      <c r="F19" s="1707"/>
      <c r="G19" s="1707"/>
      <c r="H19" s="1707"/>
      <c r="I19" s="1707"/>
      <c r="J19" s="1707"/>
      <c r="K19" s="1707"/>
      <c r="L19" s="1707"/>
      <c r="M19" s="1707"/>
      <c r="N19" s="1707"/>
      <c r="O19" s="1707"/>
      <c r="P19" s="1707"/>
      <c r="Q19" s="1707"/>
      <c r="R19" s="1707"/>
      <c r="S19" s="1707"/>
      <c r="T19" s="1707"/>
      <c r="U19" s="1707"/>
    </row>
    <row r="20" spans="1:35" s="1120" customFormat="1" ht="16.5" hidden="1" customHeight="1">
      <c r="A20" s="1119"/>
      <c r="C20" s="1121"/>
      <c r="D20" s="1121"/>
      <c r="E20" s="1121"/>
      <c r="F20" s="1643"/>
      <c r="G20" s="1643"/>
      <c r="H20" s="1643"/>
      <c r="I20" s="1643"/>
      <c r="J20" s="1643"/>
      <c r="K20" s="1643"/>
      <c r="L20" s="1708"/>
      <c r="M20" s="1708"/>
      <c r="N20" s="1708"/>
      <c r="O20" s="1708"/>
      <c r="P20" s="1642" t="s">
        <v>1181</v>
      </c>
      <c r="Q20" s="1642"/>
      <c r="R20" s="1642"/>
      <c r="S20" s="1642"/>
      <c r="T20" s="1643"/>
      <c r="U20" s="1124"/>
      <c r="V20" s="1125"/>
      <c r="W20" s="1126"/>
      <c r="Y20" s="1127"/>
    </row>
    <row r="21" spans="1:35" ht="17.25" hidden="1" customHeight="1">
      <c r="A21" s="1124"/>
      <c r="B21" s="1119"/>
      <c r="C21" s="1119"/>
      <c r="D21" s="1121"/>
      <c r="E21" s="1121"/>
      <c r="F21" s="1124"/>
      <c r="G21" s="1124"/>
      <c r="H21" s="1124"/>
      <c r="I21" s="1124"/>
      <c r="J21" s="1709"/>
      <c r="K21" s="1709"/>
      <c r="L21" s="1124"/>
      <c r="M21" s="1124"/>
      <c r="N21" s="1124"/>
      <c r="O21" s="1404" t="s">
        <v>2371</v>
      </c>
      <c r="P21" s="1464">
        <v>2340000</v>
      </c>
      <c r="Q21" s="1269"/>
      <c r="R21" s="1269"/>
      <c r="S21" s="1269"/>
      <c r="T21" s="1124"/>
    </row>
    <row r="22" spans="1:35" s="1384" customFormat="1" ht="27.75" hidden="1" customHeight="1">
      <c r="A22" s="1710" t="s">
        <v>853</v>
      </c>
      <c r="B22" s="1710" t="s">
        <v>854</v>
      </c>
      <c r="C22" s="1380" t="s">
        <v>1598</v>
      </c>
      <c r="D22" s="1381" t="s">
        <v>50</v>
      </c>
      <c r="E22" s="1710" t="s">
        <v>2176</v>
      </c>
      <c r="F22" s="1712" t="s">
        <v>2405</v>
      </c>
      <c r="G22" s="1713"/>
      <c r="H22" s="1713"/>
      <c r="I22" s="1714"/>
      <c r="J22" s="1713" t="s">
        <v>860</v>
      </c>
      <c r="K22" s="1714"/>
      <c r="L22" s="1712" t="s">
        <v>2387</v>
      </c>
      <c r="M22" s="1713"/>
      <c r="N22" s="1714"/>
      <c r="O22" s="1710" t="s">
        <v>2269</v>
      </c>
      <c r="P22" s="1710" t="s">
        <v>1100</v>
      </c>
      <c r="Q22" s="1382"/>
      <c r="R22" s="1382"/>
      <c r="S22" s="1382"/>
      <c r="T22" s="1719" t="s">
        <v>40</v>
      </c>
      <c r="U22" s="1720"/>
      <c r="V22" s="1383"/>
      <c r="Y22" s="1385"/>
    </row>
    <row r="23" spans="1:35" s="1384" customFormat="1" ht="23.25" hidden="1" customHeight="1">
      <c r="A23" s="1711"/>
      <c r="B23" s="1711"/>
      <c r="C23" s="1380"/>
      <c r="D23" s="1381"/>
      <c r="E23" s="1711"/>
      <c r="F23" s="1639" t="s">
        <v>2356</v>
      </c>
      <c r="G23" s="1644" t="s">
        <v>2357</v>
      </c>
      <c r="H23" s="1644" t="s">
        <v>2262</v>
      </c>
      <c r="I23" s="1639" t="s">
        <v>2358</v>
      </c>
      <c r="J23" s="1639" t="s">
        <v>2270</v>
      </c>
      <c r="K23" s="1639" t="s">
        <v>2271</v>
      </c>
      <c r="L23" s="1576" t="s">
        <v>2388</v>
      </c>
      <c r="M23" s="1576"/>
      <c r="N23" s="1576" t="s">
        <v>2389</v>
      </c>
      <c r="O23" s="1711"/>
      <c r="P23" s="1711"/>
      <c r="Q23" s="1382"/>
      <c r="R23" s="1511"/>
      <c r="S23" s="1511"/>
      <c r="T23" s="1721"/>
      <c r="U23" s="1722"/>
      <c r="V23" s="1383"/>
      <c r="Y23" s="1385"/>
    </row>
    <row r="24" spans="1:35" s="1130" customFormat="1" ht="15" hidden="1" customHeight="1">
      <c r="A24" s="1128" t="s">
        <v>1110</v>
      </c>
      <c r="B24" s="1128" t="s">
        <v>1111</v>
      </c>
      <c r="C24" s="1128" t="s">
        <v>1112</v>
      </c>
      <c r="D24" s="1128" t="s">
        <v>1113</v>
      </c>
      <c r="E24" s="1128" t="s">
        <v>1112</v>
      </c>
      <c r="F24" s="1128" t="s">
        <v>1113</v>
      </c>
      <c r="G24" s="1128" t="s">
        <v>1114</v>
      </c>
      <c r="H24" s="1128" t="s">
        <v>1115</v>
      </c>
      <c r="I24" s="1128" t="s">
        <v>1116</v>
      </c>
      <c r="J24" s="1128" t="s">
        <v>1117</v>
      </c>
      <c r="K24" s="1128" t="s">
        <v>1118</v>
      </c>
      <c r="L24" s="1128" t="s">
        <v>1119</v>
      </c>
      <c r="M24" s="1128"/>
      <c r="N24" s="1128" t="s">
        <v>1120</v>
      </c>
      <c r="O24" s="1128" t="s">
        <v>1121</v>
      </c>
      <c r="P24" s="1128" t="s">
        <v>1122</v>
      </c>
      <c r="Q24" s="1640"/>
      <c r="R24" s="1640"/>
      <c r="S24" s="1640"/>
      <c r="T24" s="1723" t="s">
        <v>1123</v>
      </c>
      <c r="U24" s="1724"/>
      <c r="V24" s="1129"/>
      <c r="Y24" s="1131"/>
    </row>
    <row r="25" spans="1:35" s="1148" customFormat="1" ht="27.75" customHeight="1">
      <c r="A25" s="1132">
        <f>_xlfn.AGGREGATE(4,7,A$24:A24)+1</f>
        <v>1</v>
      </c>
      <c r="B25" s="1133" t="s">
        <v>1447</v>
      </c>
      <c r="C25" s="1149" t="s">
        <v>1614</v>
      </c>
      <c r="D25" s="1150" t="s">
        <v>1442</v>
      </c>
      <c r="E25" s="1058" t="str">
        <f>VLOOKUP(B25,TH.Q2!B19:E350,4,FALSE)</f>
        <v>Phó Hiệu trưởng</v>
      </c>
      <c r="F25" s="1136">
        <v>4.9800000000000004</v>
      </c>
      <c r="G25" s="1137">
        <v>7.0000000000000007E-2</v>
      </c>
      <c r="H25" s="1393">
        <f t="shared" ref="H25:H88" si="0">ROUND(F25*G25,3)</f>
        <v>0.34899999999999998</v>
      </c>
      <c r="I25" s="1138">
        <v>0.9</v>
      </c>
      <c r="J25" s="1138" t="str">
        <f>VLOOKUP(B25,'[25]Gui chi Quynh'!$B$11:$E$396,4,FALSE)</f>
        <v>A1</v>
      </c>
      <c r="K25" s="1138">
        <f t="shared" ref="K25:K88" si="1">IF(J25="A1",0.8,IF(J25="A2",0.7,IF(J25="A3",0.6,IF(J25="A4",0.5,IF(J25="B1",0.35,IF(J25="B2",0.25,IF(J25="C1",0.15,IF(J25="C2",0.1,0))))))))</f>
        <v>0.8</v>
      </c>
      <c r="L25" s="1139">
        <v>20</v>
      </c>
      <c r="M25" s="1139">
        <f>VLOOKUP(B25,'[26]CN BC'!$H$10:$J$275,3,FALSE)</f>
        <v>27</v>
      </c>
      <c r="N25" s="1139">
        <f t="shared" ref="N25:N88" si="2">IF(M25&gt;=L25,L25,IF(M25&lt;L25,M25))</f>
        <v>20</v>
      </c>
      <c r="O25" s="1140"/>
      <c r="P25" s="1141">
        <f t="shared" ref="P25:P88" si="3">(((F25+H25+I25)*$P$21/L25*N25)*K25)+O25</f>
        <v>11660688.000000002</v>
      </c>
      <c r="Q25" s="1646">
        <f>P25/R25</f>
        <v>4.983200000000001</v>
      </c>
      <c r="R25" s="1224">
        <v>2340000</v>
      </c>
      <c r="S25" s="1647">
        <f>Q25*R25</f>
        <v>11660688.000000002</v>
      </c>
      <c r="T25" s="1142">
        <f t="shared" ref="T25:T88" si="4">A25</f>
        <v>1</v>
      </c>
      <c r="U25" s="1143">
        <f>IFERROR(INDEX('[26]CN BC'!$M$10:$M$276,MATCH(B25,'[26]CN BC'!$H$10:$H$276,0)),"")</f>
        <v>0</v>
      </c>
      <c r="V25" s="1144" t="str">
        <f>VLOOKUP(B25,TH.T4!B22:AC352,28,FALSE)</f>
        <v>BGH</v>
      </c>
      <c r="W25" s="1151"/>
      <c r="X25" s="1152"/>
      <c r="Y25" s="1147"/>
      <c r="Z25" s="1146"/>
      <c r="AA25" s="1146"/>
      <c r="AB25" s="1146"/>
      <c r="AC25" s="1146"/>
      <c r="AD25" s="1146"/>
      <c r="AE25" s="1146"/>
      <c r="AF25" s="1146"/>
      <c r="AG25" s="1146"/>
      <c r="AH25" s="1146"/>
      <c r="AI25" s="1146"/>
    </row>
    <row r="26" spans="1:35" s="1148" customFormat="1" ht="27" customHeight="1">
      <c r="A26" s="1132">
        <f>_xlfn.AGGREGATE(4,7,A$24:A25)+1</f>
        <v>2</v>
      </c>
      <c r="B26" s="1133" t="s">
        <v>1845</v>
      </c>
      <c r="C26" s="1153" t="s">
        <v>1615</v>
      </c>
      <c r="D26" s="1154" t="s">
        <v>1255</v>
      </c>
      <c r="E26" s="1058" t="str">
        <f>VLOOKUP(B26,TH.Q2!B20:E351,4,FALSE)</f>
        <v>Phó Hiệu trưởng</v>
      </c>
      <c r="F26" s="1136">
        <v>4.9800000000000004</v>
      </c>
      <c r="G26" s="1137">
        <v>0.09</v>
      </c>
      <c r="H26" s="1393">
        <f t="shared" si="0"/>
        <v>0.44800000000000001</v>
      </c>
      <c r="I26" s="1138">
        <v>0.7</v>
      </c>
      <c r="J26" s="1138" t="str">
        <f>VLOOKUP(B26,'[25]Gui chi Quynh'!$B$11:$E$396,4,FALSE)</f>
        <v>A1</v>
      </c>
      <c r="K26" s="1138">
        <f t="shared" si="1"/>
        <v>0.8</v>
      </c>
      <c r="L26" s="1139">
        <v>20</v>
      </c>
      <c r="M26" s="1139">
        <f>VLOOKUP(B26,'[26]CN BC'!$H$10:$J$275,3,FALSE)</f>
        <v>29</v>
      </c>
      <c r="N26" s="1139">
        <f t="shared" si="2"/>
        <v>20</v>
      </c>
      <c r="O26" s="1140"/>
      <c r="P26" s="1141">
        <f t="shared" si="3"/>
        <v>11471616.000000002</v>
      </c>
      <c r="Q26" s="1646">
        <f t="shared" ref="Q26:Q89" si="5">P26/R26</f>
        <v>4.902400000000001</v>
      </c>
      <c r="R26" s="1580">
        <v>2340000</v>
      </c>
      <c r="S26" s="1647">
        <f t="shared" ref="S26:S89" si="6">Q26*R26</f>
        <v>11471616.000000002</v>
      </c>
      <c r="T26" s="1142">
        <f t="shared" si="4"/>
        <v>2</v>
      </c>
      <c r="U26" s="1143">
        <f>IFERROR(INDEX('[26]CN BC'!$M$10:$M$276,MATCH(B26,'[26]CN BC'!$H$10:$H$276,0)),"")</f>
        <v>0</v>
      </c>
      <c r="V26" s="1144" t="str">
        <f>VLOOKUP(B26,TH.T4!B23:AC353,28,FALSE)</f>
        <v>BGH</v>
      </c>
      <c r="W26" s="1156"/>
      <c r="X26" s="1157"/>
      <c r="Y26" s="1158"/>
    </row>
    <row r="27" spans="1:35" s="1148" customFormat="1" ht="24.75" customHeight="1">
      <c r="A27" s="1132">
        <f>_xlfn.AGGREGATE(4,7,A$24:A26)+1</f>
        <v>3</v>
      </c>
      <c r="B27" s="1133" t="s">
        <v>1533</v>
      </c>
      <c r="C27" s="1153" t="s">
        <v>1954</v>
      </c>
      <c r="D27" s="1159" t="s">
        <v>1937</v>
      </c>
      <c r="E27" s="1058" t="str">
        <f>VLOOKUP(B27,TH.Q2!B21:E352,4,FALSE)</f>
        <v>Phó Hiệu trưởng</v>
      </c>
      <c r="F27" s="1160">
        <v>4.9800000000000004</v>
      </c>
      <c r="G27" s="1137"/>
      <c r="H27" s="1393">
        <f t="shared" si="0"/>
        <v>0</v>
      </c>
      <c r="I27" s="1138">
        <v>0.7</v>
      </c>
      <c r="J27" s="1138" t="str">
        <f>VLOOKUP(B27,'[25]Gui chi Quynh'!$B$11:$E$396,4,FALSE)</f>
        <v>A1</v>
      </c>
      <c r="K27" s="1138">
        <f t="shared" si="1"/>
        <v>0.8</v>
      </c>
      <c r="L27" s="1139">
        <v>20</v>
      </c>
      <c r="M27" s="1139">
        <f>VLOOKUP(B27,'[26]CN BC'!$H$10:$J$275,3,FALSE)</f>
        <v>28</v>
      </c>
      <c r="N27" s="1139">
        <f t="shared" si="2"/>
        <v>20</v>
      </c>
      <c r="O27" s="1140"/>
      <c r="P27" s="1141">
        <f t="shared" si="3"/>
        <v>10632960.000000002</v>
      </c>
      <c r="Q27" s="1646">
        <f t="shared" si="5"/>
        <v>4.5440000000000005</v>
      </c>
      <c r="R27" s="1580">
        <v>2340000</v>
      </c>
      <c r="S27" s="1647">
        <f t="shared" si="6"/>
        <v>10632960.000000002</v>
      </c>
      <c r="T27" s="1142">
        <f t="shared" si="4"/>
        <v>3</v>
      </c>
      <c r="U27" s="1143">
        <f>IFERROR(INDEX('[26]CN BC'!$M$10:$M$276,MATCH(B27,'[26]CN BC'!$H$10:$H$276,0)),"")</f>
        <v>0</v>
      </c>
      <c r="V27" s="1144" t="str">
        <f>VLOOKUP(B27,TH.T4!B24:AC354,28,FALSE)</f>
        <v>BGH</v>
      </c>
      <c r="W27" s="1161"/>
      <c r="X27" s="1162"/>
      <c r="Y27" s="1147"/>
      <c r="Z27" s="1146"/>
      <c r="AA27" s="1146"/>
      <c r="AB27" s="1146"/>
      <c r="AC27" s="1146"/>
      <c r="AD27" s="1146"/>
      <c r="AE27" s="1146"/>
    </row>
    <row r="28" spans="1:35" s="1148" customFormat="1" ht="33" customHeight="1">
      <c r="A28" s="1132">
        <f>_xlfn.AGGREGATE(4,7,A$24:A27)+1</f>
        <v>4</v>
      </c>
      <c r="B28" s="1133" t="s">
        <v>1458</v>
      </c>
      <c r="C28" s="1132" t="s">
        <v>1995</v>
      </c>
      <c r="D28" s="1150" t="s">
        <v>1577</v>
      </c>
      <c r="E28" s="383" t="str">
        <f>VLOOKUP(B28,TH.Q2!B22:E353,4,FALSE)</f>
        <v>Trưởng phòng TC - HC - TH</v>
      </c>
      <c r="F28" s="1136">
        <v>4.9800000000000004</v>
      </c>
      <c r="G28" s="1137">
        <v>0.06</v>
      </c>
      <c r="H28" s="1400">
        <f t="shared" si="0"/>
        <v>0.29899999999999999</v>
      </c>
      <c r="I28" s="1138">
        <v>0.45</v>
      </c>
      <c r="J28" s="1138" t="str">
        <f>VLOOKUP(B28,'[25]Gui chi Quynh'!$B$11:$E$396,4,FALSE)</f>
        <v>A1</v>
      </c>
      <c r="K28" s="1138">
        <f t="shared" si="1"/>
        <v>0.8</v>
      </c>
      <c r="L28" s="1139">
        <v>20</v>
      </c>
      <c r="M28" s="1139">
        <f>VLOOKUP(B28,'[26]CN BC'!$H$10:$J$275,3,FALSE)</f>
        <v>28</v>
      </c>
      <c r="N28" s="1139">
        <f t="shared" si="2"/>
        <v>20</v>
      </c>
      <c r="O28" s="1155"/>
      <c r="P28" s="1141">
        <f t="shared" si="3"/>
        <v>10724688.000000002</v>
      </c>
      <c r="Q28" s="1646">
        <f t="shared" si="5"/>
        <v>4.5832000000000006</v>
      </c>
      <c r="R28" s="1580">
        <v>2340000</v>
      </c>
      <c r="S28" s="1647">
        <f t="shared" si="6"/>
        <v>10724688.000000002</v>
      </c>
      <c r="T28" s="1142">
        <f t="shared" si="4"/>
        <v>4</v>
      </c>
      <c r="U28" s="1143">
        <f>IFERROR(INDEX('[26]CN BC'!$M$10:$M$276,MATCH(B28,'[26]CN BC'!$H$10:$H$276,0)),"")</f>
        <v>0</v>
      </c>
      <c r="V28" s="1189" t="str">
        <f>VLOOKUP(B28,TH.T4!B25:AC355,28,FALSE)</f>
        <v>TCHC</v>
      </c>
      <c r="W28" s="1577" t="s">
        <v>2272</v>
      </c>
      <c r="X28" s="1577" t="s">
        <v>2273</v>
      </c>
      <c r="Y28" s="1577" t="s">
        <v>2274</v>
      </c>
      <c r="Z28" s="1578"/>
    </row>
    <row r="29" spans="1:35" s="1148" customFormat="1" ht="33" customHeight="1">
      <c r="A29" s="1132">
        <f>_xlfn.AGGREGATE(4,7,A$24:A28)+1</f>
        <v>5</v>
      </c>
      <c r="B29" s="1164" t="s">
        <v>1596</v>
      </c>
      <c r="C29" s="1165" t="s">
        <v>1623</v>
      </c>
      <c r="D29" s="1166">
        <v>1603205353720</v>
      </c>
      <c r="E29" s="1058" t="str">
        <f>VLOOKUP(B29,TH.Q2!B23:E354,4,FALSE)</f>
        <v>Phó Trưởng phòng Tổ chức - Hành chính - TH</v>
      </c>
      <c r="F29" s="1160">
        <v>3.66</v>
      </c>
      <c r="G29" s="1137"/>
      <c r="H29" s="1393">
        <f t="shared" si="0"/>
        <v>0</v>
      </c>
      <c r="I29" s="1138">
        <v>0.35</v>
      </c>
      <c r="J29" s="1138" t="str">
        <f>VLOOKUP(B29,'[25]Gui chi Quynh'!$B$11:$E$396,4,FALSE)</f>
        <v>A1</v>
      </c>
      <c r="K29" s="1138">
        <f t="shared" si="1"/>
        <v>0.8</v>
      </c>
      <c r="L29" s="1139">
        <v>20</v>
      </c>
      <c r="M29" s="1139">
        <f>VLOOKUP(B29,'[26]CN BC'!$H$10:$J$275,3,FALSE)</f>
        <v>24</v>
      </c>
      <c r="N29" s="1139">
        <f t="shared" si="2"/>
        <v>20</v>
      </c>
      <c r="O29" s="1140"/>
      <c r="P29" s="1141">
        <f t="shared" si="3"/>
        <v>7506720</v>
      </c>
      <c r="Q29" s="1646">
        <f t="shared" si="5"/>
        <v>3.2080000000000002</v>
      </c>
      <c r="R29" s="1580">
        <v>2340000</v>
      </c>
      <c r="S29" s="1647">
        <f t="shared" si="6"/>
        <v>7506720</v>
      </c>
      <c r="T29" s="1142">
        <f t="shared" si="4"/>
        <v>5</v>
      </c>
      <c r="U29" s="1143">
        <f>IFERROR(INDEX('[26]CN BC'!$M$10:$M$276,MATCH(B29,'[26]CN BC'!$H$10:$H$276,0)),"")</f>
        <v>0</v>
      </c>
      <c r="V29" s="1144" t="str">
        <f>VLOOKUP(B29,TH.T4!B26:AC356,28,FALSE)</f>
        <v>TCHC</v>
      </c>
      <c r="W29" s="1252">
        <f>_xlfn.AGGREGATE(4,7,W$28:W28)+1</f>
        <v>1</v>
      </c>
      <c r="X29" s="1252" t="s">
        <v>2014</v>
      </c>
      <c r="Y29" s="1253" t="s">
        <v>2275</v>
      </c>
      <c r="Z29" s="1254" t="e">
        <f>SUMIF(#REF!,$K29,$H$26:$H$88)</f>
        <v>#REF!</v>
      </c>
      <c r="AA29" s="1146"/>
      <c r="AB29" s="1146"/>
      <c r="AC29" s="1146"/>
      <c r="AD29" s="1146"/>
      <c r="AE29" s="1146"/>
    </row>
    <row r="30" spans="1:35" s="1148" customFormat="1" ht="33" customHeight="1">
      <c r="A30" s="1132">
        <f>_xlfn.AGGREGATE(4,7,A$24:A29)+1</f>
        <v>6</v>
      </c>
      <c r="B30" s="1133" t="s">
        <v>1464</v>
      </c>
      <c r="C30" s="1153" t="s">
        <v>1660</v>
      </c>
      <c r="D30" s="1168">
        <v>1603205185719</v>
      </c>
      <c r="E30" s="1058" t="str">
        <f>VLOOKUP(B30,TH.Q2!B24:E355,4,FALSE)</f>
        <v>Phó Trưởng phòng Tổ chức - Hành chính - TH</v>
      </c>
      <c r="F30" s="1160">
        <v>3</v>
      </c>
      <c r="G30" s="1137"/>
      <c r="H30" s="1393">
        <f t="shared" si="0"/>
        <v>0</v>
      </c>
      <c r="I30" s="1138">
        <v>0.35</v>
      </c>
      <c r="J30" s="1138" t="str">
        <f>VLOOKUP(B30,'[25]Gui chi Quynh'!$B$11:$E$396,4,FALSE)</f>
        <v>A1</v>
      </c>
      <c r="K30" s="1138">
        <f t="shared" si="1"/>
        <v>0.8</v>
      </c>
      <c r="L30" s="1139">
        <v>20</v>
      </c>
      <c r="M30" s="1139">
        <f>VLOOKUP(B30,'[26]CN BC'!$H$10:$J$275,3,FALSE)</f>
        <v>27</v>
      </c>
      <c r="N30" s="1139">
        <f t="shared" si="2"/>
        <v>20</v>
      </c>
      <c r="O30" s="1140"/>
      <c r="P30" s="1141">
        <f t="shared" si="3"/>
        <v>6271200</v>
      </c>
      <c r="Q30" s="1646">
        <f t="shared" si="5"/>
        <v>2.68</v>
      </c>
      <c r="R30" s="1580">
        <v>2340000</v>
      </c>
      <c r="S30" s="1647">
        <f t="shared" si="6"/>
        <v>6271200</v>
      </c>
      <c r="T30" s="1142">
        <f t="shared" si="4"/>
        <v>6</v>
      </c>
      <c r="U30" s="1143">
        <f>IFERROR(INDEX('[26]CN BC'!$M$10:$M$276,MATCH(B30,'[26]CN BC'!$H$10:$H$276,0)),"")</f>
        <v>0</v>
      </c>
      <c r="V30" s="1144" t="str">
        <f>VLOOKUP(B30,TH.T4!B27:AC357,28,FALSE)</f>
        <v>TCHC</v>
      </c>
      <c r="W30" s="1252">
        <f>_xlfn.AGGREGATE(4,7,W$28:W29)+1</f>
        <v>2</v>
      </c>
      <c r="X30" s="437" t="s">
        <v>2224</v>
      </c>
      <c r="Y30" s="1253" t="s">
        <v>2276</v>
      </c>
      <c r="Z30" s="1254" t="e">
        <f>SUMIF(#REF!,$K30,$H$26:$H$88)</f>
        <v>#REF!</v>
      </c>
      <c r="AA30" s="1146"/>
      <c r="AB30" s="1146"/>
      <c r="AC30" s="1146"/>
      <c r="AD30" s="1146"/>
      <c r="AE30" s="1146"/>
    </row>
    <row r="31" spans="1:35" s="1148" customFormat="1" ht="33" customHeight="1">
      <c r="A31" s="1132">
        <f>_xlfn.AGGREGATE(4,7,A$24:A30)+1</f>
        <v>7</v>
      </c>
      <c r="B31" s="1133" t="s">
        <v>1846</v>
      </c>
      <c r="C31" s="1153" t="s">
        <v>1618</v>
      </c>
      <c r="D31" s="1154" t="s">
        <v>1264</v>
      </c>
      <c r="E31" s="1058" t="str">
        <f>VLOOKUP(B31,TH.Q2!B25:E356,4,FALSE)</f>
        <v>NV Phòng Tổ chức - Hành chính - Tổng hợp</v>
      </c>
      <c r="F31" s="1136">
        <v>3.99</v>
      </c>
      <c r="G31" s="1137"/>
      <c r="H31" s="1393">
        <f t="shared" si="0"/>
        <v>0</v>
      </c>
      <c r="I31" s="1138"/>
      <c r="J31" s="1138" t="str">
        <f>VLOOKUP(B31,'[25]Gui chi Quynh'!$B$11:$E$396,4,FALSE)</f>
        <v>A1</v>
      </c>
      <c r="K31" s="1138">
        <f t="shared" si="1"/>
        <v>0.8</v>
      </c>
      <c r="L31" s="1139">
        <v>20</v>
      </c>
      <c r="M31" s="1139">
        <f>VLOOKUP(B31,'[26]CN BC'!$H$10:$J$275,3,FALSE)</f>
        <v>23</v>
      </c>
      <c r="N31" s="1139">
        <f t="shared" si="2"/>
        <v>20</v>
      </c>
      <c r="O31" s="1140"/>
      <c r="P31" s="1141">
        <f t="shared" si="3"/>
        <v>7469280</v>
      </c>
      <c r="Q31" s="1646">
        <f t="shared" si="5"/>
        <v>3.1920000000000002</v>
      </c>
      <c r="R31" s="1580">
        <v>2340000</v>
      </c>
      <c r="S31" s="1647">
        <f t="shared" si="6"/>
        <v>7469280</v>
      </c>
      <c r="T31" s="1142">
        <f t="shared" si="4"/>
        <v>7</v>
      </c>
      <c r="U31" s="1143">
        <f>IFERROR(INDEX('[26]CN BC'!$M$10:$M$276,MATCH(B31,'[26]CN BC'!$H$10:$H$276,0)),"")</f>
        <v>0</v>
      </c>
      <c r="V31" s="1144" t="str">
        <f>VLOOKUP(B31,TH.T4!B28:AC358,28,FALSE)</f>
        <v>TCHC</v>
      </c>
      <c r="W31" s="1252">
        <f>_xlfn.AGGREGATE(4,7,W$28:W30)+1</f>
        <v>3</v>
      </c>
      <c r="X31" s="1255" t="s">
        <v>527</v>
      </c>
      <c r="Y31" s="1256" t="s">
        <v>2277</v>
      </c>
      <c r="Z31" s="1257" t="e">
        <f>SUMIF(#REF!,$K31,$H$26:$H$88)</f>
        <v>#REF!</v>
      </c>
      <c r="AA31" s="1146"/>
      <c r="AB31" s="1146"/>
      <c r="AC31" s="1146"/>
      <c r="AD31" s="1146"/>
      <c r="AE31" s="1146"/>
    </row>
    <row r="32" spans="1:35" s="1148" customFormat="1" ht="33" customHeight="1">
      <c r="A32" s="1132">
        <f>_xlfn.AGGREGATE(4,7,A$24:A31)+1</f>
        <v>8</v>
      </c>
      <c r="B32" s="1133" t="s">
        <v>1827</v>
      </c>
      <c r="C32" s="1153" t="s">
        <v>1619</v>
      </c>
      <c r="D32" s="1154" t="s">
        <v>1265</v>
      </c>
      <c r="E32" s="1058" t="str">
        <f>VLOOKUP(B32,TH.Q2!B26:E357,4,FALSE)</f>
        <v>NV Phòng Tổ chức - Hành chính - Tổng hợp</v>
      </c>
      <c r="F32" s="1160">
        <v>3.99</v>
      </c>
      <c r="G32" s="1137"/>
      <c r="H32" s="1393">
        <f t="shared" si="0"/>
        <v>0</v>
      </c>
      <c r="I32" s="1138"/>
      <c r="J32" s="1138" t="str">
        <f>VLOOKUP(B32,'[25]Gui chi Quynh'!$B$11:$E$396,4,FALSE)</f>
        <v>A1</v>
      </c>
      <c r="K32" s="1138">
        <f t="shared" si="1"/>
        <v>0.8</v>
      </c>
      <c r="L32" s="1139">
        <v>20</v>
      </c>
      <c r="M32" s="1139">
        <f>VLOOKUP(B32,'[26]CN BC'!$H$10:$J$275,3,FALSE)</f>
        <v>24</v>
      </c>
      <c r="N32" s="1139">
        <f t="shared" si="2"/>
        <v>20</v>
      </c>
      <c r="O32" s="1140"/>
      <c r="P32" s="1141">
        <f t="shared" si="3"/>
        <v>7469280</v>
      </c>
      <c r="Q32" s="1646">
        <f t="shared" si="5"/>
        <v>3.1920000000000002</v>
      </c>
      <c r="R32" s="1580">
        <v>2340000</v>
      </c>
      <c r="S32" s="1647">
        <f t="shared" si="6"/>
        <v>7469280</v>
      </c>
      <c r="T32" s="1142">
        <f t="shared" si="4"/>
        <v>8</v>
      </c>
      <c r="U32" s="1143">
        <f>IFERROR(INDEX('[26]CN BC'!$M$10:$M$276,MATCH(B32,'[26]CN BC'!$H$10:$H$276,0)),"")</f>
        <v>0</v>
      </c>
      <c r="V32" s="1144" t="str">
        <f>VLOOKUP(B32,TH.T4!B29:AC359,28,FALSE)</f>
        <v>TCHC</v>
      </c>
      <c r="W32" s="1252">
        <f>_xlfn.AGGREGATE(4,7,W$28:W31)+1</f>
        <v>4</v>
      </c>
      <c r="X32" s="437" t="s">
        <v>2227</v>
      </c>
      <c r="Y32" s="1253" t="s">
        <v>2278</v>
      </c>
      <c r="Z32" s="1254" t="e">
        <f>SUMIF(#REF!,$K32,$H$26:$H$88)</f>
        <v>#REF!</v>
      </c>
      <c r="AA32" s="1146"/>
      <c r="AB32" s="1146"/>
      <c r="AC32" s="1146"/>
      <c r="AD32" s="1146"/>
      <c r="AE32" s="1146"/>
    </row>
    <row r="33" spans="1:35" s="1148" customFormat="1" ht="33" customHeight="1">
      <c r="A33" s="1132">
        <f>_xlfn.AGGREGATE(4,7,A$24:A32)+1</f>
        <v>9</v>
      </c>
      <c r="B33" s="1133" t="s">
        <v>1448</v>
      </c>
      <c r="C33" s="1153" t="s">
        <v>1620</v>
      </c>
      <c r="D33" s="1166" t="s">
        <v>1574</v>
      </c>
      <c r="E33" s="1058" t="str">
        <f>VLOOKUP(B33,TH.Q2!B27:E358,4,FALSE)</f>
        <v>NV Phòng Tổ chức - Hành chính - Tổng hợp</v>
      </c>
      <c r="F33" s="1136">
        <v>3.46</v>
      </c>
      <c r="G33" s="1137"/>
      <c r="H33" s="1393">
        <f t="shared" si="0"/>
        <v>0</v>
      </c>
      <c r="I33" s="1138"/>
      <c r="J33" s="1138" t="str">
        <f>VLOOKUP(B33,'[25]Gui chi Quynh'!$B$11:$E$396,4,FALSE)</f>
        <v>A1</v>
      </c>
      <c r="K33" s="1138">
        <f t="shared" si="1"/>
        <v>0.8</v>
      </c>
      <c r="L33" s="1139">
        <v>20</v>
      </c>
      <c r="M33" s="1139">
        <f>VLOOKUP(B33,'[26]CN BC'!$H$10:$J$275,3,FALSE)</f>
        <v>24</v>
      </c>
      <c r="N33" s="1139">
        <f t="shared" si="2"/>
        <v>20</v>
      </c>
      <c r="O33" s="1140"/>
      <c r="P33" s="1141">
        <f t="shared" si="3"/>
        <v>6477120</v>
      </c>
      <c r="Q33" s="1646">
        <f t="shared" si="5"/>
        <v>2.7679999999999998</v>
      </c>
      <c r="R33" s="1580">
        <v>2340000</v>
      </c>
      <c r="S33" s="1647">
        <f t="shared" si="6"/>
        <v>6477119.9999999991</v>
      </c>
      <c r="T33" s="1142">
        <f t="shared" si="4"/>
        <v>9</v>
      </c>
      <c r="U33" s="1143">
        <f>IFERROR(INDEX('[26]CN BC'!$M$10:$M$276,MATCH(B33,'[26]CN BC'!$H$10:$H$276,0)),"")</f>
        <v>0</v>
      </c>
      <c r="V33" s="1144" t="str">
        <f>VLOOKUP(B33,TH.T4!B30:AC360,28,FALSE)</f>
        <v>TCHC</v>
      </c>
      <c r="W33" s="1252">
        <f>_xlfn.AGGREGATE(4,7,W$28:W32)+1</f>
        <v>5</v>
      </c>
      <c r="X33" s="1252" t="s">
        <v>2230</v>
      </c>
      <c r="Y33" s="1253" t="s">
        <v>2279</v>
      </c>
      <c r="Z33" s="1254" t="e">
        <f>SUMIF(#REF!,$K33,$H$26:$H$88)</f>
        <v>#REF!</v>
      </c>
      <c r="AA33" s="1146"/>
      <c r="AB33" s="1146"/>
      <c r="AC33" s="1146"/>
      <c r="AD33" s="1146"/>
      <c r="AE33" s="1146"/>
    </row>
    <row r="34" spans="1:35" s="1148" customFormat="1" ht="33" customHeight="1">
      <c r="A34" s="1132">
        <f>_xlfn.AGGREGATE(4,7,A$24:A33)+1</f>
        <v>10</v>
      </c>
      <c r="B34" s="1133" t="s">
        <v>1449</v>
      </c>
      <c r="C34" s="1149" t="s">
        <v>1621</v>
      </c>
      <c r="D34" s="1169">
        <v>1603205280047</v>
      </c>
      <c r="E34" s="1058" t="str">
        <f>VLOOKUP(B34,TH.Q2!B28:E359,4,FALSE)</f>
        <v>NV Phòng Tổ chức - Hành chính - Tổng hợp</v>
      </c>
      <c r="F34" s="1160">
        <v>3.66</v>
      </c>
      <c r="G34" s="1170"/>
      <c r="H34" s="1393">
        <f t="shared" si="0"/>
        <v>0</v>
      </c>
      <c r="I34" s="1138"/>
      <c r="J34" s="1138" t="str">
        <f>VLOOKUP(B34,'[25]Gui chi Quynh'!$B$11:$E$396,4,FALSE)</f>
        <v>A2</v>
      </c>
      <c r="K34" s="1138">
        <f t="shared" si="1"/>
        <v>0.7</v>
      </c>
      <c r="L34" s="1139">
        <v>20</v>
      </c>
      <c r="M34" s="1139">
        <f>VLOOKUP(B34,'[26]CN BC'!$H$10:$J$275,3,FALSE)</f>
        <v>21.5</v>
      </c>
      <c r="N34" s="1139">
        <f t="shared" si="2"/>
        <v>20</v>
      </c>
      <c r="O34" s="1140"/>
      <c r="P34" s="1141">
        <f t="shared" si="3"/>
        <v>5995080</v>
      </c>
      <c r="Q34" s="1646">
        <f t="shared" si="5"/>
        <v>2.5619999999999998</v>
      </c>
      <c r="R34" s="1580">
        <v>2340000</v>
      </c>
      <c r="S34" s="1647">
        <f t="shared" si="6"/>
        <v>5995080</v>
      </c>
      <c r="T34" s="1142">
        <f t="shared" si="4"/>
        <v>10</v>
      </c>
      <c r="U34" s="1143">
        <f>IFERROR(INDEX('[26]CN BC'!$M$10:$M$276,MATCH(B34,'[26]CN BC'!$H$10:$H$276,0)),"")</f>
        <v>0</v>
      </c>
      <c r="V34" s="1144" t="str">
        <f>VLOOKUP(B34,TH.T4!B31:AC361,28,FALSE)</f>
        <v>TCHC</v>
      </c>
      <c r="W34" s="1252">
        <f>_xlfn.AGGREGATE(4,7,W$28:W33)+1</f>
        <v>6</v>
      </c>
      <c r="X34" s="437" t="s">
        <v>2219</v>
      </c>
      <c r="Y34" s="1253" t="s">
        <v>2280</v>
      </c>
      <c r="Z34" s="1254" t="e">
        <f>SUMIF(#REF!,$K34,$H$26:$H$88)</f>
        <v>#REF!</v>
      </c>
      <c r="AA34" s="1146"/>
      <c r="AB34" s="1146"/>
      <c r="AC34" s="1146"/>
      <c r="AD34" s="1146"/>
      <c r="AE34" s="1146"/>
      <c r="AF34" s="1146"/>
      <c r="AG34" s="1146"/>
      <c r="AH34" s="1146"/>
      <c r="AI34" s="1146"/>
    </row>
    <row r="35" spans="1:35" s="1148" customFormat="1" ht="33" customHeight="1">
      <c r="A35" s="1132">
        <f>_xlfn.AGGREGATE(4,7,A$24:A34)+1</f>
        <v>11</v>
      </c>
      <c r="B35" s="1133" t="s">
        <v>1828</v>
      </c>
      <c r="C35" s="1153" t="s">
        <v>1622</v>
      </c>
      <c r="D35" s="1168" t="s">
        <v>385</v>
      </c>
      <c r="E35" s="1058" t="str">
        <f>VLOOKUP(B35,TH.Q2!B29:E360,4,FALSE)</f>
        <v>NV Phòng Tổ chức - Hành chính - Tổng hợp</v>
      </c>
      <c r="F35" s="1136">
        <v>3.66</v>
      </c>
      <c r="G35" s="1137"/>
      <c r="H35" s="1393">
        <f t="shared" si="0"/>
        <v>0</v>
      </c>
      <c r="I35" s="1138"/>
      <c r="J35" s="1138" t="str">
        <f>VLOOKUP(B35,'[25]Gui chi Quynh'!$B$11:$E$396,4,FALSE)</f>
        <v>A1</v>
      </c>
      <c r="K35" s="1138">
        <f t="shared" si="1"/>
        <v>0.8</v>
      </c>
      <c r="L35" s="1139">
        <v>20</v>
      </c>
      <c r="M35" s="1139">
        <f>VLOOKUP(B35,'[26]CN BC'!$H$10:$J$275,3,FALSE)</f>
        <v>22.5</v>
      </c>
      <c r="N35" s="1139">
        <f t="shared" si="2"/>
        <v>20</v>
      </c>
      <c r="O35" s="1140"/>
      <c r="P35" s="1141">
        <f t="shared" si="3"/>
        <v>6851520</v>
      </c>
      <c r="Q35" s="1646">
        <f t="shared" si="5"/>
        <v>2.9279999999999999</v>
      </c>
      <c r="R35" s="1580">
        <v>2340000</v>
      </c>
      <c r="S35" s="1647">
        <f t="shared" si="6"/>
        <v>6851520</v>
      </c>
      <c r="T35" s="1142">
        <f t="shared" si="4"/>
        <v>11</v>
      </c>
      <c r="U35" s="1143">
        <f>IFERROR(INDEX('[26]CN BC'!$M$10:$M$276,MATCH(B35,'[26]CN BC'!$H$10:$H$276,0)),"")</f>
        <v>0</v>
      </c>
      <c r="V35" s="1144" t="str">
        <f>VLOOKUP(B35,TH.T4!B32:AC362,28,FALSE)</f>
        <v>TCHC</v>
      </c>
      <c r="W35" s="1255">
        <f>_xlfn.AGGREGATE(4,7,W$28:W34)+1</f>
        <v>7</v>
      </c>
      <c r="X35" s="1255" t="s">
        <v>539</v>
      </c>
      <c r="Y35" s="1256" t="s">
        <v>2281</v>
      </c>
      <c r="Z35" s="1257" t="e">
        <f>SUMIF(#REF!,$K35,$H$26:$H$88)</f>
        <v>#REF!</v>
      </c>
      <c r="AA35" s="1146"/>
      <c r="AB35" s="1146"/>
      <c r="AC35" s="1146"/>
      <c r="AD35" s="1146"/>
      <c r="AE35" s="1146"/>
    </row>
    <row r="36" spans="1:35" s="1148" customFormat="1" ht="33" customHeight="1">
      <c r="A36" s="1132">
        <f>_xlfn.AGGREGATE(4,7,A$24:A35)+1</f>
        <v>12</v>
      </c>
      <c r="B36" s="1133" t="s">
        <v>1847</v>
      </c>
      <c r="C36" s="1149" t="s">
        <v>1643</v>
      </c>
      <c r="D36" s="1154" t="s">
        <v>8</v>
      </c>
      <c r="E36" s="1058" t="str">
        <f>VLOOKUP(B36,TH.Q2!B30:E361,4,FALSE)</f>
        <v>NV Phòng Tổ chức - Hành chính - Tổng hợp</v>
      </c>
      <c r="F36" s="1136">
        <v>3.66</v>
      </c>
      <c r="G36" s="1137"/>
      <c r="H36" s="1393">
        <f t="shared" si="0"/>
        <v>0</v>
      </c>
      <c r="I36" s="1138"/>
      <c r="J36" s="1138" t="str">
        <f>VLOOKUP(B36,'[25]Gui chi Quynh'!$B$11:$E$396,4,FALSE)</f>
        <v>A2</v>
      </c>
      <c r="K36" s="1138">
        <f t="shared" si="1"/>
        <v>0.7</v>
      </c>
      <c r="L36" s="1139">
        <v>20</v>
      </c>
      <c r="M36" s="1139">
        <f>VLOOKUP(B36,'[26]CN BC'!$H$10:$J$275,3,FALSE)</f>
        <v>22.5</v>
      </c>
      <c r="N36" s="1139">
        <f t="shared" si="2"/>
        <v>20</v>
      </c>
      <c r="O36" s="1140"/>
      <c r="P36" s="1141">
        <f t="shared" si="3"/>
        <v>5995080</v>
      </c>
      <c r="Q36" s="1646">
        <f t="shared" si="5"/>
        <v>2.5619999999999998</v>
      </c>
      <c r="R36" s="1580">
        <v>2340000</v>
      </c>
      <c r="S36" s="1647">
        <f t="shared" si="6"/>
        <v>5995080</v>
      </c>
      <c r="T36" s="1142">
        <f t="shared" si="4"/>
        <v>12</v>
      </c>
      <c r="U36" s="1143">
        <f>IFERROR(INDEX('[26]CN BC'!$M$10:$M$276,MATCH(B36,'[26]CN BC'!$H$10:$H$276,0)),"")</f>
        <v>0</v>
      </c>
      <c r="V36" s="1144" t="str">
        <f>VLOOKUP(B36,TH.T4!B33:AC363,28,FALSE)</f>
        <v>TCHC</v>
      </c>
      <c r="W36" s="1252">
        <f>_xlfn.AGGREGATE(4,7,W$28:W35)+1</f>
        <v>8</v>
      </c>
      <c r="X36" s="1252" t="s">
        <v>2237</v>
      </c>
      <c r="Y36" s="1253" t="s">
        <v>2282</v>
      </c>
      <c r="Z36" s="1254" t="e">
        <f>SUMIF(#REF!,$K36,$H$26:$H$88)</f>
        <v>#REF!</v>
      </c>
      <c r="AA36" s="1146"/>
      <c r="AB36" s="1146"/>
      <c r="AC36" s="1146"/>
      <c r="AD36" s="1146"/>
      <c r="AE36" s="1146"/>
      <c r="AF36" s="1146"/>
      <c r="AG36" s="1146"/>
      <c r="AH36" s="1146"/>
      <c r="AI36" s="1146"/>
    </row>
    <row r="37" spans="1:35" s="1148" customFormat="1" ht="33" customHeight="1">
      <c r="A37" s="1132">
        <f>_xlfn.AGGREGATE(4,7,A$24:A36)+1</f>
        <v>13</v>
      </c>
      <c r="B37" s="1133" t="s">
        <v>1848</v>
      </c>
      <c r="C37" s="1153" t="s">
        <v>1644</v>
      </c>
      <c r="D37" s="1166">
        <v>1603205360856</v>
      </c>
      <c r="E37" s="1058" t="str">
        <f>VLOOKUP(B37,TH.Q2!B31:E362,4,FALSE)</f>
        <v>NV Phòng Tổ chức - Hành chính - Tổng hợp</v>
      </c>
      <c r="F37" s="1160">
        <v>3.33</v>
      </c>
      <c r="G37" s="1137"/>
      <c r="H37" s="1393">
        <f t="shared" si="0"/>
        <v>0</v>
      </c>
      <c r="I37" s="1138"/>
      <c r="J37" s="1138" t="str">
        <f>VLOOKUP(B37,'[25]Gui chi Quynh'!$B$11:$E$396,4,FALSE)</f>
        <v>A1</v>
      </c>
      <c r="K37" s="1138">
        <f t="shared" si="1"/>
        <v>0.8</v>
      </c>
      <c r="L37" s="1139">
        <v>20</v>
      </c>
      <c r="M37" s="1139">
        <f>VLOOKUP(B37,'[26]CN BC'!$H$10:$J$275,3,FALSE)</f>
        <v>22</v>
      </c>
      <c r="N37" s="1139">
        <f t="shared" si="2"/>
        <v>20</v>
      </c>
      <c r="O37" s="1140"/>
      <c r="P37" s="1141">
        <f t="shared" si="3"/>
        <v>6233760</v>
      </c>
      <c r="Q37" s="1646">
        <f t="shared" si="5"/>
        <v>2.6640000000000001</v>
      </c>
      <c r="R37" s="1580">
        <v>2340000</v>
      </c>
      <c r="S37" s="1647">
        <f t="shared" si="6"/>
        <v>6233760</v>
      </c>
      <c r="T37" s="1142">
        <f t="shared" si="4"/>
        <v>13</v>
      </c>
      <c r="U37" s="1143">
        <f>IFERROR(INDEX('[26]CN BC'!$M$10:$M$276,MATCH(B37,'[26]CN BC'!$H$10:$H$276,0)),"")</f>
        <v>0</v>
      </c>
      <c r="V37" s="1144" t="str">
        <f>VLOOKUP(B37,TH.T4!B34:AC364,28,FALSE)</f>
        <v>TCHC</v>
      </c>
      <c r="W37" s="1252">
        <f>_xlfn.AGGREGATE(4,7,W$28:W36)+1</f>
        <v>9</v>
      </c>
      <c r="X37" s="1252" t="s">
        <v>2238</v>
      </c>
      <c r="Y37" s="1253" t="s">
        <v>2283</v>
      </c>
      <c r="Z37" s="1254" t="e">
        <f>SUMIF(#REF!,$K37,$H$26:$H$88)</f>
        <v>#REF!</v>
      </c>
    </row>
    <row r="38" spans="1:35" s="1148" customFormat="1" ht="33" customHeight="1">
      <c r="A38" s="1132">
        <f>_xlfn.AGGREGATE(4,7,A$24:A37)+1</f>
        <v>14</v>
      </c>
      <c r="B38" s="1164" t="s">
        <v>1603</v>
      </c>
      <c r="C38" s="1165" t="s">
        <v>1624</v>
      </c>
      <c r="D38" s="1166">
        <v>1603205545491</v>
      </c>
      <c r="E38" s="1058" t="str">
        <f>VLOOKUP(B38,TH.Q2!B32:E363,4,FALSE)</f>
        <v>NV Phòng Tổ chức - Hành chính - Tổng hợp</v>
      </c>
      <c r="F38" s="1160">
        <f>2.46+0.15</f>
        <v>2.61</v>
      </c>
      <c r="G38" s="1137"/>
      <c r="H38" s="1393">
        <f t="shared" si="0"/>
        <v>0</v>
      </c>
      <c r="I38" s="1138"/>
      <c r="J38" s="1138" t="str">
        <f>VLOOKUP(B38,'[25]Gui chi Quynh'!$B$11:$E$396,4,FALSE)</f>
        <v>A1</v>
      </c>
      <c r="K38" s="1138">
        <f t="shared" si="1"/>
        <v>0.8</v>
      </c>
      <c r="L38" s="1139">
        <v>20</v>
      </c>
      <c r="M38" s="1139">
        <f>VLOOKUP(B38,'[26]CN BC'!$H$10:$J$275,3,FALSE)</f>
        <v>24</v>
      </c>
      <c r="N38" s="1139">
        <f t="shared" si="2"/>
        <v>20</v>
      </c>
      <c r="O38" s="1140"/>
      <c r="P38" s="1141">
        <f t="shared" si="3"/>
        <v>4885920</v>
      </c>
      <c r="Q38" s="1646">
        <f t="shared" si="5"/>
        <v>2.0880000000000001</v>
      </c>
      <c r="R38" s="1580">
        <v>2340000</v>
      </c>
      <c r="S38" s="1647">
        <f t="shared" si="6"/>
        <v>4885920</v>
      </c>
      <c r="T38" s="1142">
        <f t="shared" si="4"/>
        <v>14</v>
      </c>
      <c r="U38" s="1143">
        <f>IFERROR(INDEX('[26]CN BC'!$M$10:$M$276,MATCH(B38,'[26]CN BC'!$H$10:$H$276,0)),"")</f>
        <v>0</v>
      </c>
      <c r="V38" s="1144" t="str">
        <f>VLOOKUP(B38,TH.T4!B35:AC365,28,FALSE)</f>
        <v>TCHC</v>
      </c>
      <c r="W38" s="1252">
        <f>_xlfn.AGGREGATE(4,7,W$28:W37)+1</f>
        <v>10</v>
      </c>
      <c r="X38" s="1258" t="s">
        <v>2239</v>
      </c>
      <c r="Y38" s="1253" t="s">
        <v>2284</v>
      </c>
      <c r="Z38" s="1254" t="e">
        <f>SUMIF(#REF!,$K38,$H$26:$H$88)</f>
        <v>#REF!</v>
      </c>
      <c r="AA38" s="1146"/>
      <c r="AB38" s="1146"/>
      <c r="AC38" s="1146"/>
      <c r="AD38" s="1146"/>
      <c r="AE38" s="1146"/>
    </row>
    <row r="39" spans="1:35" s="1148" customFormat="1" ht="33" customHeight="1">
      <c r="A39" s="1132">
        <f>_xlfn.AGGREGATE(4,7,A$24:A38)+1</f>
        <v>15</v>
      </c>
      <c r="B39" s="1133" t="s">
        <v>1450</v>
      </c>
      <c r="C39" s="1153" t="s">
        <v>1625</v>
      </c>
      <c r="D39" s="1150" t="s">
        <v>1441</v>
      </c>
      <c r="E39" s="383" t="str">
        <f>VLOOKUP(B39,TH.Q2!B33:E364,4,FALSE)</f>
        <v>Trưởng phòng Quản trị - Dịch vụ</v>
      </c>
      <c r="F39" s="1136">
        <v>4.9800000000000004</v>
      </c>
      <c r="G39" s="1137">
        <v>0.06</v>
      </c>
      <c r="H39" s="1400">
        <f t="shared" si="0"/>
        <v>0.29899999999999999</v>
      </c>
      <c r="I39" s="1138">
        <v>0.45</v>
      </c>
      <c r="J39" s="1138" t="str">
        <f>VLOOKUP(B39,'[25]Gui chi Quynh'!$B$11:$E$396,4,FALSE)</f>
        <v>A1</v>
      </c>
      <c r="K39" s="1138">
        <f t="shared" si="1"/>
        <v>0.8</v>
      </c>
      <c r="L39" s="1139">
        <v>20</v>
      </c>
      <c r="M39" s="1139">
        <f>VLOOKUP(B39,'[26]CN BC'!$H$10:$J$275,3,FALSE)</f>
        <v>27</v>
      </c>
      <c r="N39" s="1139">
        <f t="shared" si="2"/>
        <v>20</v>
      </c>
      <c r="O39" s="1155"/>
      <c r="P39" s="1141">
        <f t="shared" si="3"/>
        <v>10724688.000000002</v>
      </c>
      <c r="Q39" s="1646">
        <f t="shared" si="5"/>
        <v>4.5832000000000006</v>
      </c>
      <c r="R39" s="1580">
        <v>2340000</v>
      </c>
      <c r="S39" s="1647">
        <f t="shared" si="6"/>
        <v>10724688.000000002</v>
      </c>
      <c r="T39" s="1142">
        <f t="shared" si="4"/>
        <v>15</v>
      </c>
      <c r="U39" s="1143">
        <f>IFERROR(INDEX('[26]CN BC'!$M$10:$M$276,MATCH(B39,'[26]CN BC'!$H$10:$H$276,0)),"")</f>
        <v>0</v>
      </c>
      <c r="V39" s="1189" t="str">
        <f>VLOOKUP(B39,TH.T4!B36:AC366,28,FALSE)</f>
        <v>QTDV</v>
      </c>
      <c r="W39" s="1255">
        <f>_xlfn.AGGREGATE(4,7,W$28:W38)+1</f>
        <v>11</v>
      </c>
      <c r="X39" s="1255" t="s">
        <v>548</v>
      </c>
      <c r="Y39" s="1256" t="s">
        <v>2285</v>
      </c>
      <c r="Z39" s="1257" t="e">
        <f>SUMIF(#REF!,$K39,$H$26:$H$88)</f>
        <v>#REF!</v>
      </c>
    </row>
    <row r="40" spans="1:35" s="1148" customFormat="1" ht="33" customHeight="1">
      <c r="A40" s="1132">
        <f>_xlfn.AGGREGATE(4,7,A$24:A39)+1</f>
        <v>16</v>
      </c>
      <c r="B40" s="1133" t="s">
        <v>1996</v>
      </c>
      <c r="C40" s="1149" t="s">
        <v>1626</v>
      </c>
      <c r="D40" s="1154" t="s">
        <v>1393</v>
      </c>
      <c r="E40" s="1058" t="str">
        <f>VLOOKUP(B40,TH.Q2!B34:E365,4,FALSE)</f>
        <v>Phó TP. Quản trị - 
Dịch vụ</v>
      </c>
      <c r="F40" s="1136">
        <v>4.9800000000000004</v>
      </c>
      <c r="G40" s="1137">
        <v>7.0000000000000007E-2</v>
      </c>
      <c r="H40" s="1393">
        <f t="shared" si="0"/>
        <v>0.34899999999999998</v>
      </c>
      <c r="I40" s="1138">
        <v>0.35</v>
      </c>
      <c r="J40" s="1138" t="str">
        <f>VLOOKUP(B40,'[25]Gui chi Quynh'!$B$11:$E$396,4,FALSE)</f>
        <v>A1</v>
      </c>
      <c r="K40" s="1138">
        <f t="shared" si="1"/>
        <v>0.8</v>
      </c>
      <c r="L40" s="1139">
        <v>20</v>
      </c>
      <c r="M40" s="1139">
        <f>VLOOKUP(B40,'[26]CN BC'!$H$10:$J$275,3,FALSE)</f>
        <v>22</v>
      </c>
      <c r="N40" s="1139">
        <f t="shared" si="2"/>
        <v>20</v>
      </c>
      <c r="O40" s="1140"/>
      <c r="P40" s="1141">
        <f t="shared" si="3"/>
        <v>10631088</v>
      </c>
      <c r="Q40" s="1646">
        <f t="shared" si="5"/>
        <v>4.5431999999999997</v>
      </c>
      <c r="R40" s="1580">
        <v>2340000</v>
      </c>
      <c r="S40" s="1647">
        <f t="shared" si="6"/>
        <v>10631088</v>
      </c>
      <c r="T40" s="1142">
        <f t="shared" si="4"/>
        <v>16</v>
      </c>
      <c r="U40" s="1143">
        <f>IFERROR(INDEX('[26]CN BC'!$M$10:$M$276,MATCH(B40,'[26]CN BC'!$H$10:$H$276,0)),"")</f>
        <v>0</v>
      </c>
      <c r="V40" s="1144" t="str">
        <f>VLOOKUP(B40,TH.T4!B37:AC367,28,FALSE)</f>
        <v>QTDV</v>
      </c>
      <c r="W40" s="1252">
        <f>_xlfn.AGGREGATE(4,7,W$28:W39)+1</f>
        <v>12</v>
      </c>
      <c r="X40" s="1252" t="s">
        <v>2241</v>
      </c>
      <c r="Y40" s="1253" t="s">
        <v>2286</v>
      </c>
      <c r="Z40" s="1254" t="e">
        <f>SUMIF(#REF!,$K40,$H$26:$H$88)</f>
        <v>#REF!</v>
      </c>
      <c r="AA40" s="1146"/>
      <c r="AB40" s="1146"/>
      <c r="AC40" s="1146"/>
      <c r="AD40" s="1146"/>
      <c r="AE40" s="1146"/>
      <c r="AF40" s="1146"/>
      <c r="AG40" s="1146"/>
      <c r="AH40" s="1146"/>
      <c r="AI40" s="1146"/>
    </row>
    <row r="41" spans="1:35" s="1146" customFormat="1" ht="33" customHeight="1">
      <c r="A41" s="1132">
        <f>_xlfn.AGGREGATE(4,7,A$24:A40)+1</f>
        <v>17</v>
      </c>
      <c r="B41" s="1172" t="s">
        <v>1849</v>
      </c>
      <c r="C41" s="1149" t="s">
        <v>1627</v>
      </c>
      <c r="D41" s="1173" t="s">
        <v>1267</v>
      </c>
      <c r="E41" s="1058" t="str">
        <f>VLOOKUP(B41,TH.Q2!B35:E366,4,FALSE)</f>
        <v>NV Phòng Quản trị - Dịch vụ</v>
      </c>
      <c r="F41" s="1174">
        <v>3.65</v>
      </c>
      <c r="G41" s="1175"/>
      <c r="H41" s="1393">
        <f t="shared" si="0"/>
        <v>0</v>
      </c>
      <c r="I41" s="1176">
        <v>0.25</v>
      </c>
      <c r="J41" s="1138" t="str">
        <f>VLOOKUP(B41,'[25]Gui chi Quynh'!$B$11:$E$396,4,FALSE)</f>
        <v>A1</v>
      </c>
      <c r="K41" s="1138">
        <f t="shared" si="1"/>
        <v>0.8</v>
      </c>
      <c r="L41" s="1139">
        <v>20</v>
      </c>
      <c r="M41" s="1139">
        <f>VLOOKUP(B41,'[26]CN BC'!$H$10:$J$275,3,FALSE)</f>
        <v>21</v>
      </c>
      <c r="N41" s="1139">
        <f t="shared" si="2"/>
        <v>20</v>
      </c>
      <c r="O41" s="1140"/>
      <c r="P41" s="1141">
        <f t="shared" si="3"/>
        <v>7300800</v>
      </c>
      <c r="Q41" s="1646">
        <f t="shared" si="5"/>
        <v>3.12</v>
      </c>
      <c r="R41" s="1580">
        <v>2340000</v>
      </c>
      <c r="S41" s="1647">
        <f t="shared" si="6"/>
        <v>7300800</v>
      </c>
      <c r="T41" s="1142">
        <f t="shared" si="4"/>
        <v>17</v>
      </c>
      <c r="U41" s="1143">
        <f>IFERROR(INDEX('[26]CN BC'!$M$10:$M$276,MATCH(B41,'[26]CN BC'!$H$10:$H$276,0)),"")</f>
        <v>0</v>
      </c>
      <c r="V41" s="1144" t="str">
        <f>VLOOKUP(B41,TH.T4!B38:AC368,28,FALSE)</f>
        <v>QTDV</v>
      </c>
      <c r="W41" s="1252">
        <f>_xlfn.AGGREGATE(4,7,W$28:W40)+1</f>
        <v>13</v>
      </c>
      <c r="X41" s="1252" t="s">
        <v>2240</v>
      </c>
      <c r="Y41" s="1253" t="s">
        <v>2287</v>
      </c>
      <c r="Z41" s="1254" t="e">
        <f>SUMIF(#REF!,$K41,$H$26:$H$88)</f>
        <v>#REF!</v>
      </c>
    </row>
    <row r="42" spans="1:35" s="1148" customFormat="1" ht="33" customHeight="1">
      <c r="A42" s="1132">
        <f>_xlfn.AGGREGATE(4,7,A$24:A41)+1</f>
        <v>18</v>
      </c>
      <c r="B42" s="1133" t="s">
        <v>1850</v>
      </c>
      <c r="C42" s="1153" t="s">
        <v>1628</v>
      </c>
      <c r="D42" s="1154" t="s">
        <v>1268</v>
      </c>
      <c r="E42" s="1058" t="str">
        <f>VLOOKUP(B42,TH.Q2!B36:E367,4,FALSE)</f>
        <v>NV Phòng Quản trị - Dịch vụ</v>
      </c>
      <c r="F42" s="1136">
        <v>3.46</v>
      </c>
      <c r="G42" s="1137"/>
      <c r="H42" s="1393">
        <f t="shared" si="0"/>
        <v>0</v>
      </c>
      <c r="I42" s="1138"/>
      <c r="J42" s="1138" t="str">
        <f>VLOOKUP(B42,'[25]Gui chi Quynh'!$B$11:$E$396,4,FALSE)</f>
        <v>A1</v>
      </c>
      <c r="K42" s="1138">
        <f t="shared" si="1"/>
        <v>0.8</v>
      </c>
      <c r="L42" s="1139">
        <v>20</v>
      </c>
      <c r="M42" s="1139">
        <f>VLOOKUP(B42,'[26]CN BC'!$H$10:$J$275,3,FALSE)</f>
        <v>22</v>
      </c>
      <c r="N42" s="1139">
        <f t="shared" si="2"/>
        <v>20</v>
      </c>
      <c r="O42" s="1140"/>
      <c r="P42" s="1141">
        <f t="shared" si="3"/>
        <v>6477120</v>
      </c>
      <c r="Q42" s="1646">
        <f t="shared" si="5"/>
        <v>2.7679999999999998</v>
      </c>
      <c r="R42" s="1580">
        <v>2340000</v>
      </c>
      <c r="S42" s="1647">
        <f t="shared" si="6"/>
        <v>6477119.9999999991</v>
      </c>
      <c r="T42" s="1142">
        <f t="shared" si="4"/>
        <v>18</v>
      </c>
      <c r="U42" s="1143">
        <f>IFERROR(INDEX('[26]CN BC'!$M$10:$M$276,MATCH(B42,'[26]CN BC'!$H$10:$H$276,0)),"")</f>
        <v>0</v>
      </c>
      <c r="V42" s="1144" t="str">
        <f>VLOOKUP(B42,TH.T4!B39:AC369,28,FALSE)</f>
        <v>QTDV</v>
      </c>
      <c r="W42" s="1252">
        <f>_xlfn.AGGREGATE(4,7,W$28:W41)+1</f>
        <v>14</v>
      </c>
      <c r="X42" s="1252" t="s">
        <v>2226</v>
      </c>
      <c r="Y42" s="1253" t="s">
        <v>2288</v>
      </c>
      <c r="Z42" s="1254" t="e">
        <f>SUMIF(#REF!,$K42,$H$26:$H$88)</f>
        <v>#REF!</v>
      </c>
      <c r="AA42" s="1146"/>
      <c r="AB42" s="1146"/>
      <c r="AC42" s="1146"/>
      <c r="AD42" s="1146"/>
      <c r="AE42" s="1146"/>
    </row>
    <row r="43" spans="1:35" s="1146" customFormat="1" ht="33" customHeight="1">
      <c r="A43" s="1132">
        <f>_xlfn.AGGREGATE(4,7,A$24:A42)+1</f>
        <v>19</v>
      </c>
      <c r="B43" s="1172" t="s">
        <v>1451</v>
      </c>
      <c r="C43" s="1149" t="s">
        <v>1629</v>
      </c>
      <c r="D43" s="1177" t="s">
        <v>367</v>
      </c>
      <c r="E43" s="1058" t="str">
        <f>VLOOKUP(B43,TH.Q2!B37:E368,4,FALSE)</f>
        <v>Nhân viên phòng Quản trị - Dịch vụ</v>
      </c>
      <c r="F43" s="1174">
        <v>3.66</v>
      </c>
      <c r="G43" s="1175"/>
      <c r="H43" s="1393">
        <f t="shared" si="0"/>
        <v>0</v>
      </c>
      <c r="I43" s="1176"/>
      <c r="J43" s="1138" t="str">
        <f>VLOOKUP(B43,'[25]Gui chi Quynh'!$B$11:$E$396,4,FALSE)</f>
        <v>A2</v>
      </c>
      <c r="K43" s="1138">
        <f t="shared" si="1"/>
        <v>0.7</v>
      </c>
      <c r="L43" s="1139">
        <v>20</v>
      </c>
      <c r="M43" s="1139">
        <f>VLOOKUP(B43,'[26]CN BC'!$H$10:$J$275,3,FALSE)</f>
        <v>21</v>
      </c>
      <c r="N43" s="1139">
        <f t="shared" si="2"/>
        <v>20</v>
      </c>
      <c r="O43" s="1140"/>
      <c r="P43" s="1141">
        <f t="shared" si="3"/>
        <v>5995080</v>
      </c>
      <c r="Q43" s="1646">
        <f t="shared" si="5"/>
        <v>2.5619999999999998</v>
      </c>
      <c r="R43" s="1580">
        <v>2340000</v>
      </c>
      <c r="S43" s="1647">
        <f t="shared" si="6"/>
        <v>5995080</v>
      </c>
      <c r="T43" s="1142">
        <f t="shared" si="4"/>
        <v>19</v>
      </c>
      <c r="U43" s="1143">
        <f>IFERROR(INDEX('[26]CN BC'!$M$10:$M$276,MATCH(B43,'[26]CN BC'!$H$10:$H$276,0)),"")</f>
        <v>0</v>
      </c>
      <c r="V43" s="1144" t="str">
        <f>VLOOKUP(B43,TH.T4!B40:AC370,28,FALSE)</f>
        <v>QTDV</v>
      </c>
      <c r="W43" s="1252">
        <f>_xlfn.AGGREGATE(4,7,W$28:W42)+1</f>
        <v>15</v>
      </c>
      <c r="X43" s="1258" t="s">
        <v>2289</v>
      </c>
      <c r="Y43" s="1253" t="s">
        <v>2290</v>
      </c>
      <c r="Z43" s="1254" t="e">
        <f>SUMIF(#REF!,$K43,$H$26:$H$88)</f>
        <v>#REF!</v>
      </c>
    </row>
    <row r="44" spans="1:35" s="1148" customFormat="1" ht="33" customHeight="1">
      <c r="A44" s="1132">
        <f>_xlfn.AGGREGATE(4,7,A$24:A43)+1</f>
        <v>20</v>
      </c>
      <c r="B44" s="1133" t="s">
        <v>1452</v>
      </c>
      <c r="C44" s="1153" t="s">
        <v>1630</v>
      </c>
      <c r="D44" s="1166">
        <v>1603205348129</v>
      </c>
      <c r="E44" s="1058" t="str">
        <f>VLOOKUP(B44,TH.Q2!B38:E369,4,FALSE)</f>
        <v>Nhân viên phòng Quản trị - Dịch vụ</v>
      </c>
      <c r="F44" s="1136">
        <v>3.34</v>
      </c>
      <c r="G44" s="1137"/>
      <c r="H44" s="1393">
        <f t="shared" si="0"/>
        <v>0</v>
      </c>
      <c r="I44" s="1138"/>
      <c r="J44" s="1138" t="str">
        <f>VLOOKUP(B44,'[25]Gui chi Quynh'!$B$11:$E$396,4,FALSE)</f>
        <v>A2</v>
      </c>
      <c r="K44" s="1138">
        <f t="shared" si="1"/>
        <v>0.7</v>
      </c>
      <c r="L44" s="1139">
        <v>20</v>
      </c>
      <c r="M44" s="1139">
        <f>VLOOKUP(B44,'[26]CN BC'!$H$10:$J$275,3,FALSE)</f>
        <v>22</v>
      </c>
      <c r="N44" s="1139">
        <f t="shared" si="2"/>
        <v>20</v>
      </c>
      <c r="O44" s="1140"/>
      <c r="P44" s="1141">
        <f t="shared" si="3"/>
        <v>5470920</v>
      </c>
      <c r="Q44" s="1646">
        <f t="shared" si="5"/>
        <v>2.3380000000000001</v>
      </c>
      <c r="R44" s="1580">
        <v>2340000</v>
      </c>
      <c r="S44" s="1647">
        <f t="shared" si="6"/>
        <v>5470920</v>
      </c>
      <c r="T44" s="1142">
        <f t="shared" si="4"/>
        <v>20</v>
      </c>
      <c r="U44" s="1143">
        <f>IFERROR(INDEX('[26]CN BC'!$M$10:$M$276,MATCH(B44,'[26]CN BC'!$H$10:$H$276,0)),"")</f>
        <v>0</v>
      </c>
      <c r="V44" s="1144" t="str">
        <f>VLOOKUP(B44,TH.T4!B41:AC371,28,FALSE)</f>
        <v>QTDV</v>
      </c>
      <c r="W44" s="1252">
        <f>_xlfn.AGGREGATE(4,7,W$28:W43)+1</f>
        <v>16</v>
      </c>
      <c r="X44" s="1252" t="s">
        <v>2233</v>
      </c>
      <c r="Y44" s="1253" t="s">
        <v>2291</v>
      </c>
      <c r="Z44" s="1254" t="e">
        <f>SUMIF(#REF!,$K44,$H$26:$H$88)</f>
        <v>#REF!</v>
      </c>
      <c r="AA44" s="1146"/>
      <c r="AB44" s="1146"/>
      <c r="AC44" s="1146"/>
      <c r="AD44" s="1146"/>
      <c r="AE44" s="1146"/>
    </row>
    <row r="45" spans="1:35" s="1146" customFormat="1" ht="43.5" customHeight="1">
      <c r="A45" s="1200">
        <f>_xlfn.AGGREGATE(4,7,A$24:A44)+1</f>
        <v>21</v>
      </c>
      <c r="B45" s="1590" t="s">
        <v>1453</v>
      </c>
      <c r="C45" s="1591" t="s">
        <v>1631</v>
      </c>
      <c r="D45" s="1632" t="s">
        <v>384</v>
      </c>
      <c r="E45" s="490" t="str">
        <f>VLOOKUP(B45,TH.Q2!B39:E370,4,FALSE)</f>
        <v>Nhân viên phòng Quản trị - Dịch vụ</v>
      </c>
      <c r="F45" s="1633">
        <v>3.66</v>
      </c>
      <c r="G45" s="1204"/>
      <c r="H45" s="1398">
        <f t="shared" si="0"/>
        <v>0</v>
      </c>
      <c r="I45" s="1205"/>
      <c r="J45" s="1205" t="str">
        <f>VLOOKUP(B45,'[25]Gui chi Quynh'!$B$11:$E$396,4,FALSE)</f>
        <v>A DN</v>
      </c>
      <c r="K45" s="1205">
        <f t="shared" si="1"/>
        <v>0</v>
      </c>
      <c r="L45" s="1338">
        <v>20</v>
      </c>
      <c r="M45" s="1338">
        <f>VLOOKUP(B45,'[26]CN BC'!$H$10:$J$275,3,FALSE)</f>
        <v>3</v>
      </c>
      <c r="N45" s="1338">
        <f t="shared" si="2"/>
        <v>3</v>
      </c>
      <c r="O45" s="1206"/>
      <c r="P45" s="1339">
        <f t="shared" si="3"/>
        <v>0</v>
      </c>
      <c r="Q45" s="1650">
        <f t="shared" si="5"/>
        <v>0</v>
      </c>
      <c r="R45" s="1512">
        <v>2340000</v>
      </c>
      <c r="S45" s="1651">
        <f t="shared" si="6"/>
        <v>0</v>
      </c>
      <c r="T45" s="1207">
        <f t="shared" si="4"/>
        <v>21</v>
      </c>
      <c r="U45" s="1340" t="str">
        <f>IFERROR(INDEX('[26]CN BC'!$M$10:$M$276,MATCH(B45,'[26]CN BC'!$H$10:$H$276,0)),"")</f>
        <v>Nghỉ bệnh hưởng chế độ BHXH từ ngày 3/11 đến hết 27/11</v>
      </c>
      <c r="V45" s="1144" t="str">
        <f>VLOOKUP(B45,TH.T4!B42:AC372,28,FALSE)</f>
        <v>QTDV</v>
      </c>
      <c r="W45" s="1252">
        <f>_xlfn.AGGREGATE(4,7,W$28:W44)+1</f>
        <v>17</v>
      </c>
      <c r="X45" s="1252" t="s">
        <v>2236</v>
      </c>
      <c r="Y45" s="1253" t="s">
        <v>2292</v>
      </c>
      <c r="Z45" s="1254" t="e">
        <f>SUMIF(#REF!,$K45,$H$26:$H$88)</f>
        <v>#REF!</v>
      </c>
    </row>
    <row r="46" spans="1:35" s="1148" customFormat="1" ht="34.5" customHeight="1">
      <c r="A46" s="1132">
        <f>_xlfn.AGGREGATE(4,7,A$24:A45)+1</f>
        <v>22</v>
      </c>
      <c r="B46" s="1133" t="s">
        <v>1522</v>
      </c>
      <c r="C46" s="1153" t="s">
        <v>1633</v>
      </c>
      <c r="D46" s="1179">
        <v>1603205357238</v>
      </c>
      <c r="E46" s="1058" t="str">
        <f>VLOOKUP(B46,TH.Q2!B40:E371,4,FALSE)</f>
        <v>NV - TT Đào tạo và Quản lý vật tư thiết bị</v>
      </c>
      <c r="F46" s="1136">
        <v>3.34</v>
      </c>
      <c r="G46" s="1137"/>
      <c r="H46" s="1393">
        <f t="shared" si="0"/>
        <v>0</v>
      </c>
      <c r="I46" s="1138"/>
      <c r="J46" s="1138" t="str">
        <f>VLOOKUP(B46,'[25]Gui chi Quynh'!$B$11:$E$396,4,FALSE)</f>
        <v>A1</v>
      </c>
      <c r="K46" s="1138">
        <f t="shared" si="1"/>
        <v>0.8</v>
      </c>
      <c r="L46" s="1139">
        <v>20</v>
      </c>
      <c r="M46" s="1139">
        <f>VLOOKUP(B46,'[26]CN BC'!$H$10:$J$275,3,FALSE)</f>
        <v>23</v>
      </c>
      <c r="N46" s="1139">
        <f t="shared" si="2"/>
        <v>20</v>
      </c>
      <c r="O46" s="1140"/>
      <c r="P46" s="1141">
        <f t="shared" si="3"/>
        <v>6252480</v>
      </c>
      <c r="Q46" s="1646">
        <f t="shared" si="5"/>
        <v>2.6720000000000002</v>
      </c>
      <c r="R46" s="1580">
        <v>2340000</v>
      </c>
      <c r="S46" s="1647">
        <f t="shared" si="6"/>
        <v>6252480</v>
      </c>
      <c r="T46" s="1142">
        <f t="shared" si="4"/>
        <v>22</v>
      </c>
      <c r="U46" s="1143">
        <f>IFERROR(INDEX('[26]CN BC'!$M$10:$M$276,MATCH(B46,'[26]CN BC'!$H$10:$H$276,0)),"")</f>
        <v>0</v>
      </c>
      <c r="V46" s="1144" t="str">
        <f>VLOOKUP(B46,TH.T4!B43:AC373,28,FALSE)</f>
        <v>TTĐT</v>
      </c>
      <c r="W46" s="1252">
        <f>_xlfn.AGGREGATE(4,7,W$28:W45)+1</f>
        <v>18</v>
      </c>
      <c r="X46" s="1252" t="s">
        <v>2293</v>
      </c>
      <c r="Y46" s="1253" t="s">
        <v>2294</v>
      </c>
      <c r="Z46" s="1254" t="e">
        <f>SUMIF(#REF!,$K46,$H$26:$H$88)</f>
        <v>#REF!</v>
      </c>
      <c r="AA46" s="1146"/>
      <c r="AB46" s="1146"/>
      <c r="AC46" s="1146"/>
      <c r="AD46" s="1146"/>
      <c r="AE46" s="1146"/>
    </row>
    <row r="47" spans="1:35" s="1148" customFormat="1" ht="34.5" customHeight="1">
      <c r="A47" s="1132">
        <f>_xlfn.AGGREGATE(4,7,A$24:A46)+1</f>
        <v>23</v>
      </c>
      <c r="B47" s="1133" t="s">
        <v>1523</v>
      </c>
      <c r="C47" s="1153" t="s">
        <v>1634</v>
      </c>
      <c r="D47" s="1166">
        <v>1603205302590</v>
      </c>
      <c r="E47" s="1058" t="str">
        <f>VLOOKUP(B47,TH.Q2!B41:E372,4,FALSE)</f>
        <v>NV - TT Đào tạo và Quản lý vật tư thiết bị</v>
      </c>
      <c r="F47" s="1136">
        <v>3.34</v>
      </c>
      <c r="G47" s="1137"/>
      <c r="H47" s="1393">
        <f t="shared" si="0"/>
        <v>0</v>
      </c>
      <c r="I47" s="1138"/>
      <c r="J47" s="1138" t="str">
        <f>VLOOKUP(B47,'[25]Gui chi Quynh'!$B$11:$E$396,4,FALSE)</f>
        <v>A2</v>
      </c>
      <c r="K47" s="1138">
        <f t="shared" si="1"/>
        <v>0.7</v>
      </c>
      <c r="L47" s="1139">
        <v>20</v>
      </c>
      <c r="M47" s="1139">
        <f>VLOOKUP(B47,'[26]CN BC'!$H$10:$J$275,3,FALSE)</f>
        <v>18</v>
      </c>
      <c r="N47" s="1139">
        <f t="shared" si="2"/>
        <v>18</v>
      </c>
      <c r="O47" s="1140"/>
      <c r="P47" s="1141">
        <f t="shared" si="3"/>
        <v>4923828</v>
      </c>
      <c r="Q47" s="1646">
        <f t="shared" si="5"/>
        <v>2.1042000000000001</v>
      </c>
      <c r="R47" s="1580">
        <v>2340000</v>
      </c>
      <c r="S47" s="1647">
        <f t="shared" si="6"/>
        <v>4923828</v>
      </c>
      <c r="T47" s="1142">
        <f t="shared" si="4"/>
        <v>23</v>
      </c>
      <c r="U47" s="1143" t="str">
        <f>IFERROR(INDEX('[26]CN BC'!$M$10:$M$276,MATCH(B47,'[26]CN BC'!$H$10:$H$276,0)),"")</f>
        <v>Trừ 4 ngày nghỉ chế độ vợ sinh từ ngày 12 đến 15/11</v>
      </c>
      <c r="V47" s="1144" t="str">
        <f>VLOOKUP(B47,TH.T4!B44:AC374,28,FALSE)</f>
        <v>TTĐT</v>
      </c>
      <c r="W47" s="1252">
        <f>_xlfn.AGGREGATE(4,7,W$28:W46)+1</f>
        <v>19</v>
      </c>
      <c r="X47" s="1252" t="s">
        <v>2229</v>
      </c>
      <c r="Y47" s="1253" t="s">
        <v>2295</v>
      </c>
      <c r="Z47" s="1254" t="e">
        <f>SUMIF(#REF!,$K47,$H$26:$H$88)</f>
        <v>#REF!</v>
      </c>
      <c r="AA47" s="1146"/>
      <c r="AB47" s="1146"/>
      <c r="AC47" s="1146"/>
      <c r="AD47" s="1146"/>
      <c r="AE47" s="1146"/>
    </row>
    <row r="48" spans="1:35" s="1148" customFormat="1" ht="34.5" customHeight="1">
      <c r="A48" s="1132">
        <f>_xlfn.AGGREGATE(4,7,A$24:A47)+1</f>
        <v>24</v>
      </c>
      <c r="B48" s="1164" t="s">
        <v>1606</v>
      </c>
      <c r="C48" s="1165" t="s">
        <v>1635</v>
      </c>
      <c r="D48" s="1180" t="s">
        <v>1604</v>
      </c>
      <c r="E48" s="1058" t="str">
        <f>VLOOKUP(B48,TH.Q2!B42:E373,4,FALSE)</f>
        <v>Phó GĐ TT Đào tạo và Quản lý thiết bị</v>
      </c>
      <c r="F48" s="1160">
        <v>3</v>
      </c>
      <c r="G48" s="1137"/>
      <c r="H48" s="1393">
        <f t="shared" si="0"/>
        <v>0</v>
      </c>
      <c r="I48" s="1138">
        <v>0.35</v>
      </c>
      <c r="J48" s="1138" t="str">
        <f>VLOOKUP(B48,'[25]Gui chi Quynh'!$B$11:$E$396,4,FALSE)</f>
        <v>A1</v>
      </c>
      <c r="K48" s="1138">
        <f t="shared" si="1"/>
        <v>0.8</v>
      </c>
      <c r="L48" s="1139">
        <v>20</v>
      </c>
      <c r="M48" s="1139">
        <f>VLOOKUP(B48,'[26]CN BC'!$H$10:$J$275,3,FALSE)</f>
        <v>30</v>
      </c>
      <c r="N48" s="1139">
        <f t="shared" si="2"/>
        <v>20</v>
      </c>
      <c r="O48" s="1140"/>
      <c r="P48" s="1141">
        <f t="shared" si="3"/>
        <v>6271200</v>
      </c>
      <c r="Q48" s="1646">
        <f t="shared" si="5"/>
        <v>2.68</v>
      </c>
      <c r="R48" s="1580">
        <v>2340000</v>
      </c>
      <c r="S48" s="1647">
        <f t="shared" si="6"/>
        <v>6271200</v>
      </c>
      <c r="T48" s="1142">
        <f t="shared" si="4"/>
        <v>24</v>
      </c>
      <c r="U48" s="1143">
        <f>IFERROR(INDEX('[26]CN BC'!$M$10:$M$276,MATCH(B48,'[26]CN BC'!$H$10:$H$276,0)),"")</f>
        <v>0</v>
      </c>
      <c r="V48" s="1144" t="str">
        <f>VLOOKUP(B48,TH.T4!B45:AC375,28,FALSE)</f>
        <v>TTĐT</v>
      </c>
      <c r="W48" s="1252">
        <f>_xlfn.AGGREGATE(4,7,W$28:W47)+1</f>
        <v>20</v>
      </c>
      <c r="X48" s="1252" t="s">
        <v>2222</v>
      </c>
      <c r="Y48" s="1253" t="s">
        <v>2296</v>
      </c>
      <c r="Z48" s="1254" t="e">
        <f>SUMIF(#REF!,$K48,$H$26:$H$88)</f>
        <v>#REF!</v>
      </c>
    </row>
    <row r="49" spans="1:35" s="1148" customFormat="1" ht="34.5" customHeight="1">
      <c r="A49" s="1132">
        <f>_xlfn.AGGREGATE(4,7,A$24:A48)+1</f>
        <v>25</v>
      </c>
      <c r="B49" s="1164" t="s">
        <v>1843</v>
      </c>
      <c r="C49" s="1165" t="s">
        <v>1955</v>
      </c>
      <c r="D49" s="1181" t="s">
        <v>1936</v>
      </c>
      <c r="E49" s="1058" t="str">
        <f>VLOOKUP(B49,TH.Q2!B43:E374,4,FALSE)</f>
        <v>NV - TT Đào tạo và Quản lý vật tư thiết bị</v>
      </c>
      <c r="F49" s="1136">
        <v>2.67</v>
      </c>
      <c r="G49" s="1137"/>
      <c r="H49" s="1393">
        <f t="shared" si="0"/>
        <v>0</v>
      </c>
      <c r="I49" s="1138"/>
      <c r="J49" s="1138" t="str">
        <f>VLOOKUP(B49,'[25]Gui chi Quynh'!$B$11:$E$396,4,FALSE)</f>
        <v>A2</v>
      </c>
      <c r="K49" s="1138">
        <f t="shared" si="1"/>
        <v>0.7</v>
      </c>
      <c r="L49" s="1139">
        <v>20</v>
      </c>
      <c r="M49" s="1139">
        <f>VLOOKUP(B49,'[26]CN BC'!$H$10:$J$275,3,FALSE)</f>
        <v>23</v>
      </c>
      <c r="N49" s="1139">
        <f t="shared" si="2"/>
        <v>20</v>
      </c>
      <c r="O49" s="1140"/>
      <c r="P49" s="1141">
        <f t="shared" si="3"/>
        <v>4373460</v>
      </c>
      <c r="Q49" s="1646">
        <f t="shared" si="5"/>
        <v>1.869</v>
      </c>
      <c r="R49" s="1580">
        <v>2340000</v>
      </c>
      <c r="S49" s="1647">
        <f t="shared" si="6"/>
        <v>4373460</v>
      </c>
      <c r="T49" s="1142">
        <f t="shared" si="4"/>
        <v>25</v>
      </c>
      <c r="U49" s="1143">
        <f>IFERROR(INDEX('[26]CN BC'!$M$10:$M$276,MATCH(B49,'[26]CN BC'!$H$10:$H$276,0)),"")</f>
        <v>0</v>
      </c>
      <c r="V49" s="1144" t="str">
        <f>VLOOKUP(B49,TH.T4!B46:AC376,28,FALSE)</f>
        <v>TTĐT</v>
      </c>
      <c r="W49" s="1252">
        <f>_xlfn.AGGREGATE(4,7,W$28:W48)+1</f>
        <v>21</v>
      </c>
      <c r="X49" s="1252" t="s">
        <v>2223</v>
      </c>
      <c r="Y49" s="1253" t="s">
        <v>2297</v>
      </c>
      <c r="Z49" s="1254" t="e">
        <f>SUMIF(#REF!,$K49,$H$26:$H$88)</f>
        <v>#REF!</v>
      </c>
      <c r="AA49" s="1146"/>
      <c r="AB49" s="1146"/>
      <c r="AC49" s="1146"/>
      <c r="AD49" s="1146"/>
      <c r="AE49" s="1146"/>
    </row>
    <row r="50" spans="1:35" s="1148" customFormat="1" ht="34.5" customHeight="1">
      <c r="A50" s="1132">
        <f>_xlfn.AGGREGATE(4,7,A$24:A49)+1</f>
        <v>26</v>
      </c>
      <c r="B50" s="1133" t="s">
        <v>1856</v>
      </c>
      <c r="C50" s="1153" t="s">
        <v>1652</v>
      </c>
      <c r="D50" s="1154" t="s">
        <v>1293</v>
      </c>
      <c r="E50" s="383" t="str">
        <f>VLOOKUP(B50,TH.Q2!B44:E375,4,FALSE)</f>
        <v>Nhân viên phòng Quản trị - Dịch vụ</v>
      </c>
      <c r="F50" s="1136">
        <v>4.9800000000000004</v>
      </c>
      <c r="G50" s="1137">
        <v>0.06</v>
      </c>
      <c r="H50" s="1400">
        <f t="shared" si="0"/>
        <v>0.29899999999999999</v>
      </c>
      <c r="I50" s="1138">
        <v>0.25</v>
      </c>
      <c r="J50" s="1138" t="str">
        <f>VLOOKUP(B50,'[25]Gui chi Quynh'!$B$11:$E$396,4,FALSE)</f>
        <v>A2</v>
      </c>
      <c r="K50" s="1138">
        <f t="shared" si="1"/>
        <v>0.7</v>
      </c>
      <c r="L50" s="1139">
        <v>20</v>
      </c>
      <c r="M50" s="1139">
        <f>VLOOKUP(B50,'[26]CN BC'!$H$10:$J$275,3,FALSE)</f>
        <v>26</v>
      </c>
      <c r="N50" s="1139">
        <f t="shared" si="2"/>
        <v>20</v>
      </c>
      <c r="O50" s="1155"/>
      <c r="P50" s="1141">
        <f t="shared" si="3"/>
        <v>9056502</v>
      </c>
      <c r="Q50" s="1646">
        <f t="shared" si="5"/>
        <v>3.8702999999999999</v>
      </c>
      <c r="R50" s="1580">
        <v>2340000</v>
      </c>
      <c r="S50" s="1647">
        <f t="shared" si="6"/>
        <v>9056502</v>
      </c>
      <c r="T50" s="1142">
        <f t="shared" si="4"/>
        <v>26</v>
      </c>
      <c r="U50" s="1143">
        <f>IFERROR(INDEX('[26]CN BC'!$M$10:$M$276,MATCH(B50,'[26]CN BC'!$H$10:$H$276,0)),"")</f>
        <v>0</v>
      </c>
      <c r="V50" s="1189" t="str">
        <f>VLOOKUP(B50,TH.T4!B47:AC377,28,FALSE)</f>
        <v>QTDV</v>
      </c>
      <c r="W50" s="1255">
        <f>_xlfn.AGGREGATE(4,7,W$28:W49)+1</f>
        <v>22</v>
      </c>
      <c r="X50" s="1255" t="s">
        <v>2298</v>
      </c>
      <c r="Y50" s="1256" t="s">
        <v>2299</v>
      </c>
      <c r="Z50" s="1257" t="e">
        <f>SUMIF(#REF!,$K50,$H$26:$H$88)</f>
        <v>#REF!</v>
      </c>
    </row>
    <row r="51" spans="1:35" s="1148" customFormat="1" ht="34.5" customHeight="1">
      <c r="A51" s="1132">
        <f>_xlfn.AGGREGATE(4,7,A$24:A50)+1</f>
        <v>27</v>
      </c>
      <c r="B51" s="1133" t="s">
        <v>1462</v>
      </c>
      <c r="C51" s="1153" t="s">
        <v>1654</v>
      </c>
      <c r="D51" s="1168">
        <v>1603205182619</v>
      </c>
      <c r="E51" s="1058" t="str">
        <f>VLOOKUP(B51,TH.Q2!B45:E376,4,FALSE)</f>
        <v>Nhân viên phòng Quản trị - Dịch vụ</v>
      </c>
      <c r="F51" s="1136">
        <v>3.66</v>
      </c>
      <c r="G51" s="1137"/>
      <c r="H51" s="1393">
        <f t="shared" si="0"/>
        <v>0</v>
      </c>
      <c r="I51" s="1138"/>
      <c r="J51" s="1138" t="str">
        <f>VLOOKUP(B51,'[25]Gui chi Quynh'!$B$11:$E$396,4,FALSE)</f>
        <v>A3</v>
      </c>
      <c r="K51" s="1138">
        <f t="shared" si="1"/>
        <v>0.6</v>
      </c>
      <c r="L51" s="1139">
        <v>20</v>
      </c>
      <c r="M51" s="1139">
        <f>VLOOKUP(B51,'[26]CN BC'!$H$10:$J$275,3,FALSE)</f>
        <v>26</v>
      </c>
      <c r="N51" s="1139">
        <f t="shared" si="2"/>
        <v>20</v>
      </c>
      <c r="O51" s="1140"/>
      <c r="P51" s="1141">
        <f t="shared" si="3"/>
        <v>5138640</v>
      </c>
      <c r="Q51" s="1646">
        <f t="shared" si="5"/>
        <v>2.1960000000000002</v>
      </c>
      <c r="R51" s="1580">
        <v>2340000</v>
      </c>
      <c r="S51" s="1647">
        <f t="shared" si="6"/>
        <v>5138640</v>
      </c>
      <c r="T51" s="1142">
        <f t="shared" si="4"/>
        <v>27</v>
      </c>
      <c r="U51" s="1143">
        <f>IFERROR(INDEX('[26]CN BC'!$M$10:$M$276,MATCH(B51,'[26]CN BC'!$H$10:$H$276,0)),"")</f>
        <v>0</v>
      </c>
      <c r="V51" s="1144" t="str">
        <f>VLOOKUP(B51,TH.T4!B48:AC378,28,FALSE)</f>
        <v>QTDV</v>
      </c>
      <c r="W51" s="1252">
        <f>_xlfn.AGGREGATE(4,7,W$28:W50)+1</f>
        <v>23</v>
      </c>
      <c r="X51" s="1252" t="s">
        <v>2228</v>
      </c>
      <c r="Y51" s="1253" t="s">
        <v>2300</v>
      </c>
      <c r="Z51" s="1254" t="e">
        <f>SUMIF(#REF!,$K51,$H$26:$H$88)</f>
        <v>#REF!</v>
      </c>
    </row>
    <row r="52" spans="1:35" s="1148" customFormat="1" ht="34.5" customHeight="1">
      <c r="A52" s="1132">
        <f>_xlfn.AGGREGATE(4,7,A$24:A51)+1</f>
        <v>28</v>
      </c>
      <c r="B52" s="1133" t="s">
        <v>2012</v>
      </c>
      <c r="C52" s="1153"/>
      <c r="D52" s="1168"/>
      <c r="E52" s="383" t="str">
        <f>VLOOKUP(B52,TH.Q2!B46:E377,4,FALSE)</f>
        <v>Nhân viên phòng Quản trị - Dịch vụ</v>
      </c>
      <c r="F52" s="1136">
        <v>4.0599999999999996</v>
      </c>
      <c r="G52" s="1137">
        <v>0.11</v>
      </c>
      <c r="H52" s="1400">
        <f t="shared" si="0"/>
        <v>0.44700000000000001</v>
      </c>
      <c r="I52" s="1138">
        <v>0.35</v>
      </c>
      <c r="J52" s="1138" t="str">
        <f>VLOOKUP(B52,'[25]Gui chi Quynh'!$B$11:$E$396,4,FALSE)</f>
        <v>A1</v>
      </c>
      <c r="K52" s="1138">
        <f t="shared" si="1"/>
        <v>0.8</v>
      </c>
      <c r="L52" s="1139">
        <v>20</v>
      </c>
      <c r="M52" s="1139">
        <f>VLOOKUP(B52,'[26]CN BC'!$H$10:$J$275,3,FALSE)</f>
        <v>26</v>
      </c>
      <c r="N52" s="1139">
        <f t="shared" si="2"/>
        <v>20</v>
      </c>
      <c r="O52" s="1155"/>
      <c r="P52" s="1141">
        <f t="shared" si="3"/>
        <v>9092303.9999999981</v>
      </c>
      <c r="Q52" s="1646">
        <f t="shared" si="5"/>
        <v>3.8855999999999993</v>
      </c>
      <c r="R52" s="1580">
        <v>2340000</v>
      </c>
      <c r="S52" s="1647">
        <f t="shared" si="6"/>
        <v>9092303.9999999981</v>
      </c>
      <c r="T52" s="1142">
        <f t="shared" si="4"/>
        <v>28</v>
      </c>
      <c r="U52" s="1143">
        <f>IFERROR(INDEX('[26]CN BC'!$M$10:$M$276,MATCH(B52,'[26]CN BC'!$H$10:$H$276,0)),"")</f>
        <v>0</v>
      </c>
      <c r="V52" s="1189" t="str">
        <f>VLOOKUP(B52,TH.T4!B49:AC379,28,FALSE)</f>
        <v>QTDV</v>
      </c>
      <c r="W52" s="1255">
        <f>_xlfn.AGGREGATE(4,7,W$28:W51)+1</f>
        <v>24</v>
      </c>
      <c r="X52" s="1255" t="s">
        <v>2235</v>
      </c>
      <c r="Y52" s="1256" t="s">
        <v>2301</v>
      </c>
      <c r="Z52" s="1257" t="e">
        <f>SUMIF(#REF!,$K52,$H$26:$H$88)</f>
        <v>#REF!</v>
      </c>
    </row>
    <row r="53" spans="1:35" s="1146" customFormat="1" ht="27" customHeight="1">
      <c r="A53" s="1132">
        <f>_xlfn.AGGREGATE(4,7,A$24:A52)+1</f>
        <v>29</v>
      </c>
      <c r="B53" s="1172" t="s">
        <v>1852</v>
      </c>
      <c r="C53" s="1149" t="s">
        <v>1636</v>
      </c>
      <c r="D53" s="1173" t="s">
        <v>1258</v>
      </c>
      <c r="E53" s="1058" t="str">
        <f>VLOOKUP(B53,TH.Q2!B47:E378,4,FALSE)</f>
        <v>Trưởng TT Y tế</v>
      </c>
      <c r="F53" s="1178">
        <v>4.6500000000000004</v>
      </c>
      <c r="G53" s="1182"/>
      <c r="H53" s="1393">
        <f t="shared" si="0"/>
        <v>0</v>
      </c>
      <c r="I53" s="1176">
        <v>0.45</v>
      </c>
      <c r="J53" s="1138" t="str">
        <f>VLOOKUP(B53,'[25]Gui chi Quynh'!$B$11:$E$396,4,FALSE)</f>
        <v>A1</v>
      </c>
      <c r="K53" s="1138">
        <f t="shared" si="1"/>
        <v>0.8</v>
      </c>
      <c r="L53" s="1139">
        <v>20</v>
      </c>
      <c r="M53" s="1139">
        <f>VLOOKUP(B53,'[26]CN BC'!$H$10:$J$275,3,FALSE)</f>
        <v>19</v>
      </c>
      <c r="N53" s="1139">
        <f t="shared" si="2"/>
        <v>19</v>
      </c>
      <c r="O53" s="1140"/>
      <c r="P53" s="1141">
        <f t="shared" si="3"/>
        <v>9069840.0000000019</v>
      </c>
      <c r="Q53" s="1646">
        <f t="shared" si="5"/>
        <v>3.8760000000000008</v>
      </c>
      <c r="R53" s="1580">
        <v>2340000</v>
      </c>
      <c r="S53" s="1647">
        <f t="shared" si="6"/>
        <v>9069840.0000000019</v>
      </c>
      <c r="T53" s="1142">
        <f t="shared" si="4"/>
        <v>29</v>
      </c>
      <c r="U53" s="1143" t="str">
        <f>IFERROR(INDEX('[26]CN BC'!$M$10:$M$276,MATCH(B53,'[26]CN BC'!$H$10:$H$276,0)),"")</f>
        <v>Trừ 4 ngày nghỉ phép từ 6 đến 11/11</v>
      </c>
      <c r="V53" s="1144" t="str">
        <f>VLOOKUP(B53,TH.T4!B50:AC380,28,FALSE)</f>
        <v>TTYT</v>
      </c>
      <c r="W53" s="1252">
        <f>_xlfn.AGGREGATE(4,7,W$28:W52)+1</f>
        <v>25</v>
      </c>
      <c r="X53" s="1255" t="s">
        <v>2225</v>
      </c>
      <c r="Y53" s="1256" t="s">
        <v>2302</v>
      </c>
      <c r="Z53" s="1257" t="e">
        <f>SUMIF(#REF!,$K53,$H$26:$H$88)</f>
        <v>#REF!</v>
      </c>
    </row>
    <row r="54" spans="1:35" s="1146" customFormat="1" ht="27" customHeight="1">
      <c r="A54" s="1132">
        <f>_xlfn.AGGREGATE(4,7,A$24:A53)+1</f>
        <v>30</v>
      </c>
      <c r="B54" s="1172" t="s">
        <v>1454</v>
      </c>
      <c r="C54" s="1149" t="s">
        <v>1637</v>
      </c>
      <c r="D54" s="1177">
        <v>1603205247426</v>
      </c>
      <c r="E54" s="1058" t="str">
        <f>VLOOKUP(B54,TH.Q2!B48:E379,4,FALSE)</f>
        <v>Nhân viên Trung tâm Y tế</v>
      </c>
      <c r="F54" s="1174">
        <v>3.66</v>
      </c>
      <c r="G54" s="1175"/>
      <c r="H54" s="1393">
        <f t="shared" si="0"/>
        <v>0</v>
      </c>
      <c r="I54" s="1176"/>
      <c r="J54" s="1138" t="str">
        <f>VLOOKUP(B54,'[25]Gui chi Quynh'!$B$11:$E$396,4,FALSE)</f>
        <v>A2</v>
      </c>
      <c r="K54" s="1138">
        <f t="shared" si="1"/>
        <v>0.7</v>
      </c>
      <c r="L54" s="1139">
        <v>20</v>
      </c>
      <c r="M54" s="1139">
        <f>VLOOKUP(B54,'[26]CN BC'!$H$10:$J$275,3,FALSE)</f>
        <v>25</v>
      </c>
      <c r="N54" s="1139">
        <f t="shared" si="2"/>
        <v>20</v>
      </c>
      <c r="O54" s="1140"/>
      <c r="P54" s="1141">
        <f t="shared" si="3"/>
        <v>5995080</v>
      </c>
      <c r="Q54" s="1646">
        <f t="shared" si="5"/>
        <v>2.5619999999999998</v>
      </c>
      <c r="R54" s="1580">
        <v>2340000</v>
      </c>
      <c r="S54" s="1647">
        <f t="shared" si="6"/>
        <v>5995080</v>
      </c>
      <c r="T54" s="1142">
        <f t="shared" si="4"/>
        <v>30</v>
      </c>
      <c r="U54" s="1143">
        <f>IFERROR(INDEX('[26]CN BC'!$M$10:$M$276,MATCH(B54,'[26]CN BC'!$H$10:$H$276,0)),"")</f>
        <v>0</v>
      </c>
      <c r="V54" s="1144" t="str">
        <f>VLOOKUP(B54,TH.T4!B51:AC381,28,FALSE)</f>
        <v>TTYT</v>
      </c>
      <c r="W54" s="1130"/>
      <c r="Y54" s="1147"/>
    </row>
    <row r="55" spans="1:35" s="1148" customFormat="1" ht="27" customHeight="1">
      <c r="A55" s="1132">
        <f>_xlfn.AGGREGATE(4,7,A$24:A54)+1</f>
        <v>31</v>
      </c>
      <c r="B55" s="1133" t="s">
        <v>1445</v>
      </c>
      <c r="C55" s="1149" t="s">
        <v>1638</v>
      </c>
      <c r="D55" s="1150" t="s">
        <v>1576</v>
      </c>
      <c r="E55" s="1058" t="str">
        <f>VLOOKUP(B55,TH.Q2!B49:E380,4,FALSE)</f>
        <v>TP. Kế hoạch - Tài chính</v>
      </c>
      <c r="F55" s="1160">
        <v>4.9800000000000004</v>
      </c>
      <c r="G55" s="1137">
        <v>0.38</v>
      </c>
      <c r="H55" s="1393">
        <f t="shared" si="0"/>
        <v>1.8919999999999999</v>
      </c>
      <c r="I55" s="1138">
        <v>0.45</v>
      </c>
      <c r="J55" s="1138" t="str">
        <f>VLOOKUP(B55,'[25]Gui chi Quynh'!$B$11:$E$396,4,FALSE)</f>
        <v>A1</v>
      </c>
      <c r="K55" s="1138">
        <f t="shared" si="1"/>
        <v>0.8</v>
      </c>
      <c r="L55" s="1139">
        <v>20</v>
      </c>
      <c r="M55" s="1139">
        <f>VLOOKUP(B55,'[26]CN BC'!$H$10:$J$275,3,FALSE)</f>
        <v>28</v>
      </c>
      <c r="N55" s="1139">
        <f t="shared" si="2"/>
        <v>20</v>
      </c>
      <c r="O55" s="1140"/>
      <c r="P55" s="1141">
        <f t="shared" si="3"/>
        <v>13706784</v>
      </c>
      <c r="Q55" s="1646">
        <f t="shared" si="5"/>
        <v>5.8575999999999997</v>
      </c>
      <c r="R55" s="1580">
        <v>2340000</v>
      </c>
      <c r="S55" s="1647">
        <f t="shared" si="6"/>
        <v>13706784</v>
      </c>
      <c r="T55" s="1142">
        <f t="shared" si="4"/>
        <v>31</v>
      </c>
      <c r="U55" s="1143">
        <f>IFERROR(INDEX('[26]CN BC'!$M$10:$M$276,MATCH(B55,'[26]CN BC'!$H$10:$H$276,0)),"")</f>
        <v>0</v>
      </c>
      <c r="V55" s="1144" t="str">
        <f>VLOOKUP(B55,TH.T4!B52:AC382,28,FALSE)</f>
        <v>KHTC</v>
      </c>
      <c r="W55" s="1130"/>
      <c r="X55" s="1146"/>
      <c r="Y55" s="1147"/>
      <c r="Z55" s="1146"/>
      <c r="AA55" s="1146"/>
      <c r="AB55" s="1146"/>
      <c r="AC55" s="1146"/>
      <c r="AD55" s="1146"/>
      <c r="AE55" s="1146"/>
      <c r="AF55" s="1146"/>
      <c r="AG55" s="1146"/>
      <c r="AH55" s="1146"/>
      <c r="AI55" s="1146"/>
    </row>
    <row r="56" spans="1:35" s="1146" customFormat="1" ht="26.25" customHeight="1">
      <c r="A56" s="1132">
        <f>_xlfn.AGGREGATE(4,7,A$24:A55)+1</f>
        <v>32</v>
      </c>
      <c r="B56" s="1172" t="s">
        <v>1455</v>
      </c>
      <c r="C56" s="1149" t="s">
        <v>1640</v>
      </c>
      <c r="D56" s="1173" t="s">
        <v>368</v>
      </c>
      <c r="E56" s="1058" t="str">
        <f>VLOOKUP(B56,TH.Q2!B50:E381,4,FALSE)</f>
        <v>NV phòng KH-TC</v>
      </c>
      <c r="F56" s="1174">
        <v>3.99</v>
      </c>
      <c r="G56" s="1175"/>
      <c r="H56" s="1393">
        <f t="shared" si="0"/>
        <v>0</v>
      </c>
      <c r="I56" s="1176"/>
      <c r="J56" s="1138" t="str">
        <f>VLOOKUP(B56,'[25]Gui chi Quynh'!$B$11:$E$396,4,FALSE)</f>
        <v>A1</v>
      </c>
      <c r="K56" s="1138">
        <f t="shared" si="1"/>
        <v>0.8</v>
      </c>
      <c r="L56" s="1139">
        <v>20</v>
      </c>
      <c r="M56" s="1139">
        <f>VLOOKUP(B56,'[26]CN BC'!$H$10:$J$275,3,FALSE)</f>
        <v>25</v>
      </c>
      <c r="N56" s="1139">
        <f t="shared" si="2"/>
        <v>20</v>
      </c>
      <c r="O56" s="1140"/>
      <c r="P56" s="1141">
        <f t="shared" si="3"/>
        <v>7469280</v>
      </c>
      <c r="Q56" s="1646">
        <f t="shared" si="5"/>
        <v>3.1920000000000002</v>
      </c>
      <c r="R56" s="1580">
        <v>2340000</v>
      </c>
      <c r="S56" s="1647">
        <f t="shared" si="6"/>
        <v>7469280</v>
      </c>
      <c r="T56" s="1142">
        <f t="shared" si="4"/>
        <v>32</v>
      </c>
      <c r="U56" s="1143">
        <f>IFERROR(INDEX('[26]CN BC'!$M$10:$M$276,MATCH(B56,'[26]CN BC'!$H$10:$H$276,0)),"")</f>
        <v>0</v>
      </c>
      <c r="V56" s="1144" t="str">
        <f>VLOOKUP(B56,TH.T4!B53:AC383,28,FALSE)</f>
        <v>KHTC</v>
      </c>
      <c r="W56" s="1130"/>
      <c r="Y56" s="1147"/>
    </row>
    <row r="57" spans="1:35" s="1148" customFormat="1" ht="27" customHeight="1">
      <c r="A57" s="1132">
        <f>_xlfn.AGGREGATE(4,7,A$24:A56)+1</f>
        <v>33</v>
      </c>
      <c r="B57" s="1133" t="s">
        <v>1456</v>
      </c>
      <c r="C57" s="1153" t="s">
        <v>1641</v>
      </c>
      <c r="D57" s="1168">
        <v>1603205178873</v>
      </c>
      <c r="E57" s="1058" t="str">
        <f>VLOOKUP(B57,TH.Q2!B51:E382,4,FALSE)</f>
        <v>NV phòng KH-TC</v>
      </c>
      <c r="F57" s="1136">
        <v>3.66</v>
      </c>
      <c r="G57" s="1137"/>
      <c r="H57" s="1393">
        <f t="shared" si="0"/>
        <v>0</v>
      </c>
      <c r="I57" s="1138"/>
      <c r="J57" s="1138" t="str">
        <f>VLOOKUP(B57,'[25]Gui chi Quynh'!$B$11:$E$396,4,FALSE)</f>
        <v>A3</v>
      </c>
      <c r="K57" s="1138">
        <f t="shared" si="1"/>
        <v>0.6</v>
      </c>
      <c r="L57" s="1139">
        <v>20</v>
      </c>
      <c r="M57" s="1139">
        <f>VLOOKUP(B57,'[26]CN BC'!$H$10:$J$275,3,FALSE)</f>
        <v>26</v>
      </c>
      <c r="N57" s="1139">
        <f t="shared" si="2"/>
        <v>20</v>
      </c>
      <c r="O57" s="1140"/>
      <c r="P57" s="1141">
        <f t="shared" si="3"/>
        <v>5138640</v>
      </c>
      <c r="Q57" s="1646">
        <f t="shared" si="5"/>
        <v>2.1960000000000002</v>
      </c>
      <c r="R57" s="1580">
        <v>2340000</v>
      </c>
      <c r="S57" s="1647">
        <f t="shared" si="6"/>
        <v>5138640</v>
      </c>
      <c r="T57" s="1142">
        <f t="shared" si="4"/>
        <v>33</v>
      </c>
      <c r="U57" s="1143">
        <f>IFERROR(INDEX('[26]CN BC'!$M$10:$M$276,MATCH(B57,'[26]CN BC'!$H$10:$H$276,0)),"")</f>
        <v>0</v>
      </c>
      <c r="V57" s="1144" t="str">
        <f>VLOOKUP(B57,TH.T4!B54:AC384,28,FALSE)</f>
        <v>KHTC</v>
      </c>
      <c r="W57" s="1130"/>
      <c r="X57" s="1146"/>
      <c r="Y57" s="1147"/>
      <c r="Z57" s="1146"/>
      <c r="AA57" s="1146"/>
      <c r="AB57" s="1146"/>
      <c r="AC57" s="1146"/>
      <c r="AD57" s="1146"/>
      <c r="AE57" s="1146"/>
    </row>
    <row r="58" spans="1:35" s="1148" customFormat="1" ht="27" customHeight="1">
      <c r="A58" s="1132">
        <f>_xlfn.AGGREGATE(4,7,A$24:A57)+1</f>
        <v>34</v>
      </c>
      <c r="B58" s="1133" t="s">
        <v>1457</v>
      </c>
      <c r="C58" s="1153" t="s">
        <v>1642</v>
      </c>
      <c r="D58" s="1166">
        <v>1603205372861</v>
      </c>
      <c r="E58" s="1058" t="str">
        <f>VLOOKUP(B58,TH.Q2!B52:E383,4,FALSE)</f>
        <v>NV phòng KH-TC</v>
      </c>
      <c r="F58" s="1160">
        <v>3</v>
      </c>
      <c r="G58" s="1137"/>
      <c r="H58" s="1393">
        <f t="shared" si="0"/>
        <v>0</v>
      </c>
      <c r="I58" s="1138"/>
      <c r="J58" s="1138" t="str">
        <f>VLOOKUP(B58,'[25]Gui chi Quynh'!$B$11:$E$396,4,FALSE)</f>
        <v>A2</v>
      </c>
      <c r="K58" s="1138">
        <f t="shared" si="1"/>
        <v>0.7</v>
      </c>
      <c r="L58" s="1139">
        <v>20</v>
      </c>
      <c r="M58" s="1139">
        <f>VLOOKUP(B58,'[26]CN BC'!$H$10:$J$275,3,FALSE)</f>
        <v>25</v>
      </c>
      <c r="N58" s="1139">
        <f t="shared" si="2"/>
        <v>20</v>
      </c>
      <c r="O58" s="1140"/>
      <c r="P58" s="1141">
        <f t="shared" si="3"/>
        <v>4914000</v>
      </c>
      <c r="Q58" s="1646">
        <f t="shared" si="5"/>
        <v>2.1</v>
      </c>
      <c r="R58" s="1580">
        <v>2340000</v>
      </c>
      <c r="S58" s="1647">
        <f t="shared" si="6"/>
        <v>4914000</v>
      </c>
      <c r="T58" s="1142">
        <f t="shared" si="4"/>
        <v>34</v>
      </c>
      <c r="U58" s="1143">
        <f>IFERROR(INDEX('[26]CN BC'!$M$10:$M$276,MATCH(B58,'[26]CN BC'!$H$10:$H$276,0)),"")</f>
        <v>0</v>
      </c>
      <c r="V58" s="1144" t="str">
        <f>VLOOKUP(B58,TH.T4!B55:AC385,28,FALSE)</f>
        <v>KHTC</v>
      </c>
      <c r="W58" s="1130"/>
      <c r="X58" s="1146"/>
      <c r="Y58" s="1147"/>
      <c r="Z58" s="1146"/>
      <c r="AA58" s="1146"/>
      <c r="AB58" s="1146"/>
      <c r="AC58" s="1146"/>
      <c r="AD58" s="1146"/>
      <c r="AE58" s="1146"/>
    </row>
    <row r="59" spans="1:35" s="1148" customFormat="1" ht="27" customHeight="1">
      <c r="A59" s="1132">
        <f>_xlfn.AGGREGATE(4,7,A$24:A58)+1</f>
        <v>35</v>
      </c>
      <c r="B59" s="1133" t="s">
        <v>1859</v>
      </c>
      <c r="C59" s="1153" t="s">
        <v>1665</v>
      </c>
      <c r="D59" s="1179">
        <v>1603205185357</v>
      </c>
      <c r="E59" s="1058" t="str">
        <f>VLOOKUP(B59,TH.Q2!B53:E384,4,FALSE)</f>
        <v>NV Phòng KH-TC</v>
      </c>
      <c r="F59" s="1160">
        <v>3.66</v>
      </c>
      <c r="G59" s="1137"/>
      <c r="H59" s="1393">
        <f t="shared" si="0"/>
        <v>0</v>
      </c>
      <c r="I59" s="1138"/>
      <c r="J59" s="1138" t="str">
        <f>VLOOKUP(B59,'[25]Gui chi Quynh'!$B$11:$E$396,4,FALSE)</f>
        <v>A1</v>
      </c>
      <c r="K59" s="1138">
        <f t="shared" si="1"/>
        <v>0.8</v>
      </c>
      <c r="L59" s="1139">
        <v>20</v>
      </c>
      <c r="M59" s="1139">
        <f>VLOOKUP(B59,'[26]CN BC'!$H$10:$J$275,3,FALSE)</f>
        <v>26</v>
      </c>
      <c r="N59" s="1139">
        <f t="shared" si="2"/>
        <v>20</v>
      </c>
      <c r="O59" s="1140"/>
      <c r="P59" s="1141">
        <f t="shared" si="3"/>
        <v>6851520</v>
      </c>
      <c r="Q59" s="1646">
        <f t="shared" si="5"/>
        <v>2.9279999999999999</v>
      </c>
      <c r="R59" s="1580">
        <v>2340000</v>
      </c>
      <c r="S59" s="1647">
        <f t="shared" si="6"/>
        <v>6851520</v>
      </c>
      <c r="T59" s="1142">
        <f t="shared" si="4"/>
        <v>35</v>
      </c>
      <c r="U59" s="1143">
        <f>IFERROR(INDEX('[26]CN BC'!$M$10:$M$276,MATCH(B59,'[26]CN BC'!$H$10:$H$276,0)),"")</f>
        <v>0</v>
      </c>
      <c r="V59" s="1144" t="str">
        <f>VLOOKUP(B59,TH.T4!B56:AC386,28,FALSE)</f>
        <v>KHTC</v>
      </c>
      <c r="W59" s="1171"/>
      <c r="Y59" s="1158"/>
    </row>
    <row r="60" spans="1:35" s="1148" customFormat="1" ht="30.75" customHeight="1">
      <c r="A60" s="1132">
        <f>_xlfn.AGGREGATE(4,7,A$24:A59)+1</f>
        <v>36</v>
      </c>
      <c r="B60" s="1133" t="s">
        <v>1459</v>
      </c>
      <c r="C60" s="1153" t="s">
        <v>1645</v>
      </c>
      <c r="D60" s="1166" t="s">
        <v>1578</v>
      </c>
      <c r="E60" s="1058" t="str">
        <f>VLOOKUP(B60,TH.Q2!B54:E385,4,FALSE)</f>
        <v>Trưởng phòng Thanh tra GD - Quan hệ DN</v>
      </c>
      <c r="F60" s="1136">
        <v>4.32</v>
      </c>
      <c r="G60" s="1137"/>
      <c r="H60" s="1393">
        <f t="shared" si="0"/>
        <v>0</v>
      </c>
      <c r="I60" s="1138">
        <v>0.45</v>
      </c>
      <c r="J60" s="1138" t="str">
        <f>VLOOKUP(B60,'[25]Gui chi Quynh'!$B$11:$E$396,4,FALSE)</f>
        <v>A1</v>
      </c>
      <c r="K60" s="1138">
        <f t="shared" si="1"/>
        <v>0.8</v>
      </c>
      <c r="L60" s="1139">
        <v>20</v>
      </c>
      <c r="M60" s="1139">
        <f>VLOOKUP(B60,'[26]CN BC'!$H$10:$J$275,3,FALSE)</f>
        <v>26</v>
      </c>
      <c r="N60" s="1139">
        <f t="shared" si="2"/>
        <v>20</v>
      </c>
      <c r="O60" s="1140"/>
      <c r="P60" s="1141">
        <f t="shared" si="3"/>
        <v>8929440.0000000019</v>
      </c>
      <c r="Q60" s="1646">
        <f t="shared" si="5"/>
        <v>3.8160000000000007</v>
      </c>
      <c r="R60" s="1580">
        <v>2340000</v>
      </c>
      <c r="S60" s="1647">
        <f t="shared" si="6"/>
        <v>8929440.0000000019</v>
      </c>
      <c r="T60" s="1142">
        <f t="shared" si="4"/>
        <v>36</v>
      </c>
      <c r="U60" s="1143">
        <f>IFERROR(INDEX('[26]CN BC'!$M$10:$M$276,MATCH(B60,'[26]CN BC'!$H$10:$H$276,0)),"")</f>
        <v>0</v>
      </c>
      <c r="V60" s="1144" t="str">
        <f>VLOOKUP(B60,TH.T4!B57:AC387,28,FALSE)</f>
        <v>TTrGD</v>
      </c>
      <c r="W60" s="1130"/>
      <c r="X60" s="1146"/>
      <c r="Y60" s="1147"/>
    </row>
    <row r="61" spans="1:35" s="1148" customFormat="1" ht="30.75" customHeight="1">
      <c r="A61" s="1132">
        <f>_xlfn.AGGREGATE(4,7,A$24:A60)+1</f>
        <v>37</v>
      </c>
      <c r="B61" s="1133" t="s">
        <v>1541</v>
      </c>
      <c r="C61" s="1153" t="s">
        <v>1802</v>
      </c>
      <c r="D61" s="1166">
        <v>1603205356140</v>
      </c>
      <c r="E61" s="383" t="str">
        <f>VLOOKUP(B61,TH.Q2!B55:E386,4,FALSE)</f>
        <v>Nhân viên phòng Thanh tra GD - Quan hệ DN</v>
      </c>
      <c r="F61" s="1136">
        <v>4.32</v>
      </c>
      <c r="G61" s="1137"/>
      <c r="H61" s="1400">
        <f t="shared" si="0"/>
        <v>0</v>
      </c>
      <c r="I61" s="1138"/>
      <c r="J61" s="1138" t="str">
        <f>VLOOKUP(B61,'[25]Gui chi Quynh'!$B$11:$E$396,4,FALSE)</f>
        <v>A3</v>
      </c>
      <c r="K61" s="1138">
        <f t="shared" si="1"/>
        <v>0.6</v>
      </c>
      <c r="L61" s="1139">
        <v>20</v>
      </c>
      <c r="M61" s="1139">
        <f>VLOOKUP(B61,'[26]CN BC'!$H$10:$J$275,3,FALSE)</f>
        <v>22</v>
      </c>
      <c r="N61" s="1139">
        <f t="shared" si="2"/>
        <v>20</v>
      </c>
      <c r="O61" s="1155"/>
      <c r="P61" s="1141">
        <f t="shared" si="3"/>
        <v>6065280</v>
      </c>
      <c r="Q61" s="1646">
        <f t="shared" si="5"/>
        <v>2.5920000000000001</v>
      </c>
      <c r="R61" s="1580">
        <v>2340000</v>
      </c>
      <c r="S61" s="1647">
        <f t="shared" si="6"/>
        <v>6065280</v>
      </c>
      <c r="T61" s="1142">
        <f t="shared" si="4"/>
        <v>37</v>
      </c>
      <c r="U61" s="1143">
        <f>IFERROR(INDEX('[26]CN BC'!$M$10:$M$276,MATCH(B61,'[26]CN BC'!$H$10:$H$276,0)),"")</f>
        <v>0</v>
      </c>
      <c r="V61" s="1189" t="str">
        <f>VLOOKUP(B61,TH.T4!B58:AC388,28,FALSE)</f>
        <v>TTrGD</v>
      </c>
      <c r="W61" s="1171"/>
      <c r="Y61" s="1158"/>
    </row>
    <row r="62" spans="1:35" s="1148" customFormat="1" ht="30.75" customHeight="1">
      <c r="A62" s="1132">
        <f>_xlfn.AGGREGATE(4,7,A$24:A61)+1</f>
        <v>38</v>
      </c>
      <c r="B62" s="1183" t="s">
        <v>1556</v>
      </c>
      <c r="C62" s="1153" t="s">
        <v>1648</v>
      </c>
      <c r="D62" s="1179">
        <v>1603205182727</v>
      </c>
      <c r="E62" s="1058" t="str">
        <f>VLOOKUP(B62,TH.Q2!B56:E387,4,FALSE)</f>
        <v>Nhân viên phòng Thanh tra GD - Quan hệ DN</v>
      </c>
      <c r="F62" s="1160">
        <v>4.6500000000000004</v>
      </c>
      <c r="G62" s="1184"/>
      <c r="H62" s="1393">
        <f t="shared" si="0"/>
        <v>0</v>
      </c>
      <c r="I62" s="1136"/>
      <c r="J62" s="1138" t="str">
        <f>VLOOKUP(B62,'[25]Gui chi Quynh'!$B$11:$E$396,4,FALSE)</f>
        <v>A3</v>
      </c>
      <c r="K62" s="1138">
        <f t="shared" si="1"/>
        <v>0.6</v>
      </c>
      <c r="L62" s="1139">
        <v>20</v>
      </c>
      <c r="M62" s="1139">
        <f>VLOOKUP(B62,'[26]CN BC'!$H$10:$J$275,3,FALSE)</f>
        <v>22</v>
      </c>
      <c r="N62" s="1139">
        <f t="shared" si="2"/>
        <v>20</v>
      </c>
      <c r="O62" s="1140"/>
      <c r="P62" s="1141">
        <f t="shared" si="3"/>
        <v>6528600</v>
      </c>
      <c r="Q62" s="1646">
        <f t="shared" si="5"/>
        <v>2.79</v>
      </c>
      <c r="R62" s="1580">
        <v>2340000</v>
      </c>
      <c r="S62" s="1647">
        <f t="shared" si="6"/>
        <v>6528600</v>
      </c>
      <c r="T62" s="1142">
        <f t="shared" si="4"/>
        <v>38</v>
      </c>
      <c r="U62" s="1143">
        <f>IFERROR(INDEX('[26]CN BC'!$M$10:$M$276,MATCH(B62,'[26]CN BC'!$H$10:$H$276,0)),"")</f>
        <v>0</v>
      </c>
      <c r="V62" s="1144" t="str">
        <f>VLOOKUP(B62,TH.T4!B59:AC389,28,FALSE)</f>
        <v>TTrGD</v>
      </c>
      <c r="W62" s="1130"/>
      <c r="X62" s="1146"/>
      <c r="Y62" s="1147"/>
      <c r="Z62" s="1146"/>
      <c r="AA62" s="1146"/>
      <c r="AB62" s="1146"/>
      <c r="AC62" s="1146"/>
      <c r="AD62" s="1146"/>
      <c r="AE62" s="1146"/>
    </row>
    <row r="63" spans="1:35" s="1148" customFormat="1" ht="30.75" customHeight="1">
      <c r="A63" s="1132">
        <f>_xlfn.AGGREGATE(4,7,A$24:A62)+1</f>
        <v>39</v>
      </c>
      <c r="B63" s="1133" t="s">
        <v>1854</v>
      </c>
      <c r="C63" s="1153" t="s">
        <v>1616</v>
      </c>
      <c r="D63" s="1154" t="s">
        <v>1260</v>
      </c>
      <c r="E63" s="383" t="str">
        <f>VLOOKUP(B63,TH.Q2!B57:E388,4,FALSE)</f>
        <v>Nhân viên phòng Thanh tra GD - Quan hệ DN</v>
      </c>
      <c r="F63" s="1136">
        <v>4.9800000000000004</v>
      </c>
      <c r="G63" s="1137">
        <v>0.08</v>
      </c>
      <c r="H63" s="1400">
        <f t="shared" si="0"/>
        <v>0.39800000000000002</v>
      </c>
      <c r="I63" s="1138"/>
      <c r="J63" s="1138" t="str">
        <f>VLOOKUP(B63,'[25]Gui chi Quynh'!$B$11:$E$396,4,FALSE)</f>
        <v>A1</v>
      </c>
      <c r="K63" s="1138">
        <f t="shared" si="1"/>
        <v>0.8</v>
      </c>
      <c r="L63" s="1139">
        <v>20</v>
      </c>
      <c r="M63" s="1139">
        <f>VLOOKUP(B63,'[26]CN BC'!$H$10:$J$275,3,FALSE)</f>
        <v>23</v>
      </c>
      <c r="N63" s="1139">
        <f t="shared" si="2"/>
        <v>20</v>
      </c>
      <c r="O63" s="1155"/>
      <c r="P63" s="1141">
        <f t="shared" si="3"/>
        <v>10067616</v>
      </c>
      <c r="Q63" s="1646">
        <f t="shared" si="5"/>
        <v>4.3023999999999996</v>
      </c>
      <c r="R63" s="1580">
        <v>2340000</v>
      </c>
      <c r="S63" s="1647">
        <f t="shared" si="6"/>
        <v>10067615.999999998</v>
      </c>
      <c r="T63" s="1142">
        <f t="shared" si="4"/>
        <v>39</v>
      </c>
      <c r="U63" s="1143">
        <f>IFERROR(INDEX('[26]CN BC'!$M$10:$M$276,MATCH(B63,'[26]CN BC'!$H$10:$H$276,0)),"")</f>
        <v>0</v>
      </c>
      <c r="V63" s="1189" t="str">
        <f>VLOOKUP(B63,TH.T4!B60:AC390,28,FALSE)</f>
        <v>TTrGD</v>
      </c>
      <c r="W63" s="1579"/>
      <c r="X63" s="1158"/>
      <c r="Y63" s="1158">
        <v>5000000</v>
      </c>
    </row>
    <row r="64" spans="1:35" s="1148" customFormat="1" ht="30.75" customHeight="1">
      <c r="A64" s="1132">
        <f>_xlfn.AGGREGATE(4,7,A$24:A63)+1</f>
        <v>40</v>
      </c>
      <c r="B64" s="1133" t="s">
        <v>1460</v>
      </c>
      <c r="C64" s="1153" t="s">
        <v>1650</v>
      </c>
      <c r="D64" s="1168">
        <v>1603205189653</v>
      </c>
      <c r="E64" s="1058" t="str">
        <f>VLOOKUP(B64,TH.Q2!B58:E389,4,FALSE)</f>
        <v>Nhân viên phòng Thanh tra GD - Quan hệ DN</v>
      </c>
      <c r="F64" s="1136">
        <v>3.99</v>
      </c>
      <c r="G64" s="1137"/>
      <c r="H64" s="1393">
        <f t="shared" si="0"/>
        <v>0</v>
      </c>
      <c r="I64" s="1138"/>
      <c r="J64" s="1138" t="str">
        <f>VLOOKUP(B64,'[25]Gui chi Quynh'!$B$11:$E$396,4,FALSE)</f>
        <v>A2</v>
      </c>
      <c r="K64" s="1138">
        <f t="shared" si="1"/>
        <v>0.7</v>
      </c>
      <c r="L64" s="1139">
        <v>20</v>
      </c>
      <c r="M64" s="1139">
        <f>VLOOKUP(B64,'[26]CN BC'!$H$10:$J$275,3,FALSE)</f>
        <v>24</v>
      </c>
      <c r="N64" s="1139">
        <f t="shared" si="2"/>
        <v>20</v>
      </c>
      <c r="O64" s="1140"/>
      <c r="P64" s="1141">
        <f t="shared" si="3"/>
        <v>6535620</v>
      </c>
      <c r="Q64" s="1646">
        <f t="shared" si="5"/>
        <v>2.7930000000000001</v>
      </c>
      <c r="R64" s="1580">
        <v>2340000</v>
      </c>
      <c r="S64" s="1647">
        <f t="shared" si="6"/>
        <v>6535620</v>
      </c>
      <c r="T64" s="1142">
        <f t="shared" si="4"/>
        <v>40</v>
      </c>
      <c r="U64" s="1143">
        <f>IFERROR(INDEX('[26]CN BC'!$M$10:$M$276,MATCH(B64,'[26]CN BC'!$H$10:$H$276,0)),"")</f>
        <v>0</v>
      </c>
      <c r="V64" s="1144" t="str">
        <f>VLOOKUP(B64,TH.T4!B61:AC391,28,FALSE)</f>
        <v>TTrGD</v>
      </c>
      <c r="W64" s="1171"/>
      <c r="Y64" s="1158"/>
    </row>
    <row r="65" spans="1:35" s="1148" customFormat="1" ht="30.75" customHeight="1">
      <c r="A65" s="1132">
        <f>_xlfn.AGGREGATE(4,7,A$24:A64)+1</f>
        <v>41</v>
      </c>
      <c r="B65" s="1133" t="s">
        <v>1461</v>
      </c>
      <c r="C65" s="1153" t="s">
        <v>1653</v>
      </c>
      <c r="D65" s="1154" t="s">
        <v>370</v>
      </c>
      <c r="E65" s="1058" t="str">
        <f>VLOOKUP(B65,TH.Q2!B59:E390,4,FALSE)</f>
        <v>Nhân viên phòng Thanh tra GD - Quan hệ DN</v>
      </c>
      <c r="F65" s="1160">
        <v>3.66</v>
      </c>
      <c r="G65" s="1137"/>
      <c r="H65" s="1393">
        <f t="shared" si="0"/>
        <v>0</v>
      </c>
      <c r="I65" s="1138"/>
      <c r="J65" s="1138" t="str">
        <f>VLOOKUP(B65,'[25]Gui chi Quynh'!$B$11:$E$396,4,FALSE)</f>
        <v>A2</v>
      </c>
      <c r="K65" s="1138">
        <f t="shared" si="1"/>
        <v>0.7</v>
      </c>
      <c r="L65" s="1139">
        <v>20</v>
      </c>
      <c r="M65" s="1139">
        <f>VLOOKUP(B65,'[26]CN BC'!$H$10:$J$275,3,FALSE)</f>
        <v>23</v>
      </c>
      <c r="N65" s="1139">
        <f t="shared" si="2"/>
        <v>20</v>
      </c>
      <c r="O65" s="1140"/>
      <c r="P65" s="1141">
        <f t="shared" si="3"/>
        <v>5995080</v>
      </c>
      <c r="Q65" s="1646">
        <f t="shared" si="5"/>
        <v>2.5619999999999998</v>
      </c>
      <c r="R65" s="1580">
        <v>2340000</v>
      </c>
      <c r="S65" s="1647">
        <f t="shared" si="6"/>
        <v>5995080</v>
      </c>
      <c r="T65" s="1142">
        <f t="shared" si="4"/>
        <v>41</v>
      </c>
      <c r="U65" s="1143">
        <f>IFERROR(INDEX('[26]CN BC'!$M$10:$M$276,MATCH(B65,'[26]CN BC'!$H$10:$H$276,0)),"")</f>
        <v>0</v>
      </c>
      <c r="V65" s="1144" t="str">
        <f>VLOOKUP(B65,TH.T4!B62:AC392,28,FALSE)</f>
        <v>TTrGD</v>
      </c>
      <c r="W65" s="1130"/>
      <c r="X65" s="1146"/>
      <c r="Y65" s="1147"/>
      <c r="Z65" s="1146"/>
      <c r="AA65" s="1146"/>
      <c r="AB65" s="1146"/>
      <c r="AC65" s="1146"/>
      <c r="AD65" s="1146"/>
      <c r="AE65" s="1146"/>
    </row>
    <row r="66" spans="1:35" s="1148" customFormat="1" ht="30.75" customHeight="1">
      <c r="A66" s="1132">
        <f>_xlfn.AGGREGATE(4,7,A$24:A65)+1</f>
        <v>42</v>
      </c>
      <c r="B66" s="1133" t="s">
        <v>848</v>
      </c>
      <c r="C66" s="1153" t="s">
        <v>1655</v>
      </c>
      <c r="D66" s="1154" t="s">
        <v>1263</v>
      </c>
      <c r="E66" s="1058" t="str">
        <f>VLOOKUP(B66,TH.Q2!B60:E391,4,FALSE)</f>
        <v>Nhân viên phòng Thanh tra GD - Quan hệ DN</v>
      </c>
      <c r="F66" s="1136">
        <v>4.32</v>
      </c>
      <c r="G66" s="1137"/>
      <c r="H66" s="1393">
        <f t="shared" si="0"/>
        <v>0</v>
      </c>
      <c r="I66" s="1138"/>
      <c r="J66" s="1138" t="str">
        <f>VLOOKUP(B66,'[25]Gui chi Quynh'!$B$11:$E$396,4,FALSE)</f>
        <v>A1</v>
      </c>
      <c r="K66" s="1138">
        <f t="shared" si="1"/>
        <v>0.8</v>
      </c>
      <c r="L66" s="1139">
        <v>20</v>
      </c>
      <c r="M66" s="1139">
        <f>VLOOKUP(B66,'[26]CN BC'!$H$10:$J$275,3,FALSE)</f>
        <v>22</v>
      </c>
      <c r="N66" s="1139">
        <f t="shared" si="2"/>
        <v>20</v>
      </c>
      <c r="O66" s="1140"/>
      <c r="P66" s="1141">
        <f t="shared" si="3"/>
        <v>8087040</v>
      </c>
      <c r="Q66" s="1646">
        <f t="shared" si="5"/>
        <v>3.456</v>
      </c>
      <c r="R66" s="1580">
        <v>2340000</v>
      </c>
      <c r="S66" s="1647">
        <f t="shared" si="6"/>
        <v>8087040</v>
      </c>
      <c r="T66" s="1142">
        <f t="shared" si="4"/>
        <v>42</v>
      </c>
      <c r="U66" s="1143">
        <f>IFERROR(INDEX('[26]CN BC'!$M$10:$M$276,MATCH(B66,'[26]CN BC'!$H$10:$H$276,0)),"")</f>
        <v>0</v>
      </c>
      <c r="V66" s="1144" t="str">
        <f>VLOOKUP(B66,TH.T4!B63:AC393,28,FALSE)</f>
        <v>TTrGD</v>
      </c>
      <c r="W66" s="1130"/>
      <c r="X66" s="1146"/>
      <c r="Y66" s="1147"/>
      <c r="Z66" s="1146"/>
      <c r="AA66" s="1146"/>
      <c r="AB66" s="1146"/>
      <c r="AC66" s="1146"/>
      <c r="AD66" s="1146"/>
      <c r="AE66" s="1146"/>
    </row>
    <row r="67" spans="1:35" s="1148" customFormat="1" ht="30.75" customHeight="1">
      <c r="A67" s="1132">
        <f>_xlfn.AGGREGATE(4,7,A$24:A66)+1</f>
        <v>43</v>
      </c>
      <c r="B67" s="1133" t="s">
        <v>1857</v>
      </c>
      <c r="C67" s="1153" t="s">
        <v>1656</v>
      </c>
      <c r="D67" s="1168" t="s">
        <v>1358</v>
      </c>
      <c r="E67" s="1058" t="str">
        <f>VLOOKUP(B67,TH.Q2!B61:E392,4,FALSE)</f>
        <v>Nhân viên phòng Thanh tra GD - Quan hệ DN</v>
      </c>
      <c r="F67" s="1136">
        <v>4.32</v>
      </c>
      <c r="G67" s="1137"/>
      <c r="H67" s="1393">
        <f t="shared" si="0"/>
        <v>0</v>
      </c>
      <c r="I67" s="1138"/>
      <c r="J67" s="1138" t="str">
        <f>VLOOKUP(B67,'[25]Gui chi Quynh'!$B$11:$E$396,4,FALSE)</f>
        <v>A3</v>
      </c>
      <c r="K67" s="1138">
        <f t="shared" si="1"/>
        <v>0.6</v>
      </c>
      <c r="L67" s="1139">
        <v>20</v>
      </c>
      <c r="M67" s="1139">
        <f>VLOOKUP(B67,'[26]CN BC'!$H$10:$J$275,3,FALSE)</f>
        <v>23</v>
      </c>
      <c r="N67" s="1139">
        <f t="shared" si="2"/>
        <v>20</v>
      </c>
      <c r="O67" s="1140"/>
      <c r="P67" s="1141">
        <f t="shared" si="3"/>
        <v>6065280</v>
      </c>
      <c r="Q67" s="1646">
        <f t="shared" si="5"/>
        <v>2.5920000000000001</v>
      </c>
      <c r="R67" s="1580">
        <v>2340000</v>
      </c>
      <c r="S67" s="1647">
        <f t="shared" si="6"/>
        <v>6065280</v>
      </c>
      <c r="T67" s="1142">
        <f t="shared" si="4"/>
        <v>43</v>
      </c>
      <c r="U67" s="1143">
        <f>IFERROR(INDEX('[26]CN BC'!$M$10:$M$276,MATCH(B67,'[26]CN BC'!$H$10:$H$276,0)),"")</f>
        <v>0</v>
      </c>
      <c r="V67" s="1144" t="str">
        <f>VLOOKUP(B67,TH.T4!B64:AC394,28,FALSE)</f>
        <v>TTrGD</v>
      </c>
      <c r="W67" s="1130"/>
      <c r="X67" s="1146"/>
      <c r="Y67" s="1147"/>
      <c r="Z67" s="1146"/>
      <c r="AA67" s="1146"/>
      <c r="AB67" s="1146"/>
      <c r="AC67" s="1146"/>
      <c r="AD67" s="1146"/>
      <c r="AE67" s="1146"/>
    </row>
    <row r="68" spans="1:35" s="1148" customFormat="1" ht="30.75" customHeight="1">
      <c r="A68" s="1132">
        <f>_xlfn.AGGREGATE(4,7,A$24:A67)+1</f>
        <v>44</v>
      </c>
      <c r="B68" s="1133" t="s">
        <v>1851</v>
      </c>
      <c r="C68" s="1149" t="s">
        <v>1632</v>
      </c>
      <c r="D68" s="1185" t="s">
        <v>1575</v>
      </c>
      <c r="E68" s="1058" t="str">
        <f>VLOOKUP(B68,TH.Q2!B62:E393,4,FALSE)</f>
        <v>Nhân viên phòng Thanh tra GD - Quan hệ DN</v>
      </c>
      <c r="F68" s="1160">
        <v>3.66</v>
      </c>
      <c r="G68" s="1137"/>
      <c r="H68" s="1393">
        <f t="shared" si="0"/>
        <v>0</v>
      </c>
      <c r="I68" s="1138"/>
      <c r="J68" s="1138" t="str">
        <f>VLOOKUP(B68,'[25]Gui chi Quynh'!$B$11:$E$396,4,FALSE)</f>
        <v>A2</v>
      </c>
      <c r="K68" s="1138">
        <f t="shared" si="1"/>
        <v>0.7</v>
      </c>
      <c r="L68" s="1139">
        <v>20</v>
      </c>
      <c r="M68" s="1139">
        <f>VLOOKUP(B68,'[26]CN BC'!$H$10:$J$275,3,FALSE)</f>
        <v>22</v>
      </c>
      <c r="N68" s="1139">
        <f t="shared" si="2"/>
        <v>20</v>
      </c>
      <c r="O68" s="1140"/>
      <c r="P68" s="1141">
        <f t="shared" si="3"/>
        <v>5995080</v>
      </c>
      <c r="Q68" s="1646">
        <f t="shared" si="5"/>
        <v>2.5619999999999998</v>
      </c>
      <c r="R68" s="1580">
        <v>2340000</v>
      </c>
      <c r="S68" s="1647">
        <f t="shared" si="6"/>
        <v>5995080</v>
      </c>
      <c r="T68" s="1142">
        <f t="shared" si="4"/>
        <v>44</v>
      </c>
      <c r="U68" s="1143">
        <f>IFERROR(INDEX('[26]CN BC'!$M$10:$M$276,MATCH(B68,'[26]CN BC'!$H$10:$H$276,0)),"")</f>
        <v>0</v>
      </c>
      <c r="V68" s="1144" t="str">
        <f>VLOOKUP(B68,TH.T4!B65:AC395,28,FALSE)</f>
        <v>TTrGD</v>
      </c>
      <c r="W68" s="1130"/>
      <c r="X68" s="1146"/>
      <c r="Y68" s="1147"/>
      <c r="Z68" s="1146"/>
      <c r="AA68" s="1146"/>
      <c r="AB68" s="1146"/>
      <c r="AC68" s="1146"/>
      <c r="AD68" s="1146"/>
      <c r="AE68" s="1146"/>
      <c r="AF68" s="1146"/>
      <c r="AG68" s="1146"/>
      <c r="AH68" s="1146"/>
      <c r="AI68" s="1146"/>
    </row>
    <row r="69" spans="1:35" s="1148" customFormat="1" ht="30.75" customHeight="1">
      <c r="A69" s="1132">
        <f>_xlfn.AGGREGATE(4,7,A$24:A68)+1</f>
        <v>45</v>
      </c>
      <c r="B69" s="1133" t="s">
        <v>1561</v>
      </c>
      <c r="C69" s="1153" t="s">
        <v>1657</v>
      </c>
      <c r="D69" s="1150" t="s">
        <v>1562</v>
      </c>
      <c r="E69" s="1058" t="str">
        <f>VLOOKUP(B69,TH.Q2!B63:E394,4,FALSE)</f>
        <v>Nhân viên phòng Tuyển sinh - Đào tạo</v>
      </c>
      <c r="F69" s="1160">
        <v>3.66</v>
      </c>
      <c r="G69" s="1137"/>
      <c r="H69" s="1393">
        <f t="shared" si="0"/>
        <v>0</v>
      </c>
      <c r="I69" s="1138"/>
      <c r="J69" s="1138" t="str">
        <f>VLOOKUP(B69,'[25]Gui chi Quynh'!$B$11:$E$396,4,FALSE)</f>
        <v>A2</v>
      </c>
      <c r="K69" s="1138">
        <f t="shared" si="1"/>
        <v>0.7</v>
      </c>
      <c r="L69" s="1139">
        <v>20</v>
      </c>
      <c r="M69" s="1139">
        <f>VLOOKUP(B69,'[26]CN BC'!$H$10:$J$275,3,FALSE)</f>
        <v>21</v>
      </c>
      <c r="N69" s="1139">
        <f t="shared" si="2"/>
        <v>20</v>
      </c>
      <c r="O69" s="1140"/>
      <c r="P69" s="1141">
        <f t="shared" si="3"/>
        <v>5995080</v>
      </c>
      <c r="Q69" s="1646">
        <f t="shared" si="5"/>
        <v>2.5619999999999998</v>
      </c>
      <c r="R69" s="1580">
        <v>2340000</v>
      </c>
      <c r="S69" s="1647">
        <f t="shared" si="6"/>
        <v>5995080</v>
      </c>
      <c r="T69" s="1142">
        <f t="shared" si="4"/>
        <v>45</v>
      </c>
      <c r="U69" s="1143">
        <f>IFERROR(INDEX('[26]CN BC'!$M$10:$M$276,MATCH(B69,'[26]CN BC'!$H$10:$H$276,0)),"")</f>
        <v>0</v>
      </c>
      <c r="V69" s="1144" t="str">
        <f>VLOOKUP(B69,TH.T4!B66:AC396,28,FALSE)</f>
        <v>TSĐT</v>
      </c>
      <c r="W69" s="1130"/>
      <c r="X69" s="1146"/>
      <c r="Y69" s="1158"/>
    </row>
    <row r="70" spans="1:35" s="1148" customFormat="1" ht="30.75" customHeight="1">
      <c r="A70" s="1132">
        <f>_xlfn.AGGREGATE(4,7,A$24:A69)+1</f>
        <v>46</v>
      </c>
      <c r="B70" s="1133" t="s">
        <v>1463</v>
      </c>
      <c r="C70" s="1153" t="s">
        <v>1617</v>
      </c>
      <c r="D70" s="1154" t="s">
        <v>1573</v>
      </c>
      <c r="E70" s="1058" t="str">
        <f>VLOOKUP(B70,TH.Q2!B64:E395,4,FALSE)</f>
        <v>Trưởng phòng Tuyển sinh - Đào tạo</v>
      </c>
      <c r="F70" s="1160">
        <v>4.74</v>
      </c>
      <c r="G70" s="1137"/>
      <c r="H70" s="1393">
        <f t="shared" si="0"/>
        <v>0</v>
      </c>
      <c r="I70" s="1138">
        <v>0.45</v>
      </c>
      <c r="J70" s="1138" t="str">
        <f>VLOOKUP(B70,'[25]Gui chi Quynh'!$B$11:$E$396,4,FALSE)</f>
        <v>A1</v>
      </c>
      <c r="K70" s="1138">
        <f t="shared" si="1"/>
        <v>0.8</v>
      </c>
      <c r="L70" s="1139">
        <v>20</v>
      </c>
      <c r="M70" s="1139">
        <f>VLOOKUP(B70,'[26]CN BC'!$H$10:$J$275,3,FALSE)</f>
        <v>23</v>
      </c>
      <c r="N70" s="1139">
        <f t="shared" si="2"/>
        <v>20</v>
      </c>
      <c r="O70" s="1140"/>
      <c r="P70" s="1141">
        <f t="shared" si="3"/>
        <v>9715680</v>
      </c>
      <c r="Q70" s="1646">
        <f t="shared" si="5"/>
        <v>4.1520000000000001</v>
      </c>
      <c r="R70" s="1580">
        <v>2340000</v>
      </c>
      <c r="S70" s="1647">
        <f t="shared" si="6"/>
        <v>9715680</v>
      </c>
      <c r="T70" s="1142">
        <f t="shared" si="4"/>
        <v>46</v>
      </c>
      <c r="U70" s="1143">
        <f>IFERROR(INDEX('[26]CN BC'!$M$10:$M$276,MATCH(B70,'[26]CN BC'!$H$10:$H$276,0)),"")</f>
        <v>0</v>
      </c>
      <c r="V70" s="1144" t="str">
        <f>VLOOKUP(B70,TH.T4!B67:AC397,28,FALSE)</f>
        <v>TSĐT</v>
      </c>
      <c r="W70" s="1131"/>
      <c r="X70" s="1146"/>
      <c r="Y70" s="1147"/>
      <c r="Z70" s="1146"/>
      <c r="AA70" s="1146"/>
      <c r="AB70" s="1146"/>
      <c r="AC70" s="1146"/>
      <c r="AD70" s="1146"/>
      <c r="AE70" s="1146"/>
    </row>
    <row r="71" spans="1:35" s="1146" customFormat="1" ht="30.75" customHeight="1">
      <c r="A71" s="1132">
        <f>_xlfn.AGGREGATE(4,7,A$24:A70)+1</f>
        <v>47</v>
      </c>
      <c r="B71" s="1172" t="s">
        <v>1902</v>
      </c>
      <c r="C71" s="1149" t="s">
        <v>1785</v>
      </c>
      <c r="D71" s="1173" t="s">
        <v>1391</v>
      </c>
      <c r="E71" s="1058" t="str">
        <f>VLOOKUP(B71,TH.Q2!B65:E396,4,FALSE)</f>
        <v>Phó TP. Tuyể sinh - Đào tạo</v>
      </c>
      <c r="F71" s="1174">
        <v>4.32</v>
      </c>
      <c r="G71" s="1175"/>
      <c r="H71" s="1393">
        <f t="shared" si="0"/>
        <v>0</v>
      </c>
      <c r="I71" s="1176">
        <v>0.35</v>
      </c>
      <c r="J71" s="1138" t="str">
        <f>VLOOKUP(B71,'[25]Gui chi Quynh'!$B$11:$E$396,4,FALSE)</f>
        <v>A1</v>
      </c>
      <c r="K71" s="1138">
        <f t="shared" si="1"/>
        <v>0.8</v>
      </c>
      <c r="L71" s="1139">
        <v>20</v>
      </c>
      <c r="M71" s="1139">
        <f>VLOOKUP(B71,'[26]CN BC'!$H$10:$J$275,3,FALSE)</f>
        <v>21.5</v>
      </c>
      <c r="N71" s="1139">
        <f t="shared" si="2"/>
        <v>20</v>
      </c>
      <c r="O71" s="1140"/>
      <c r="P71" s="1141">
        <f t="shared" si="3"/>
        <v>8742240</v>
      </c>
      <c r="Q71" s="1646">
        <f t="shared" si="5"/>
        <v>3.7360000000000002</v>
      </c>
      <c r="R71" s="1580">
        <v>2340000</v>
      </c>
      <c r="S71" s="1647">
        <f t="shared" si="6"/>
        <v>8742240</v>
      </c>
      <c r="T71" s="1142">
        <f t="shared" si="4"/>
        <v>47</v>
      </c>
      <c r="U71" s="1143">
        <f>IFERROR(INDEX('[26]CN BC'!$M$10:$M$276,MATCH(B71,'[26]CN BC'!$H$10:$H$276,0)),"")</f>
        <v>0</v>
      </c>
      <c r="V71" s="1144" t="str">
        <f>VLOOKUP(B71,TH.T4!B68:AC398,28,FALSE)</f>
        <v>TSĐT</v>
      </c>
      <c r="W71" s="1130"/>
      <c r="Y71" s="1147"/>
    </row>
    <row r="72" spans="1:35" s="1148" customFormat="1" ht="30.75" customHeight="1">
      <c r="A72" s="1132">
        <f>_xlfn.AGGREGATE(4,7,A$24:A71)+1</f>
        <v>48</v>
      </c>
      <c r="B72" s="1133" t="s">
        <v>1858</v>
      </c>
      <c r="C72" s="1153" t="s">
        <v>1659</v>
      </c>
      <c r="D72" s="1154" t="s">
        <v>1285</v>
      </c>
      <c r="E72" s="1058" t="str">
        <f>VLOOKUP(B72,TH.Q2!B66:E397,4,FALSE)</f>
        <v>Nhân viên phòng TS - Đào tạo</v>
      </c>
      <c r="F72" s="1136">
        <v>4.6500000000000004</v>
      </c>
      <c r="G72" s="1137"/>
      <c r="H72" s="1393">
        <f t="shared" si="0"/>
        <v>0</v>
      </c>
      <c r="I72" s="1138"/>
      <c r="J72" s="1138" t="str">
        <f>VLOOKUP(B72,'[25]Gui chi Quynh'!$B$11:$E$396,4,FALSE)</f>
        <v>A1</v>
      </c>
      <c r="K72" s="1138">
        <f t="shared" si="1"/>
        <v>0.8</v>
      </c>
      <c r="L72" s="1139">
        <v>20</v>
      </c>
      <c r="M72" s="1139">
        <f>VLOOKUP(B72,'[26]CN BC'!$H$10:$J$275,3,FALSE)</f>
        <v>23.5</v>
      </c>
      <c r="N72" s="1139">
        <f t="shared" si="2"/>
        <v>20</v>
      </c>
      <c r="O72" s="1140"/>
      <c r="P72" s="1141">
        <f t="shared" si="3"/>
        <v>8704800</v>
      </c>
      <c r="Q72" s="1646">
        <f t="shared" si="5"/>
        <v>3.72</v>
      </c>
      <c r="R72" s="1580">
        <v>2340000</v>
      </c>
      <c r="S72" s="1647">
        <f t="shared" si="6"/>
        <v>8704800</v>
      </c>
      <c r="T72" s="1142">
        <f t="shared" si="4"/>
        <v>48</v>
      </c>
      <c r="U72" s="1143">
        <f>IFERROR(INDEX('[26]CN BC'!$M$10:$M$276,MATCH(B72,'[26]CN BC'!$H$10:$H$276,0)),"")</f>
        <v>0</v>
      </c>
      <c r="V72" s="1144" t="str">
        <f>VLOOKUP(B72,TH.T4!B69:AC399,28,FALSE)</f>
        <v>TSĐT</v>
      </c>
      <c r="W72" s="1130"/>
      <c r="X72" s="1146"/>
      <c r="Y72" s="1147"/>
      <c r="Z72" s="1146"/>
      <c r="AA72" s="1146"/>
      <c r="AB72" s="1146"/>
      <c r="AC72" s="1146"/>
      <c r="AD72" s="1146"/>
      <c r="AE72" s="1146"/>
    </row>
    <row r="73" spans="1:35" s="1148" customFormat="1" ht="30.75" customHeight="1">
      <c r="A73" s="1132">
        <f>_xlfn.AGGREGATE(4,7,A$24:A72)+1</f>
        <v>49</v>
      </c>
      <c r="B73" s="1133" t="s">
        <v>1465</v>
      </c>
      <c r="C73" s="1153" t="s">
        <v>1661</v>
      </c>
      <c r="D73" s="1168">
        <v>1603205182394</v>
      </c>
      <c r="E73" s="1058" t="str">
        <f>VLOOKUP(B73,TH.Q2!B67:E398,4,FALSE)</f>
        <v>Nhân viên phòng TS - Đào tạo</v>
      </c>
      <c r="F73" s="1136">
        <v>3.99</v>
      </c>
      <c r="G73" s="1137"/>
      <c r="H73" s="1393">
        <f t="shared" si="0"/>
        <v>0</v>
      </c>
      <c r="I73" s="1138"/>
      <c r="J73" s="1138" t="str">
        <f>VLOOKUP(B73,'[25]Gui chi Quynh'!$B$11:$E$396,4,FALSE)</f>
        <v>A1</v>
      </c>
      <c r="K73" s="1138">
        <f t="shared" si="1"/>
        <v>0.8</v>
      </c>
      <c r="L73" s="1139">
        <v>20</v>
      </c>
      <c r="M73" s="1139">
        <f>VLOOKUP(B73,'[26]CN BC'!$H$10:$J$275,3,FALSE)</f>
        <v>22</v>
      </c>
      <c r="N73" s="1139">
        <f t="shared" si="2"/>
        <v>20</v>
      </c>
      <c r="O73" s="1140"/>
      <c r="P73" s="1141">
        <f t="shared" si="3"/>
        <v>7469280</v>
      </c>
      <c r="Q73" s="1646">
        <f t="shared" si="5"/>
        <v>3.1920000000000002</v>
      </c>
      <c r="R73" s="1580">
        <v>2340000</v>
      </c>
      <c r="S73" s="1647">
        <f t="shared" si="6"/>
        <v>7469280</v>
      </c>
      <c r="T73" s="1142">
        <f t="shared" si="4"/>
        <v>49</v>
      </c>
      <c r="U73" s="1143">
        <f>IFERROR(INDEX('[26]CN BC'!$M$10:$M$276,MATCH(B73,'[26]CN BC'!$H$10:$H$276,0)),"")</f>
        <v>0</v>
      </c>
      <c r="V73" s="1144" t="str">
        <f>VLOOKUP(B73,TH.T4!B70:AC400,28,FALSE)</f>
        <v>TSĐT</v>
      </c>
      <c r="W73" s="1130"/>
      <c r="X73" s="1146"/>
      <c r="Y73" s="1147"/>
      <c r="Z73" s="1146"/>
      <c r="AA73" s="1146"/>
      <c r="AB73" s="1146"/>
      <c r="AC73" s="1146"/>
      <c r="AD73" s="1146"/>
      <c r="AE73" s="1146"/>
    </row>
    <row r="74" spans="1:35" s="1148" customFormat="1" ht="30.75" customHeight="1">
      <c r="A74" s="1132">
        <f>_xlfn.AGGREGATE(4,7,A$24:A73)+1</f>
        <v>50</v>
      </c>
      <c r="B74" s="1133" t="s">
        <v>844</v>
      </c>
      <c r="C74" s="1153" t="s">
        <v>1662</v>
      </c>
      <c r="D74" s="1168" t="s">
        <v>369</v>
      </c>
      <c r="E74" s="1058" t="str">
        <f>VLOOKUP(B74,TH.Q2!B68:E399,4,FALSE)</f>
        <v>Nhân viên phòng TS - Đào tạo</v>
      </c>
      <c r="F74" s="1136">
        <v>3.66</v>
      </c>
      <c r="G74" s="1137"/>
      <c r="H74" s="1393">
        <f t="shared" si="0"/>
        <v>0</v>
      </c>
      <c r="I74" s="1138"/>
      <c r="J74" s="1138" t="str">
        <f>VLOOKUP(B74,'[25]Gui chi Quynh'!$B$11:$E$396,4,FALSE)</f>
        <v>A3</v>
      </c>
      <c r="K74" s="1138">
        <f t="shared" si="1"/>
        <v>0.6</v>
      </c>
      <c r="L74" s="1139">
        <v>20</v>
      </c>
      <c r="M74" s="1139">
        <f>VLOOKUP(B74,'[26]CN BC'!$H$10:$J$275,3,FALSE)</f>
        <v>22.5</v>
      </c>
      <c r="N74" s="1139">
        <f t="shared" si="2"/>
        <v>20</v>
      </c>
      <c r="O74" s="1140"/>
      <c r="P74" s="1141">
        <f t="shared" si="3"/>
        <v>5138640</v>
      </c>
      <c r="Q74" s="1646">
        <f t="shared" si="5"/>
        <v>2.1960000000000002</v>
      </c>
      <c r="R74" s="1580">
        <v>2340000</v>
      </c>
      <c r="S74" s="1647">
        <f t="shared" si="6"/>
        <v>5138640</v>
      </c>
      <c r="T74" s="1142">
        <f t="shared" si="4"/>
        <v>50</v>
      </c>
      <c r="U74" s="1143">
        <f>IFERROR(INDEX('[26]CN BC'!$M$10:$M$276,MATCH(B74,'[26]CN BC'!$H$10:$H$276,0)),"")</f>
        <v>0</v>
      </c>
      <c r="V74" s="1144" t="str">
        <f>VLOOKUP(B74,TH.T4!B71:AC401,28,FALSE)</f>
        <v>TSĐT</v>
      </c>
      <c r="W74" s="1130"/>
      <c r="X74" s="1146"/>
      <c r="Y74" s="1147"/>
      <c r="Z74" s="1146"/>
      <c r="AA74" s="1146"/>
      <c r="AB74" s="1146"/>
      <c r="AC74" s="1146"/>
      <c r="AD74" s="1146"/>
      <c r="AE74" s="1146"/>
    </row>
    <row r="75" spans="1:35" s="1148" customFormat="1" ht="30.75" customHeight="1">
      <c r="A75" s="1132">
        <f>_xlfn.AGGREGATE(4,7,A$24:A74)+1</f>
        <v>51</v>
      </c>
      <c r="B75" s="1183" t="s">
        <v>1557</v>
      </c>
      <c r="C75" s="1153" t="s">
        <v>1664</v>
      </c>
      <c r="D75" s="1179">
        <v>1603205182762</v>
      </c>
      <c r="E75" s="1058" t="str">
        <f>VLOOKUP(B75,TH.Q2!B69:E400,4,FALSE)</f>
        <v>Nhân viên phòng TS - Đào tạo</v>
      </c>
      <c r="F75" s="1160">
        <v>3.96</v>
      </c>
      <c r="G75" s="1184"/>
      <c r="H75" s="1393">
        <f t="shared" si="0"/>
        <v>0</v>
      </c>
      <c r="I75" s="1136"/>
      <c r="J75" s="1138" t="str">
        <f>VLOOKUP(B75,'[25]Gui chi Quynh'!$B$11:$E$396,4,FALSE)</f>
        <v>A1</v>
      </c>
      <c r="K75" s="1138">
        <f t="shared" si="1"/>
        <v>0.8</v>
      </c>
      <c r="L75" s="1139">
        <v>20</v>
      </c>
      <c r="M75" s="1139">
        <f>VLOOKUP(B75,'[26]CN BC'!$H$10:$J$275,3,FALSE)</f>
        <v>22.5</v>
      </c>
      <c r="N75" s="1139">
        <f t="shared" si="2"/>
        <v>20</v>
      </c>
      <c r="O75" s="1140"/>
      <c r="P75" s="1141">
        <f t="shared" si="3"/>
        <v>7413120</v>
      </c>
      <c r="Q75" s="1646">
        <f t="shared" si="5"/>
        <v>3.1680000000000001</v>
      </c>
      <c r="R75" s="1580">
        <v>2340000</v>
      </c>
      <c r="S75" s="1647">
        <f t="shared" si="6"/>
        <v>7413120</v>
      </c>
      <c r="T75" s="1142">
        <f t="shared" si="4"/>
        <v>51</v>
      </c>
      <c r="U75" s="1143">
        <f>IFERROR(INDEX('[26]CN BC'!$M$10:$M$276,MATCH(B75,'[26]CN BC'!$H$10:$H$276,0)),"")</f>
        <v>0</v>
      </c>
      <c r="V75" s="1144" t="str">
        <f>VLOOKUP(B75,TH.T4!B72:AC402,28,FALSE)</f>
        <v>TSĐT</v>
      </c>
      <c r="W75" s="1130"/>
      <c r="X75" s="1146"/>
      <c r="Y75" s="1147"/>
      <c r="Z75" s="1146"/>
      <c r="AA75" s="1146"/>
      <c r="AB75" s="1146"/>
      <c r="AC75" s="1146"/>
      <c r="AD75" s="1146"/>
      <c r="AE75" s="1146"/>
    </row>
    <row r="76" spans="1:35" s="1148" customFormat="1" ht="30.75" customHeight="1">
      <c r="A76" s="1132">
        <f>_xlfn.AGGREGATE(4,7,A$24:A75)+1</f>
        <v>52</v>
      </c>
      <c r="B76" s="1133" t="s">
        <v>1524</v>
      </c>
      <c r="C76" s="1153" t="s">
        <v>1666</v>
      </c>
      <c r="D76" s="1168">
        <v>1603205182178</v>
      </c>
      <c r="E76" s="1058" t="str">
        <f>VLOOKUP(B76,TH.Q2!B70:E401,4,FALSE)</f>
        <v>Nhân viên phòng TS - Đào tạo</v>
      </c>
      <c r="F76" s="1136">
        <v>3.66</v>
      </c>
      <c r="G76" s="1137"/>
      <c r="H76" s="1393">
        <f t="shared" si="0"/>
        <v>0</v>
      </c>
      <c r="I76" s="1138"/>
      <c r="J76" s="1138" t="str">
        <f>VLOOKUP(B76,'[25]Gui chi Quynh'!$B$11:$E$396,4,FALSE)</f>
        <v>A3</v>
      </c>
      <c r="K76" s="1138">
        <f t="shared" si="1"/>
        <v>0.6</v>
      </c>
      <c r="L76" s="1139">
        <v>20</v>
      </c>
      <c r="M76" s="1139">
        <f>VLOOKUP(B76,'[26]CN BC'!$H$10:$J$275,3,FALSE)</f>
        <v>22.5</v>
      </c>
      <c r="N76" s="1139">
        <f t="shared" si="2"/>
        <v>20</v>
      </c>
      <c r="O76" s="1140"/>
      <c r="P76" s="1141">
        <f t="shared" si="3"/>
        <v>5138640</v>
      </c>
      <c r="Q76" s="1646">
        <f t="shared" si="5"/>
        <v>2.1960000000000002</v>
      </c>
      <c r="R76" s="1580">
        <v>2340000</v>
      </c>
      <c r="S76" s="1647">
        <f t="shared" si="6"/>
        <v>5138640</v>
      </c>
      <c r="T76" s="1142">
        <f t="shared" si="4"/>
        <v>52</v>
      </c>
      <c r="U76" s="1143">
        <f>IFERROR(INDEX('[26]CN BC'!$M$10:$M$276,MATCH(B76,'[26]CN BC'!$H$10:$H$276,0)),"")</f>
        <v>0</v>
      </c>
      <c r="V76" s="1144" t="str">
        <f>VLOOKUP(B76,TH.T4!B73:AC403,28,FALSE)</f>
        <v>TSĐT</v>
      </c>
      <c r="W76" s="1130"/>
      <c r="X76" s="1146"/>
      <c r="Y76" s="1147"/>
    </row>
    <row r="77" spans="1:35" s="1148" customFormat="1" ht="30.75" customHeight="1">
      <c r="A77" s="1132">
        <f>_xlfn.AGGREGATE(4,7,A$24:A76)+1</f>
        <v>53</v>
      </c>
      <c r="B77" s="1164" t="s">
        <v>1860</v>
      </c>
      <c r="C77" s="1165" t="s">
        <v>1667</v>
      </c>
      <c r="D77" s="1166">
        <v>1603205351697</v>
      </c>
      <c r="E77" s="383" t="str">
        <f>VLOOKUP(B77,TH.Q2!B71:E402,4,FALSE)</f>
        <v>Nhân viên phòng TS - Đào tạo</v>
      </c>
      <c r="F77" s="1160">
        <v>3.66</v>
      </c>
      <c r="G77" s="1137"/>
      <c r="H77" s="1400">
        <f t="shared" si="0"/>
        <v>0</v>
      </c>
      <c r="I77" s="1138"/>
      <c r="J77" s="1138" t="str">
        <f>VLOOKUP(B77,'[25]Gui chi Quynh'!$B$11:$E$396,4,FALSE)</f>
        <v>A1</v>
      </c>
      <c r="K77" s="1138">
        <f t="shared" si="1"/>
        <v>0.8</v>
      </c>
      <c r="L77" s="1139">
        <v>20</v>
      </c>
      <c r="M77" s="1139">
        <f>VLOOKUP(B77,'[26]CN BC'!$H$10:$J$275,3,FALSE)</f>
        <v>23</v>
      </c>
      <c r="N77" s="1139">
        <f t="shared" si="2"/>
        <v>20</v>
      </c>
      <c r="O77" s="1155"/>
      <c r="P77" s="1141">
        <f t="shared" si="3"/>
        <v>6851520</v>
      </c>
      <c r="Q77" s="1646">
        <f t="shared" si="5"/>
        <v>2.9279999999999999</v>
      </c>
      <c r="R77" s="1580">
        <v>2340000</v>
      </c>
      <c r="S77" s="1647">
        <f t="shared" si="6"/>
        <v>6851520</v>
      </c>
      <c r="T77" s="1142">
        <f t="shared" si="4"/>
        <v>53</v>
      </c>
      <c r="U77" s="1143">
        <f>IFERROR(INDEX('[26]CN BC'!$M$10:$M$276,MATCH(B77,'[26]CN BC'!$H$10:$H$276,0)),"")</f>
        <v>0</v>
      </c>
      <c r="V77" s="1189" t="str">
        <f>VLOOKUP(B77,TH.T4!B74:AC404,28,FALSE)</f>
        <v>TSĐT</v>
      </c>
      <c r="W77" s="1227"/>
      <c r="Y77" s="1158"/>
    </row>
    <row r="78" spans="1:35" s="1148" customFormat="1" ht="30.75" customHeight="1">
      <c r="A78" s="1132">
        <f>_xlfn.AGGREGATE(4,7,A$24:A77)+1</f>
        <v>54</v>
      </c>
      <c r="B78" s="1133" t="s">
        <v>1484</v>
      </c>
      <c r="C78" s="1153" t="s">
        <v>1649</v>
      </c>
      <c r="D78" s="1166">
        <v>1603205357194</v>
      </c>
      <c r="E78" s="1058" t="str">
        <f>VLOOKUP(B78,TH.Q2!B72:E403,4,FALSE)</f>
        <v>Nhân viên phòng Tuyển sinh - Đào tạo</v>
      </c>
      <c r="F78" s="1186">
        <v>3.33</v>
      </c>
      <c r="G78" s="1137"/>
      <c r="H78" s="1393">
        <f t="shared" si="0"/>
        <v>0</v>
      </c>
      <c r="I78" s="1138"/>
      <c r="J78" s="1138" t="str">
        <f>VLOOKUP(B78,'[25]Gui chi Quynh'!$B$11:$E$396,4,FALSE)</f>
        <v>A3</v>
      </c>
      <c r="K78" s="1138">
        <f t="shared" si="1"/>
        <v>0.6</v>
      </c>
      <c r="L78" s="1139">
        <v>20</v>
      </c>
      <c r="M78" s="1139">
        <f>VLOOKUP(B78,'[26]CN BC'!$H$10:$J$275,3,FALSE)</f>
        <v>23</v>
      </c>
      <c r="N78" s="1139">
        <f t="shared" si="2"/>
        <v>20</v>
      </c>
      <c r="O78" s="1140"/>
      <c r="P78" s="1141">
        <f t="shared" si="3"/>
        <v>4675320</v>
      </c>
      <c r="Q78" s="1646">
        <f t="shared" si="5"/>
        <v>1.998</v>
      </c>
      <c r="R78" s="1580">
        <v>2340000</v>
      </c>
      <c r="S78" s="1647">
        <f t="shared" si="6"/>
        <v>4675320</v>
      </c>
      <c r="T78" s="1142">
        <f t="shared" si="4"/>
        <v>54</v>
      </c>
      <c r="U78" s="1143">
        <f>IFERROR(INDEX('[26]CN BC'!$M$10:$M$276,MATCH(B78,'[26]CN BC'!$H$10:$H$276,0)),"")</f>
        <v>0</v>
      </c>
      <c r="V78" s="1144" t="str">
        <f>VLOOKUP(B78,TH.T4!B75:AC405,28,FALSE)</f>
        <v>KTĐBCL</v>
      </c>
      <c r="W78" s="1130"/>
      <c r="X78" s="1146"/>
      <c r="Y78" s="1147"/>
    </row>
    <row r="79" spans="1:35" s="1146" customFormat="1" ht="30.75" customHeight="1">
      <c r="A79" s="1132">
        <f>_xlfn.AGGREGATE(4,7,A$24:A78)+1</f>
        <v>55</v>
      </c>
      <c r="B79" s="1172" t="s">
        <v>1861</v>
      </c>
      <c r="C79" s="1149" t="s">
        <v>1668</v>
      </c>
      <c r="D79" s="1173" t="s">
        <v>1361</v>
      </c>
      <c r="E79" s="1058" t="str">
        <f>VLOOKUP(B79,TH.Q2!B73:E404,4,FALSE)</f>
        <v>Trưởng phòng Khảo thí và ĐBCL</v>
      </c>
      <c r="F79" s="1174">
        <v>4.6500000000000004</v>
      </c>
      <c r="G79" s="1175"/>
      <c r="H79" s="1393">
        <f t="shared" si="0"/>
        <v>0</v>
      </c>
      <c r="I79" s="1138">
        <v>0.45</v>
      </c>
      <c r="J79" s="1138" t="str">
        <f>VLOOKUP(B79,'[25]Gui chi Quynh'!$B$11:$E$396,4,FALSE)</f>
        <v>A2</v>
      </c>
      <c r="K79" s="1138">
        <f t="shared" si="1"/>
        <v>0.7</v>
      </c>
      <c r="L79" s="1139">
        <v>20</v>
      </c>
      <c r="M79" s="1139">
        <f>VLOOKUP(B79,'[26]CN BC'!$H$10:$J$275,3,FALSE)</f>
        <v>22</v>
      </c>
      <c r="N79" s="1139">
        <f t="shared" si="2"/>
        <v>20</v>
      </c>
      <c r="O79" s="1140"/>
      <c r="P79" s="1141">
        <f t="shared" si="3"/>
        <v>8353800.0000000009</v>
      </c>
      <c r="Q79" s="1646">
        <f t="shared" si="5"/>
        <v>3.5700000000000003</v>
      </c>
      <c r="R79" s="1580">
        <v>2340000</v>
      </c>
      <c r="S79" s="1647">
        <f t="shared" si="6"/>
        <v>8353800.0000000009</v>
      </c>
      <c r="T79" s="1142">
        <f t="shared" si="4"/>
        <v>55</v>
      </c>
      <c r="U79" s="1143">
        <f>IFERROR(INDEX('[26]CN BC'!$M$10:$M$276,MATCH(B79,'[26]CN BC'!$H$10:$H$276,0)),"")</f>
        <v>0</v>
      </c>
      <c r="V79" s="1144" t="str">
        <f>VLOOKUP(B79,TH.T4!B76:AC406,28,FALSE)</f>
        <v>KTĐBCL</v>
      </c>
      <c r="W79" s="1130"/>
      <c r="Y79" s="1147"/>
    </row>
    <row r="80" spans="1:35" s="1146" customFormat="1" ht="30.75" customHeight="1">
      <c r="A80" s="1132">
        <f>_xlfn.AGGREGATE(4,7,A$24:A79)+1</f>
        <v>56</v>
      </c>
      <c r="B80" s="1172" t="s">
        <v>1853</v>
      </c>
      <c r="C80" s="1149" t="s">
        <v>1639</v>
      </c>
      <c r="D80" s="1173" t="s">
        <v>1271</v>
      </c>
      <c r="E80" s="1058" t="str">
        <f>VLOOKUP(B80,TH.Q2!B74:E405,4,FALSE)</f>
        <v>Phó TP. Kế hoạch - Tài chính</v>
      </c>
      <c r="F80" s="1136">
        <v>4.32</v>
      </c>
      <c r="G80" s="1175"/>
      <c r="H80" s="1393">
        <f t="shared" si="0"/>
        <v>0</v>
      </c>
      <c r="I80" s="1176">
        <v>0.35</v>
      </c>
      <c r="J80" s="1138" t="str">
        <f>VLOOKUP(B80,'[25]Gui chi Quynh'!$B$11:$E$396,4,FALSE)</f>
        <v>A2</v>
      </c>
      <c r="K80" s="1138">
        <f t="shared" si="1"/>
        <v>0.7</v>
      </c>
      <c r="L80" s="1139">
        <v>20</v>
      </c>
      <c r="M80" s="1139">
        <f>VLOOKUP(B80,'[26]CN BC'!$H$10:$J$275,3,FALSE)</f>
        <v>24</v>
      </c>
      <c r="N80" s="1139">
        <f t="shared" si="2"/>
        <v>20</v>
      </c>
      <c r="O80" s="1140"/>
      <c r="P80" s="1141">
        <f t="shared" si="3"/>
        <v>7649459.9999999991</v>
      </c>
      <c r="Q80" s="1646">
        <f t="shared" si="5"/>
        <v>3.2689999999999997</v>
      </c>
      <c r="R80" s="1580">
        <v>2340000</v>
      </c>
      <c r="S80" s="1647">
        <f t="shared" si="6"/>
        <v>7649459.9999999991</v>
      </c>
      <c r="T80" s="1142">
        <f t="shared" si="4"/>
        <v>56</v>
      </c>
      <c r="U80" s="1143">
        <f>IFERROR(INDEX('[26]CN BC'!$M$10:$M$276,MATCH(B80,'[26]CN BC'!$H$10:$H$276,0)),"")</f>
        <v>0</v>
      </c>
      <c r="V80" s="1144" t="str">
        <f>VLOOKUP(B80,TH.T4!B77:AC407,28,FALSE)</f>
        <v>KTĐBCL</v>
      </c>
      <c r="W80" s="1129"/>
      <c r="Y80" s="1147"/>
    </row>
    <row r="81" spans="1:35" s="1148" customFormat="1" ht="30.75" customHeight="1">
      <c r="A81" s="1132">
        <f>_xlfn.AGGREGATE(4,7,A$24:A80)+1</f>
        <v>57</v>
      </c>
      <c r="B81" s="1133" t="s">
        <v>842</v>
      </c>
      <c r="C81" s="1153" t="s">
        <v>1671</v>
      </c>
      <c r="D81" s="1154" t="s">
        <v>396</v>
      </c>
      <c r="E81" s="1058" t="str">
        <f>VLOOKUP(B81,TH.Q2!B76:E407,4,FALSE)</f>
        <v>Nhân viên phòng Khảo thí và ĐBCL</v>
      </c>
      <c r="F81" s="1136">
        <v>3.66</v>
      </c>
      <c r="G81" s="1137"/>
      <c r="H81" s="1393">
        <f t="shared" si="0"/>
        <v>0</v>
      </c>
      <c r="I81" s="1138"/>
      <c r="J81" s="1138" t="str">
        <f>VLOOKUP(B81,'[25]Gui chi Quynh'!$B$11:$E$396,4,FALSE)</f>
        <v>A3</v>
      </c>
      <c r="K81" s="1138">
        <f t="shared" si="1"/>
        <v>0.6</v>
      </c>
      <c r="L81" s="1139">
        <v>20</v>
      </c>
      <c r="M81" s="1139">
        <f>VLOOKUP(B81,'[26]CN BC'!$H$10:$J$275,3,FALSE)</f>
        <v>23</v>
      </c>
      <c r="N81" s="1139">
        <f t="shared" si="2"/>
        <v>20</v>
      </c>
      <c r="O81" s="1140"/>
      <c r="P81" s="1141">
        <f t="shared" si="3"/>
        <v>5138640</v>
      </c>
      <c r="Q81" s="1646">
        <f t="shared" si="5"/>
        <v>2.1960000000000002</v>
      </c>
      <c r="R81" s="1580">
        <v>2340000</v>
      </c>
      <c r="S81" s="1647">
        <f t="shared" si="6"/>
        <v>5138640</v>
      </c>
      <c r="T81" s="1142">
        <f t="shared" si="4"/>
        <v>57</v>
      </c>
      <c r="U81" s="1143">
        <f>IFERROR(INDEX('[26]CN BC'!$M$10:$M$276,MATCH(B81,'[26]CN BC'!$H$10:$H$276,0)),"")</f>
        <v>0</v>
      </c>
      <c r="V81" s="1144" t="str">
        <f>VLOOKUP(B81,TH.T4!B79:AC409,28,FALSE)</f>
        <v>KTĐBCL</v>
      </c>
      <c r="W81" s="1130"/>
      <c r="X81" s="1146"/>
      <c r="Y81" s="1147"/>
      <c r="Z81" s="1146"/>
      <c r="AA81" s="1146"/>
      <c r="AB81" s="1146"/>
      <c r="AC81" s="1146"/>
      <c r="AD81" s="1146"/>
      <c r="AE81" s="1146"/>
    </row>
    <row r="82" spans="1:35" s="1148" customFormat="1" ht="30.75" customHeight="1">
      <c r="A82" s="1132">
        <f>_xlfn.AGGREGATE(4,7,A$24:A81)+1</f>
        <v>58</v>
      </c>
      <c r="B82" s="1133" t="s">
        <v>1551</v>
      </c>
      <c r="C82" s="1149" t="s">
        <v>1672</v>
      </c>
      <c r="D82" s="1179">
        <v>1603205182756</v>
      </c>
      <c r="E82" s="1058" t="str">
        <f>VLOOKUP(B82,TH.Q2!B77:E408,4,FALSE)</f>
        <v>Nhân viên phòng Khảo thí và ĐBCL</v>
      </c>
      <c r="F82" s="1136">
        <v>3.66</v>
      </c>
      <c r="G82" s="1137"/>
      <c r="H82" s="1393">
        <f t="shared" si="0"/>
        <v>0</v>
      </c>
      <c r="I82" s="1138"/>
      <c r="J82" s="1138" t="str">
        <f>VLOOKUP(B82,'[25]Gui chi Quynh'!$B$11:$E$396,4,FALSE)</f>
        <v>A2</v>
      </c>
      <c r="K82" s="1138">
        <f t="shared" si="1"/>
        <v>0.7</v>
      </c>
      <c r="L82" s="1139">
        <v>20</v>
      </c>
      <c r="M82" s="1139">
        <f>VLOOKUP(B82,'[26]CN BC'!$H$10:$J$275,3,FALSE)</f>
        <v>23</v>
      </c>
      <c r="N82" s="1139">
        <f t="shared" si="2"/>
        <v>20</v>
      </c>
      <c r="O82" s="1140"/>
      <c r="P82" s="1141">
        <f t="shared" si="3"/>
        <v>5995080</v>
      </c>
      <c r="Q82" s="1646">
        <f t="shared" si="5"/>
        <v>2.5619999999999998</v>
      </c>
      <c r="R82" s="1580">
        <v>2340000</v>
      </c>
      <c r="S82" s="1647">
        <f t="shared" si="6"/>
        <v>5995080</v>
      </c>
      <c r="T82" s="1142">
        <f t="shared" si="4"/>
        <v>58</v>
      </c>
      <c r="U82" s="1143">
        <f>IFERROR(INDEX('[26]CN BC'!$M$10:$M$276,MATCH(B82,'[26]CN BC'!$H$10:$H$276,0)),"")</f>
        <v>0</v>
      </c>
      <c r="V82" s="1144" t="str">
        <f>VLOOKUP(B82,TH.T4!B80:AC410,28,FALSE)</f>
        <v>KTĐBCL</v>
      </c>
      <c r="W82" s="1130"/>
      <c r="X82" s="1641"/>
      <c r="Y82" s="1147"/>
      <c r="Z82" s="1146"/>
      <c r="AA82" s="1146"/>
      <c r="AB82" s="1146"/>
      <c r="AC82" s="1146"/>
      <c r="AD82" s="1146"/>
      <c r="AE82" s="1146"/>
      <c r="AF82" s="1146"/>
      <c r="AG82" s="1146"/>
      <c r="AH82" s="1146"/>
      <c r="AI82" s="1146"/>
    </row>
    <row r="83" spans="1:35" s="1148" customFormat="1" ht="30.75" customHeight="1">
      <c r="A83" s="1132">
        <f>_xlfn.AGGREGATE(4,7,A$24:A82)+1</f>
        <v>59</v>
      </c>
      <c r="B83" s="1133" t="s">
        <v>1521</v>
      </c>
      <c r="C83" s="1149" t="s">
        <v>1673</v>
      </c>
      <c r="D83" s="1185">
        <v>1603205286752</v>
      </c>
      <c r="E83" s="1058" t="str">
        <f>VLOOKUP(B83,TH.Q2!B78:E409,4,FALSE)</f>
        <v>Nhân viên phòng Khảo thí và ĐBCL</v>
      </c>
      <c r="F83" s="1160">
        <v>3.66</v>
      </c>
      <c r="G83" s="1137"/>
      <c r="H83" s="1393">
        <f t="shared" si="0"/>
        <v>0</v>
      </c>
      <c r="I83" s="1138"/>
      <c r="J83" s="1138" t="str">
        <f>VLOOKUP(B83,'[25]Gui chi Quynh'!$B$11:$E$396,4,FALSE)</f>
        <v>A1</v>
      </c>
      <c r="K83" s="1138">
        <f t="shared" si="1"/>
        <v>0.8</v>
      </c>
      <c r="L83" s="1139">
        <v>20</v>
      </c>
      <c r="M83" s="1139">
        <f>VLOOKUP(B83,'[26]CN BC'!$H$10:$J$275,3,FALSE)</f>
        <v>23</v>
      </c>
      <c r="N83" s="1139">
        <f t="shared" si="2"/>
        <v>20</v>
      </c>
      <c r="O83" s="1140"/>
      <c r="P83" s="1141">
        <f t="shared" si="3"/>
        <v>6851520</v>
      </c>
      <c r="Q83" s="1646">
        <f t="shared" si="5"/>
        <v>2.9279999999999999</v>
      </c>
      <c r="R83" s="1580">
        <v>2340000</v>
      </c>
      <c r="S83" s="1647">
        <f t="shared" si="6"/>
        <v>6851520</v>
      </c>
      <c r="T83" s="1142">
        <f t="shared" si="4"/>
        <v>59</v>
      </c>
      <c r="U83" s="1143">
        <f>IFERROR(INDEX('[26]CN BC'!$M$10:$M$276,MATCH(B83,'[26]CN BC'!$H$10:$H$276,0)),"")</f>
        <v>0</v>
      </c>
      <c r="V83" s="1144" t="str">
        <f>VLOOKUP(B83,TH.T4!B81:AC411,28,FALSE)</f>
        <v>KTĐBCL</v>
      </c>
      <c r="W83" s="1130"/>
      <c r="X83" s="1146"/>
      <c r="Y83" s="1187"/>
      <c r="Z83" s="1146"/>
      <c r="AA83" s="1146"/>
      <c r="AB83" s="1146"/>
      <c r="AC83" s="1146"/>
      <c r="AD83" s="1146"/>
      <c r="AE83" s="1146"/>
      <c r="AF83" s="1146"/>
      <c r="AG83" s="1146"/>
      <c r="AH83" s="1146"/>
      <c r="AI83" s="1146"/>
    </row>
    <row r="84" spans="1:35" s="1148" customFormat="1" ht="30.75" customHeight="1">
      <c r="A84" s="1132">
        <f>_xlfn.AGGREGATE(4,7,A$24:A83)+1</f>
        <v>60</v>
      </c>
      <c r="B84" s="1133" t="s">
        <v>1841</v>
      </c>
      <c r="C84" s="1153" t="s">
        <v>1956</v>
      </c>
      <c r="D84" s="1188" t="s">
        <v>1931</v>
      </c>
      <c r="E84" s="1058" t="s">
        <v>2394</v>
      </c>
      <c r="F84" s="1160">
        <v>3</v>
      </c>
      <c r="G84" s="1137"/>
      <c r="H84" s="1393">
        <f t="shared" si="0"/>
        <v>0</v>
      </c>
      <c r="I84" s="1138">
        <v>0.35</v>
      </c>
      <c r="J84" s="1138" t="str">
        <f>VLOOKUP(B84,'[25]Gui chi Quynh'!$B$11:$E$396,4,FALSE)</f>
        <v>A1</v>
      </c>
      <c r="K84" s="1138">
        <f t="shared" si="1"/>
        <v>0.8</v>
      </c>
      <c r="L84" s="1139">
        <v>20</v>
      </c>
      <c r="M84" s="1139">
        <f>VLOOKUP(B84,'[26]CN BC'!$H$10:$J$275,3,FALSE)</f>
        <v>25</v>
      </c>
      <c r="N84" s="1139">
        <f t="shared" si="2"/>
        <v>20</v>
      </c>
      <c r="O84" s="1140"/>
      <c r="P84" s="1141">
        <f t="shared" si="3"/>
        <v>6271200</v>
      </c>
      <c r="Q84" s="1646">
        <f t="shared" si="5"/>
        <v>2.68</v>
      </c>
      <c r="R84" s="1580">
        <v>2340000</v>
      </c>
      <c r="S84" s="1647">
        <f t="shared" si="6"/>
        <v>6271200</v>
      </c>
      <c r="T84" s="1142">
        <f t="shared" si="4"/>
        <v>60</v>
      </c>
      <c r="U84" s="1143">
        <f>IFERROR(INDEX('[26]CN BC'!$M$10:$M$276,MATCH(B84,'[26]CN BC'!$H$10:$H$276,0)),"")</f>
        <v>0</v>
      </c>
      <c r="V84" s="1144" t="str">
        <f>VLOOKUP(B84,TH.T4!B82:AC412,28,FALSE)</f>
        <v>TTĐHDL</v>
      </c>
      <c r="W84" s="1130"/>
      <c r="X84" s="1146"/>
      <c r="Y84" s="1147"/>
      <c r="Z84" s="1146"/>
      <c r="AA84" s="1146"/>
      <c r="AB84" s="1146"/>
      <c r="AC84" s="1146"/>
      <c r="AD84" s="1146"/>
      <c r="AE84" s="1146"/>
    </row>
    <row r="85" spans="1:35" s="1146" customFormat="1" ht="30.75" customHeight="1">
      <c r="A85" s="1132">
        <f>_xlfn.AGGREGATE(4,7,A$24:A84)+1</f>
        <v>61</v>
      </c>
      <c r="B85" s="1172" t="s">
        <v>1863</v>
      </c>
      <c r="C85" s="1149" t="s">
        <v>1675</v>
      </c>
      <c r="D85" s="1173" t="s">
        <v>1357</v>
      </c>
      <c r="E85" s="1058" t="str">
        <f>VLOOKUP(B85,TH.Q2!B80:E411,4,FALSE)</f>
        <v>Trưởng TT Điều hành và QLDL</v>
      </c>
      <c r="F85" s="1178">
        <v>3.66</v>
      </c>
      <c r="G85" s="1175"/>
      <c r="H85" s="1393">
        <f t="shared" si="0"/>
        <v>0</v>
      </c>
      <c r="I85" s="1176">
        <v>0.45</v>
      </c>
      <c r="J85" s="1138" t="str">
        <f>VLOOKUP(B85,'[25]Gui chi Quynh'!$B$11:$E$396,4,FALSE)</f>
        <v>A1</v>
      </c>
      <c r="K85" s="1138">
        <f t="shared" si="1"/>
        <v>0.8</v>
      </c>
      <c r="L85" s="1139">
        <v>20</v>
      </c>
      <c r="M85" s="1139">
        <f>VLOOKUP(B85,'[26]CN BC'!$H$10:$J$275,3,FALSE)</f>
        <v>26</v>
      </c>
      <c r="N85" s="1139">
        <f t="shared" si="2"/>
        <v>20</v>
      </c>
      <c r="O85" s="1140"/>
      <c r="P85" s="1141">
        <f t="shared" si="3"/>
        <v>7693920</v>
      </c>
      <c r="Q85" s="1646">
        <f t="shared" si="5"/>
        <v>3.2879999999999998</v>
      </c>
      <c r="R85" s="1580">
        <v>2340000</v>
      </c>
      <c r="S85" s="1647">
        <f t="shared" si="6"/>
        <v>7693920</v>
      </c>
      <c r="T85" s="1142">
        <f t="shared" si="4"/>
        <v>61</v>
      </c>
      <c r="U85" s="1143">
        <f>IFERROR(INDEX('[26]CN BC'!$M$10:$M$276,MATCH(B85,'[26]CN BC'!$H$10:$H$276,0)),"")</f>
        <v>0</v>
      </c>
      <c r="V85" s="1144" t="str">
        <f>VLOOKUP(B85,TH.T4!B83:AC413,28,FALSE)</f>
        <v>TTĐHDL</v>
      </c>
      <c r="W85" s="1130"/>
      <c r="Y85" s="1147"/>
    </row>
    <row r="86" spans="1:35" s="1148" customFormat="1" ht="30.75" customHeight="1">
      <c r="A86" s="1132">
        <f>_xlfn.AGGREGATE(4,7,A$24:A85)+1</f>
        <v>62</v>
      </c>
      <c r="B86" s="1133" t="s">
        <v>1470</v>
      </c>
      <c r="C86" s="1149" t="s">
        <v>1679</v>
      </c>
      <c r="D86" s="1166" t="s">
        <v>1438</v>
      </c>
      <c r="E86" s="1058" t="str">
        <f>VLOOKUP(B86,TH.Q2!B81:E412,4,FALSE)</f>
        <v>NV Trung tâm ĐH và QLDL</v>
      </c>
      <c r="F86" s="1136">
        <v>3.66</v>
      </c>
      <c r="G86" s="1137"/>
      <c r="H86" s="1393">
        <f t="shared" si="0"/>
        <v>0</v>
      </c>
      <c r="I86" s="1138"/>
      <c r="J86" s="1138" t="str">
        <f>VLOOKUP(B86,'[25]Gui chi Quynh'!$B$11:$E$396,4,FALSE)</f>
        <v>A1</v>
      </c>
      <c r="K86" s="1138">
        <f t="shared" si="1"/>
        <v>0.8</v>
      </c>
      <c r="L86" s="1139">
        <v>20</v>
      </c>
      <c r="M86" s="1139">
        <f>VLOOKUP(B86,'[26]CN BC'!$H$10:$J$275,3,FALSE)</f>
        <v>24</v>
      </c>
      <c r="N86" s="1139">
        <f t="shared" si="2"/>
        <v>20</v>
      </c>
      <c r="O86" s="1140"/>
      <c r="P86" s="1141">
        <f t="shared" si="3"/>
        <v>6851520</v>
      </c>
      <c r="Q86" s="1646">
        <f t="shared" si="5"/>
        <v>2.9279999999999999</v>
      </c>
      <c r="R86" s="1580">
        <v>2340000</v>
      </c>
      <c r="S86" s="1647">
        <f t="shared" si="6"/>
        <v>6851520</v>
      </c>
      <c r="T86" s="1142">
        <f t="shared" si="4"/>
        <v>62</v>
      </c>
      <c r="U86" s="1143">
        <f>IFERROR(INDEX('[26]CN BC'!$M$10:$M$276,MATCH(B86,'[26]CN BC'!$H$10:$H$276,0)),"")</f>
        <v>0</v>
      </c>
      <c r="V86" s="1144" t="str">
        <f>VLOOKUP(B86,TH.T4!B84:AC414,28,FALSE)</f>
        <v>TTĐHDL</v>
      </c>
      <c r="W86" s="1129"/>
      <c r="X86" s="1146"/>
      <c r="Y86" s="1187"/>
      <c r="Z86" s="1146"/>
      <c r="AA86" s="1146"/>
      <c r="AB86" s="1146"/>
      <c r="AC86" s="1146"/>
      <c r="AD86" s="1146"/>
      <c r="AE86" s="1146"/>
      <c r="AF86" s="1146"/>
      <c r="AG86" s="1146"/>
      <c r="AH86" s="1146"/>
      <c r="AI86" s="1146"/>
    </row>
    <row r="87" spans="1:35" s="1148" customFormat="1" ht="30.75" customHeight="1">
      <c r="A87" s="1132">
        <f>_xlfn.AGGREGATE(4,7,A$24:A86)+1</f>
        <v>63</v>
      </c>
      <c r="B87" s="1133" t="s">
        <v>1466</v>
      </c>
      <c r="C87" s="1153" t="s">
        <v>1663</v>
      </c>
      <c r="D87" s="1166" t="s">
        <v>1579</v>
      </c>
      <c r="E87" s="1058" t="str">
        <f>VLOOKUP(B87,TH.Q2!B82:E413,4,FALSE)</f>
        <v>Nhân viên TT Điều hành và QLDL</v>
      </c>
      <c r="F87" s="1136">
        <v>3.26</v>
      </c>
      <c r="G87" s="1137"/>
      <c r="H87" s="1393">
        <f t="shared" si="0"/>
        <v>0</v>
      </c>
      <c r="I87" s="1138"/>
      <c r="J87" s="1138" t="str">
        <f>VLOOKUP(B87,'[25]Gui chi Quynh'!$B$11:$E$396,4,FALSE)</f>
        <v>A1</v>
      </c>
      <c r="K87" s="1138">
        <f t="shared" si="1"/>
        <v>0.8</v>
      </c>
      <c r="L87" s="1139">
        <v>20</v>
      </c>
      <c r="M87" s="1139">
        <f>VLOOKUP(B87,'[26]CN BC'!$H$10:$J$275,3,FALSE)</f>
        <v>23</v>
      </c>
      <c r="N87" s="1139">
        <f t="shared" si="2"/>
        <v>20</v>
      </c>
      <c r="O87" s="1140"/>
      <c r="P87" s="1141">
        <f t="shared" si="3"/>
        <v>6102720</v>
      </c>
      <c r="Q87" s="1646">
        <f t="shared" si="5"/>
        <v>2.6080000000000001</v>
      </c>
      <c r="R87" s="1580">
        <v>2340000</v>
      </c>
      <c r="S87" s="1647">
        <f t="shared" si="6"/>
        <v>6102720</v>
      </c>
      <c r="T87" s="1142">
        <f t="shared" si="4"/>
        <v>63</v>
      </c>
      <c r="U87" s="1143">
        <f>IFERROR(INDEX('[26]CN BC'!$M$10:$M$276,MATCH(B87,'[26]CN BC'!$H$10:$H$276,0)),"")</f>
        <v>0</v>
      </c>
      <c r="V87" s="1144" t="str">
        <f>VLOOKUP(B87,TH.T4!B85:AC415,28,FALSE)</f>
        <v>TTĐHDL</v>
      </c>
      <c r="W87" s="1130"/>
      <c r="X87" s="1146"/>
      <c r="Y87" s="1147"/>
      <c r="Z87" s="1146"/>
      <c r="AA87" s="1146"/>
      <c r="AB87" s="1146"/>
      <c r="AC87" s="1146"/>
      <c r="AD87" s="1146"/>
      <c r="AE87" s="1146"/>
    </row>
    <row r="88" spans="1:35" s="1148" customFormat="1" ht="29.25" customHeight="1">
      <c r="A88" s="1132">
        <f>_xlfn.AGGREGATE(4,7,A$24:A87)+1</f>
        <v>64</v>
      </c>
      <c r="B88" s="1133" t="s">
        <v>1834</v>
      </c>
      <c r="C88" s="1153" t="s">
        <v>1967</v>
      </c>
      <c r="D88" s="1188">
        <v>1603215005599</v>
      </c>
      <c r="E88" s="1058" t="str">
        <f>VLOOKUP(B88,TH.Q2!B83:E414,4,FALSE)</f>
        <v>Phụ trách TT Thư viện</v>
      </c>
      <c r="F88" s="1160">
        <v>3.66</v>
      </c>
      <c r="G88" s="1137"/>
      <c r="H88" s="1393">
        <f t="shared" si="0"/>
        <v>0</v>
      </c>
      <c r="I88" s="1138">
        <v>0.45</v>
      </c>
      <c r="J88" s="1138" t="str">
        <f>VLOOKUP(B88,'[25]Gui chi Quynh'!$B$11:$E$396,4,FALSE)</f>
        <v>A1</v>
      </c>
      <c r="K88" s="1138">
        <f t="shared" si="1"/>
        <v>0.8</v>
      </c>
      <c r="L88" s="1139">
        <v>20</v>
      </c>
      <c r="M88" s="1139">
        <f>VLOOKUP(B88,'[26]CN BC'!$H$10:$J$275,3,FALSE)</f>
        <v>19</v>
      </c>
      <c r="N88" s="1139">
        <f t="shared" si="2"/>
        <v>19</v>
      </c>
      <c r="O88" s="1140"/>
      <c r="P88" s="1141">
        <f t="shared" si="3"/>
        <v>7309224</v>
      </c>
      <c r="Q88" s="1646">
        <f t="shared" si="5"/>
        <v>3.1236000000000002</v>
      </c>
      <c r="R88" s="1580">
        <v>2340000</v>
      </c>
      <c r="S88" s="1647">
        <f t="shared" si="6"/>
        <v>7309224</v>
      </c>
      <c r="T88" s="1142">
        <f t="shared" si="4"/>
        <v>64</v>
      </c>
      <c r="U88" s="1143" t="str">
        <f>IFERROR(INDEX('[26]CN BC'!$M$10:$M$276,MATCH(B88,'[26]CN BC'!$H$10:$H$276,0)),"")</f>
        <v>Trừ 1 ngày nghỉ phép 19/11</v>
      </c>
      <c r="V88" s="1144" t="str">
        <f>VLOOKUP(B88,TH.T4!B86:AC416,28,FALSE)</f>
        <v>TTTV</v>
      </c>
      <c r="W88" s="1130"/>
      <c r="X88" s="1146"/>
      <c r="Y88" s="1147"/>
      <c r="Z88" s="1146"/>
      <c r="AA88" s="1146"/>
      <c r="AB88" s="1146"/>
      <c r="AC88" s="1146"/>
      <c r="AD88" s="1146"/>
      <c r="AE88" s="1146"/>
    </row>
    <row r="89" spans="1:35" s="1148" customFormat="1" ht="27" customHeight="1">
      <c r="A89" s="1132">
        <f>_xlfn.AGGREGATE(4,7,A$24:A88)+1</f>
        <v>65</v>
      </c>
      <c r="B89" s="1133" t="s">
        <v>1468</v>
      </c>
      <c r="C89" s="1153" t="s">
        <v>1676</v>
      </c>
      <c r="D89" s="1166" t="s">
        <v>1580</v>
      </c>
      <c r="E89" s="1058" t="str">
        <f>VLOOKUP(B89,TH.Q2!B84:E415,4,FALSE)</f>
        <v>Nhân viên TT Thư viện</v>
      </c>
      <c r="F89" s="1160">
        <v>3.33</v>
      </c>
      <c r="G89" s="1137"/>
      <c r="H89" s="1393">
        <f t="shared" ref="H89:H153" si="7">ROUND(F89*G89,3)</f>
        <v>0</v>
      </c>
      <c r="I89" s="1138"/>
      <c r="J89" s="1138" t="str">
        <f>VLOOKUP(B89,'[25]Gui chi Quynh'!$B$11:$E$396,4,FALSE)</f>
        <v>A3</v>
      </c>
      <c r="K89" s="1138">
        <f t="shared" ref="K89:K153" si="8">IF(J89="A1",0.8,IF(J89="A2",0.7,IF(J89="A3",0.6,IF(J89="A4",0.5,IF(J89="B1",0.35,IF(J89="B2",0.25,IF(J89="C1",0.15,IF(J89="C2",0.1,0))))))))</f>
        <v>0.6</v>
      </c>
      <c r="L89" s="1139">
        <v>20</v>
      </c>
      <c r="M89" s="1139">
        <f>VLOOKUP(B89,'[26]CN BC'!$H$10:$J$275,3,FALSE)</f>
        <v>20</v>
      </c>
      <c r="N89" s="1139">
        <f t="shared" ref="N89:N152" si="9">IF(M89&gt;=L89,L89,IF(M89&lt;L89,M89))</f>
        <v>20</v>
      </c>
      <c r="O89" s="1140"/>
      <c r="P89" s="1141">
        <f t="shared" ref="P89:P152" si="10">(((F89+H89+I89)*$P$21/L89*N89)*K89)+O89</f>
        <v>4675320</v>
      </c>
      <c r="Q89" s="1646">
        <f t="shared" si="5"/>
        <v>1.998</v>
      </c>
      <c r="R89" s="1580">
        <v>2340000</v>
      </c>
      <c r="S89" s="1647">
        <f t="shared" si="6"/>
        <v>4675320</v>
      </c>
      <c r="T89" s="1142">
        <f t="shared" ref="T89:T115" si="11">A89</f>
        <v>65</v>
      </c>
      <c r="U89" s="1143">
        <f>IFERROR(INDEX('[26]CN BC'!$M$10:$M$276,MATCH(B89,'[26]CN BC'!$H$10:$H$276,0)),"")</f>
        <v>0</v>
      </c>
      <c r="V89" s="1144" t="str">
        <f>VLOOKUP(B89,TH.T4!B87:AC417,28,FALSE)</f>
        <v>TTTV</v>
      </c>
      <c r="W89" s="1130"/>
      <c r="X89" s="1146"/>
      <c r="Y89" s="1147"/>
      <c r="Z89" s="1146"/>
      <c r="AA89" s="1146"/>
      <c r="AB89" s="1146"/>
      <c r="AC89" s="1146"/>
      <c r="AD89" s="1146"/>
      <c r="AE89" s="1146"/>
    </row>
    <row r="90" spans="1:35" s="1148" customFormat="1" ht="27" customHeight="1">
      <c r="A90" s="1132">
        <f>_xlfn.AGGREGATE(4,7,A$24:A89)+1</f>
        <v>66</v>
      </c>
      <c r="B90" s="1133" t="s">
        <v>1469</v>
      </c>
      <c r="C90" s="1153" t="s">
        <v>1677</v>
      </c>
      <c r="D90" s="1179">
        <v>1603205185623</v>
      </c>
      <c r="E90" s="1058" t="str">
        <f>VLOOKUP(B90,TH.Q2!B85:E416,4,FALSE)</f>
        <v>Nhân viên TT Thư viện</v>
      </c>
      <c r="F90" s="1160">
        <v>3.33</v>
      </c>
      <c r="G90" s="1137"/>
      <c r="H90" s="1393">
        <f t="shared" si="7"/>
        <v>0</v>
      </c>
      <c r="I90" s="1138"/>
      <c r="J90" s="1138" t="str">
        <f>VLOOKUP(B90,'[25]Gui chi Quynh'!$B$11:$E$396,4,FALSE)</f>
        <v>A3</v>
      </c>
      <c r="K90" s="1138">
        <f t="shared" si="8"/>
        <v>0.6</v>
      </c>
      <c r="L90" s="1139">
        <v>20</v>
      </c>
      <c r="M90" s="1139">
        <f>VLOOKUP(B90,'[26]CN BC'!$H$10:$J$275,3,FALSE)</f>
        <v>20</v>
      </c>
      <c r="N90" s="1139">
        <f t="shared" si="9"/>
        <v>20</v>
      </c>
      <c r="O90" s="1140"/>
      <c r="P90" s="1141">
        <f t="shared" si="10"/>
        <v>4675320</v>
      </c>
      <c r="Q90" s="1646">
        <f t="shared" ref="Q90:Q153" si="12">P90/R90</f>
        <v>1.998</v>
      </c>
      <c r="R90" s="1580">
        <v>2340000</v>
      </c>
      <c r="S90" s="1647">
        <f t="shared" ref="S90:S153" si="13">Q90*R90</f>
        <v>4675320</v>
      </c>
      <c r="T90" s="1142">
        <f t="shared" si="11"/>
        <v>66</v>
      </c>
      <c r="U90" s="1143">
        <f>IFERROR(INDEX('[26]CN BC'!$M$10:$M$276,MATCH(B90,'[26]CN BC'!$H$10:$H$276,0)),"")</f>
        <v>0</v>
      </c>
      <c r="V90" s="1144" t="str">
        <f>VLOOKUP(B90,TH.T4!B88:AC418,28,FALSE)</f>
        <v>TTTV</v>
      </c>
      <c r="W90" s="1130"/>
      <c r="X90" s="1146"/>
      <c r="Y90" s="1147"/>
      <c r="Z90" s="1146"/>
      <c r="AA90" s="1146"/>
      <c r="AB90" s="1146"/>
      <c r="AC90" s="1146"/>
      <c r="AD90" s="1146"/>
      <c r="AE90" s="1146"/>
    </row>
    <row r="91" spans="1:35" s="1148" customFormat="1" ht="27" customHeight="1">
      <c r="A91" s="1132">
        <f>_xlfn.AGGREGATE(4,7,A$24:A90)+1</f>
        <v>67</v>
      </c>
      <c r="B91" s="1133" t="s">
        <v>1864</v>
      </c>
      <c r="C91" s="1153" t="s">
        <v>1678</v>
      </c>
      <c r="D91" s="1154" t="s">
        <v>1402</v>
      </c>
      <c r="E91" s="383" t="str">
        <f>VLOOKUP(B91,TH.Q2!B86:E417,4,FALSE)</f>
        <v>Nhân viên TT Thư viện</v>
      </c>
      <c r="F91" s="1136">
        <v>4.9800000000000004</v>
      </c>
      <c r="G91" s="1137">
        <v>0.06</v>
      </c>
      <c r="H91" s="1400">
        <f t="shared" si="7"/>
        <v>0.29899999999999999</v>
      </c>
      <c r="I91" s="1138"/>
      <c r="J91" s="1138" t="str">
        <f>VLOOKUP(B91,'[25]Gui chi Quynh'!$B$11:$E$396,4,FALSE)</f>
        <v>A4</v>
      </c>
      <c r="K91" s="1138">
        <f t="shared" si="8"/>
        <v>0.5</v>
      </c>
      <c r="L91" s="1139">
        <v>20</v>
      </c>
      <c r="M91" s="1139">
        <f>VLOOKUP(B91,'[26]CN BC'!$H$10:$J$275,3,FALSE)</f>
        <v>20</v>
      </c>
      <c r="N91" s="1139">
        <f t="shared" si="9"/>
        <v>20</v>
      </c>
      <c r="O91" s="1155"/>
      <c r="P91" s="1141">
        <f t="shared" si="10"/>
        <v>6176430.0000000009</v>
      </c>
      <c r="Q91" s="1646">
        <f t="shared" si="12"/>
        <v>2.6395000000000004</v>
      </c>
      <c r="R91" s="1580">
        <v>2340000</v>
      </c>
      <c r="S91" s="1647">
        <f t="shared" si="13"/>
        <v>6176430.0000000009</v>
      </c>
      <c r="T91" s="1142">
        <f t="shared" si="11"/>
        <v>67</v>
      </c>
      <c r="U91" s="1143">
        <f>IFERROR(INDEX('[26]CN BC'!$M$10:$M$276,MATCH(B91,'[26]CN BC'!$H$10:$H$276,0)),"")</f>
        <v>0</v>
      </c>
      <c r="V91" s="1189" t="str">
        <f>VLOOKUP(B91,TH.T4!B89:AC419,28,FALSE)</f>
        <v>TTTV</v>
      </c>
      <c r="W91" s="1171"/>
      <c r="Y91" s="1158"/>
    </row>
    <row r="92" spans="1:35" s="1148" customFormat="1" ht="31.5" customHeight="1">
      <c r="A92" s="1132">
        <f>_xlfn.AGGREGATE(4,7,A$24:A91)+1</f>
        <v>68</v>
      </c>
      <c r="B92" s="1133" t="s">
        <v>1471</v>
      </c>
      <c r="C92" s="1153" t="s">
        <v>1680</v>
      </c>
      <c r="D92" s="1166" t="s">
        <v>1581</v>
      </c>
      <c r="E92" s="1058" t="str">
        <f>VLOOKUP(B92,TH.Q2!B87:E418,4,FALSE)</f>
        <v>Trưởng phòng KHCN &amp; HTQT</v>
      </c>
      <c r="F92" s="1136">
        <v>4.9800000000000004</v>
      </c>
      <c r="G92" s="1137"/>
      <c r="H92" s="1393">
        <f t="shared" si="7"/>
        <v>0</v>
      </c>
      <c r="I92" s="1138">
        <v>0.45</v>
      </c>
      <c r="J92" s="1138" t="str">
        <f>VLOOKUP(B92,'[25]Gui chi Quynh'!$B$11:$E$396,4,FALSE)</f>
        <v>A1</v>
      </c>
      <c r="K92" s="1138">
        <f t="shared" si="8"/>
        <v>0.8</v>
      </c>
      <c r="L92" s="1139">
        <v>20</v>
      </c>
      <c r="M92" s="1139">
        <f>VLOOKUP(B92,'[26]CN BC'!$H$10:$J$275,3,FALSE)</f>
        <v>20</v>
      </c>
      <c r="N92" s="1139">
        <f t="shared" si="9"/>
        <v>20</v>
      </c>
      <c r="O92" s="1140"/>
      <c r="P92" s="1141">
        <f t="shared" si="10"/>
        <v>10164960.000000002</v>
      </c>
      <c r="Q92" s="1646">
        <f t="shared" si="12"/>
        <v>4.3440000000000012</v>
      </c>
      <c r="R92" s="1580">
        <v>2340000</v>
      </c>
      <c r="S92" s="1647">
        <f t="shared" si="13"/>
        <v>10164960.000000002</v>
      </c>
      <c r="T92" s="1142">
        <f t="shared" si="11"/>
        <v>68</v>
      </c>
      <c r="U92" s="1143">
        <f>IFERROR(INDEX('[26]CN BC'!$M$10:$M$276,MATCH(B92,'[26]CN BC'!$H$10:$H$276,0)),"")</f>
        <v>0</v>
      </c>
      <c r="V92" s="1144" t="str">
        <f>VLOOKUP(B92,TH.T4!B90:AC420,28,FALSE)</f>
        <v>QLKH</v>
      </c>
      <c r="W92" s="1171"/>
      <c r="Y92" s="1158"/>
    </row>
    <row r="93" spans="1:35" s="1148" customFormat="1" ht="31.5" customHeight="1">
      <c r="A93" s="1132">
        <f>_xlfn.AGGREGATE(4,7,A$24:A92)+1</f>
        <v>69</v>
      </c>
      <c r="B93" s="1164" t="s">
        <v>2009</v>
      </c>
      <c r="C93" s="1165"/>
      <c r="D93" s="1166"/>
      <c r="E93" s="1058" t="str">
        <f>VLOOKUP(B93,TH.Q2!B88:E419,4,FALSE)</f>
        <v>NV Phòng KHCN &amp; HTQT</v>
      </c>
      <c r="F93" s="1160">
        <v>3.66</v>
      </c>
      <c r="G93" s="1137"/>
      <c r="H93" s="1393">
        <f t="shared" si="7"/>
        <v>0</v>
      </c>
      <c r="I93" s="1138"/>
      <c r="J93" s="1138" t="str">
        <f>VLOOKUP(B93,'[25]Gui chi Quynh'!$B$11:$E$396,4,FALSE)</f>
        <v>A2</v>
      </c>
      <c r="K93" s="1138">
        <f t="shared" si="8"/>
        <v>0.7</v>
      </c>
      <c r="L93" s="1139">
        <v>20</v>
      </c>
      <c r="M93" s="1139">
        <f>VLOOKUP(B93,'[26]CN BC'!$H$10:$J$275,3,FALSE)</f>
        <v>20</v>
      </c>
      <c r="N93" s="1139">
        <f t="shared" si="9"/>
        <v>20</v>
      </c>
      <c r="O93" s="1140"/>
      <c r="P93" s="1141">
        <f t="shared" si="10"/>
        <v>5995080</v>
      </c>
      <c r="Q93" s="1646">
        <f t="shared" si="12"/>
        <v>2.5619999999999998</v>
      </c>
      <c r="R93" s="1580">
        <v>2340000</v>
      </c>
      <c r="S93" s="1647">
        <f t="shared" si="13"/>
        <v>5995080</v>
      </c>
      <c r="T93" s="1142">
        <f t="shared" si="11"/>
        <v>69</v>
      </c>
      <c r="U93" s="1143">
        <f>IFERROR(INDEX('[26]CN BC'!$M$10:$M$276,MATCH(B93,'[26]CN BC'!$H$10:$H$276,0)),"")</f>
        <v>0</v>
      </c>
      <c r="V93" s="1144" t="str">
        <f>VLOOKUP(B93,TH.T4!B91:AC421,28,FALSE)</f>
        <v>QLKH</v>
      </c>
      <c r="W93" s="1171"/>
      <c r="Y93" s="1158"/>
    </row>
    <row r="94" spans="1:35" s="1148" customFormat="1" ht="31.5" customHeight="1">
      <c r="A94" s="1132">
        <f>_xlfn.AGGREGATE(4,7,A$24:A93)+1</f>
        <v>70</v>
      </c>
      <c r="B94" s="1164" t="s">
        <v>1830</v>
      </c>
      <c r="C94" s="1165" t="s">
        <v>1829</v>
      </c>
      <c r="D94" s="1190">
        <v>1603205354978</v>
      </c>
      <c r="E94" s="1058" t="str">
        <f>VLOOKUP(B94,TH.Q2!B89:E420,4,FALSE)</f>
        <v>Giám đốc TT Đào tạo và Quản lý vật tư thiết bị</v>
      </c>
      <c r="F94" s="1160">
        <v>3</v>
      </c>
      <c r="G94" s="1137"/>
      <c r="H94" s="1393">
        <f t="shared" si="7"/>
        <v>0</v>
      </c>
      <c r="I94" s="1138">
        <v>0.45</v>
      </c>
      <c r="J94" s="1138" t="str">
        <f>VLOOKUP(B94,'[25]Gui chi Quynh'!$B$11:$E$396,4,FALSE)</f>
        <v>A1</v>
      </c>
      <c r="K94" s="1138">
        <f t="shared" si="8"/>
        <v>0.8</v>
      </c>
      <c r="L94" s="1139">
        <v>20</v>
      </c>
      <c r="M94" s="1139">
        <f>VLOOKUP(B94,'[26]CN BC'!$H$10:$J$275,3,FALSE)</f>
        <v>30</v>
      </c>
      <c r="N94" s="1139">
        <f t="shared" si="9"/>
        <v>20</v>
      </c>
      <c r="O94" s="1140"/>
      <c r="P94" s="1141">
        <f t="shared" si="10"/>
        <v>6458400</v>
      </c>
      <c r="Q94" s="1646">
        <f t="shared" si="12"/>
        <v>2.76</v>
      </c>
      <c r="R94" s="1580">
        <v>2340000</v>
      </c>
      <c r="S94" s="1647">
        <f t="shared" si="13"/>
        <v>6458399.9999999991</v>
      </c>
      <c r="T94" s="1191">
        <f t="shared" si="11"/>
        <v>70</v>
      </c>
      <c r="U94" s="1143">
        <f>IFERROR(INDEX('[26]CN BC'!$M$10:$M$276,MATCH(B94,'[26]CN BC'!$H$10:$H$276,0)),"")</f>
        <v>0</v>
      </c>
      <c r="V94" s="1144" t="str">
        <f>VLOOKUP(B94,TH.T4!B92:AC422,28,FALSE)</f>
        <v>TTĐT</v>
      </c>
      <c r="W94" s="1147"/>
      <c r="X94" s="1146"/>
      <c r="Y94" s="1146"/>
      <c r="Z94" s="1146"/>
      <c r="AA94" s="1146"/>
      <c r="AB94" s="1146"/>
      <c r="AC94" s="1146"/>
      <c r="AD94" s="1146"/>
      <c r="AE94" s="1146"/>
    </row>
    <row r="95" spans="1:35" s="1130" customFormat="1" ht="31.5" customHeight="1">
      <c r="A95" s="1132">
        <f>_xlfn.AGGREGATE(4,7,A$24:A94)+1</f>
        <v>71</v>
      </c>
      <c r="B95" s="1172" t="s">
        <v>2005</v>
      </c>
      <c r="C95" s="1192" t="s">
        <v>1826</v>
      </c>
      <c r="D95" s="1193" t="s">
        <v>12</v>
      </c>
      <c r="E95" s="1058" t="str">
        <f>VLOOKUP(B95,TH.Q2!B90:E421,4,FALSE)</f>
        <v>TT Đào tạo và Quản lý vật tư thiết bị</v>
      </c>
      <c r="F95" s="1176">
        <v>3.34</v>
      </c>
      <c r="G95" s="1194"/>
      <c r="H95" s="1393">
        <f t="shared" si="7"/>
        <v>0</v>
      </c>
      <c r="I95" s="1194">
        <v>0</v>
      </c>
      <c r="J95" s="1138" t="str">
        <f>VLOOKUP(B95,'[25]Gui chi Quynh'!$B$11:$E$396,4,FALSE)</f>
        <v>A4</v>
      </c>
      <c r="K95" s="1138">
        <f t="shared" si="8"/>
        <v>0.5</v>
      </c>
      <c r="L95" s="1139">
        <v>20</v>
      </c>
      <c r="M95" s="1139">
        <f>VLOOKUP(B95,'[26]CN BC'!$H$10:$J$275,3,FALSE)</f>
        <v>26</v>
      </c>
      <c r="N95" s="1139">
        <f t="shared" si="9"/>
        <v>20</v>
      </c>
      <c r="O95" s="1140"/>
      <c r="P95" s="1141">
        <f t="shared" si="10"/>
        <v>3907800</v>
      </c>
      <c r="Q95" s="1646">
        <f t="shared" si="12"/>
        <v>1.67</v>
      </c>
      <c r="R95" s="1580">
        <v>2340000</v>
      </c>
      <c r="S95" s="1647">
        <f t="shared" si="13"/>
        <v>3907800</v>
      </c>
      <c r="T95" s="1195">
        <f t="shared" si="11"/>
        <v>71</v>
      </c>
      <c r="U95" s="1143">
        <f>IFERROR(INDEX('[26]CN BC'!$M$10:$M$276,MATCH(B95,'[26]CN BC'!$H$10:$H$276,0)),"")</f>
        <v>0</v>
      </c>
      <c r="V95" s="1144" t="str">
        <f>VLOOKUP(B95,TH.T4!B93:AC423,28,FALSE)</f>
        <v>TTĐT</v>
      </c>
    </row>
    <row r="96" spans="1:35" s="1148" customFormat="1" ht="31.5" customHeight="1">
      <c r="A96" s="1132">
        <f>_xlfn.AGGREGATE(4,7,A$24:A95)+1</f>
        <v>72</v>
      </c>
      <c r="B96" s="1164" t="s">
        <v>1607</v>
      </c>
      <c r="C96" s="1165" t="s">
        <v>1957</v>
      </c>
      <c r="D96" s="1181">
        <v>1603215003961</v>
      </c>
      <c r="E96" s="1058" t="str">
        <f>VLOOKUP(B96,TH.Q2!B91:E422,4,FALSE)</f>
        <v>Trưởng khoa Xây dựng - Nhiệt lạnh</v>
      </c>
      <c r="F96" s="1160">
        <v>3.66</v>
      </c>
      <c r="G96" s="1137"/>
      <c r="H96" s="1393">
        <f t="shared" si="7"/>
        <v>0</v>
      </c>
      <c r="I96" s="1138">
        <v>0.45</v>
      </c>
      <c r="J96" s="1138" t="str">
        <f>VLOOKUP(B96,'[25]Gui chi Quynh'!$B$11:$E$396,4,FALSE)</f>
        <v>A2</v>
      </c>
      <c r="K96" s="1138">
        <f t="shared" si="8"/>
        <v>0.7</v>
      </c>
      <c r="L96" s="1139">
        <v>20</v>
      </c>
      <c r="M96" s="1139">
        <f>VLOOKUP(B96,'[26]CN BC'!$H$10:$J$275,3,FALSE)</f>
        <v>20</v>
      </c>
      <c r="N96" s="1139">
        <f t="shared" si="9"/>
        <v>20</v>
      </c>
      <c r="O96" s="1140"/>
      <c r="P96" s="1141">
        <f t="shared" si="10"/>
        <v>6732180</v>
      </c>
      <c r="Q96" s="1646">
        <f t="shared" si="12"/>
        <v>2.8769999999999998</v>
      </c>
      <c r="R96" s="1580">
        <v>2340000</v>
      </c>
      <c r="S96" s="1647">
        <f t="shared" si="13"/>
        <v>6732179.9999999991</v>
      </c>
      <c r="T96" s="1142">
        <f t="shared" si="11"/>
        <v>72</v>
      </c>
      <c r="U96" s="1143">
        <f>IFERROR(INDEX('[26]CN BC'!$M$10:$M$276,MATCH(B96,'[26]CN BC'!$H$10:$H$276,0)),"")</f>
        <v>0</v>
      </c>
      <c r="V96" s="1144" t="str">
        <f>VLOOKUP(B96,TH.T4!B94:AC424,28,FALSE)</f>
        <v>XD-NL</v>
      </c>
      <c r="W96" s="1171"/>
      <c r="Y96" s="1158"/>
    </row>
    <row r="97" spans="1:35" s="1148" customFormat="1" ht="31.5" customHeight="1">
      <c r="A97" s="1132">
        <f>_xlfn.AGGREGATE(4,7,A$24:A96)+1</f>
        <v>73</v>
      </c>
      <c r="B97" s="1133" t="s">
        <v>1924</v>
      </c>
      <c r="C97" s="1153" t="s">
        <v>1958</v>
      </c>
      <c r="D97" s="1188" t="s">
        <v>1935</v>
      </c>
      <c r="E97" s="1058" t="str">
        <f>VLOOKUP(B97,TH.Q2!B92:E423,4,FALSE)</f>
        <v>Giảng viên khoa Xây dựng - Nhiệt lạnh</v>
      </c>
      <c r="F97" s="1160">
        <v>3</v>
      </c>
      <c r="G97" s="1137"/>
      <c r="H97" s="1393">
        <f t="shared" si="7"/>
        <v>0</v>
      </c>
      <c r="I97" s="1138"/>
      <c r="J97" s="1138" t="str">
        <f>VLOOKUP(B97,'[25]Gui chi Quynh'!$B$11:$E$396,4,FALSE)</f>
        <v>A4</v>
      </c>
      <c r="K97" s="1138">
        <f t="shared" si="8"/>
        <v>0.5</v>
      </c>
      <c r="L97" s="1139">
        <v>20</v>
      </c>
      <c r="M97" s="1139">
        <f>VLOOKUP(B97,'[26]CN BC'!$H$10:$J$275,3,FALSE)</f>
        <v>20</v>
      </c>
      <c r="N97" s="1139">
        <f t="shared" si="9"/>
        <v>20</v>
      </c>
      <c r="O97" s="1140"/>
      <c r="P97" s="1141">
        <f t="shared" si="10"/>
        <v>3510000</v>
      </c>
      <c r="Q97" s="1646">
        <f t="shared" si="12"/>
        <v>1.5</v>
      </c>
      <c r="R97" s="1580">
        <v>2340000</v>
      </c>
      <c r="S97" s="1647">
        <f t="shared" si="13"/>
        <v>3510000</v>
      </c>
      <c r="T97" s="1142">
        <f t="shared" si="11"/>
        <v>73</v>
      </c>
      <c r="U97" s="1143">
        <f>IFERROR(INDEX('[26]CN BC'!$M$10:$M$276,MATCH(B97,'[26]CN BC'!$H$10:$H$276,0)),"")</f>
        <v>0</v>
      </c>
      <c r="V97" s="1144" t="str">
        <f>VLOOKUP(B97,TH.T4!B95:AC425,28,FALSE)</f>
        <v>XD-NL</v>
      </c>
      <c r="W97" s="1171"/>
      <c r="Y97" s="1158"/>
    </row>
    <row r="98" spans="1:35" s="1148" customFormat="1" ht="31.5" customHeight="1">
      <c r="A98" s="1132">
        <f>_xlfn.AGGREGATE(4,7,A$24:A97)+1</f>
        <v>74</v>
      </c>
      <c r="B98" s="1133" t="s">
        <v>1944</v>
      </c>
      <c r="C98" s="1153" t="s">
        <v>1959</v>
      </c>
      <c r="D98" s="1181"/>
      <c r="E98" s="1058" t="str">
        <f>VLOOKUP(B98,TH.Q2!B93:E424,4,FALSE)</f>
        <v>Giảng viên khoa Xây dựng - Nhiệt lạnh</v>
      </c>
      <c r="F98" s="1136">
        <v>2.34</v>
      </c>
      <c r="G98" s="1137"/>
      <c r="H98" s="1393">
        <f t="shared" si="7"/>
        <v>0</v>
      </c>
      <c r="I98" s="1138"/>
      <c r="J98" s="1138" t="str">
        <f>VLOOKUP(B98,'[25]Gui chi Quynh'!$B$11:$E$396,4,FALSE)</f>
        <v>A3</v>
      </c>
      <c r="K98" s="1138">
        <f t="shared" si="8"/>
        <v>0.6</v>
      </c>
      <c r="L98" s="1139">
        <v>20</v>
      </c>
      <c r="M98" s="1139">
        <f>VLOOKUP(B98,'[26]CN BC'!$H$10:$J$275,3,FALSE)</f>
        <v>20</v>
      </c>
      <c r="N98" s="1139">
        <f t="shared" si="9"/>
        <v>20</v>
      </c>
      <c r="O98" s="1140"/>
      <c r="P98" s="1141">
        <f t="shared" si="10"/>
        <v>3285360</v>
      </c>
      <c r="Q98" s="1646">
        <f t="shared" si="12"/>
        <v>1.4039999999999999</v>
      </c>
      <c r="R98" s="1580">
        <v>2340000</v>
      </c>
      <c r="S98" s="1647">
        <f t="shared" si="13"/>
        <v>3285360</v>
      </c>
      <c r="T98" s="1142">
        <f t="shared" si="11"/>
        <v>74</v>
      </c>
      <c r="U98" s="1143">
        <f>IFERROR(INDEX('[26]CN BC'!$M$10:$M$276,MATCH(B98,'[26]CN BC'!$H$10:$H$276,0)),"")</f>
        <v>0</v>
      </c>
      <c r="V98" s="1144" t="str">
        <f>VLOOKUP(B98,TH.T4!B96:AC426,28,FALSE)</f>
        <v>XD-NL</v>
      </c>
      <c r="W98" s="1171"/>
      <c r="Y98" s="1158"/>
    </row>
    <row r="99" spans="1:35" s="1148" customFormat="1" ht="25.5" customHeight="1">
      <c r="A99" s="1132">
        <f>_xlfn.AGGREGATE(4,7,A$24:A98)+1</f>
        <v>75</v>
      </c>
      <c r="B99" s="1133" t="s">
        <v>1472</v>
      </c>
      <c r="C99" s="1149" t="s">
        <v>1682</v>
      </c>
      <c r="D99" s="1166" t="s">
        <v>1582</v>
      </c>
      <c r="E99" s="1058" t="str">
        <f>VLOOKUP(B99,TH.Q2!B94:E425,4,FALSE)</f>
        <v>Trưởng khoa Kinh tế</v>
      </c>
      <c r="F99" s="1160">
        <v>3.99</v>
      </c>
      <c r="G99" s="1137"/>
      <c r="H99" s="1393">
        <f t="shared" si="7"/>
        <v>0</v>
      </c>
      <c r="I99" s="1138">
        <v>0.45</v>
      </c>
      <c r="J99" s="1138" t="str">
        <f>VLOOKUP(B99,'[25]Gui chi Quynh'!$B$11:$E$396,4,FALSE)</f>
        <v>A2</v>
      </c>
      <c r="K99" s="1138">
        <f t="shared" si="8"/>
        <v>0.7</v>
      </c>
      <c r="L99" s="1139">
        <v>20</v>
      </c>
      <c r="M99" s="1139">
        <f>VLOOKUP(B99,'[26]CN BC'!$H$10:$J$275,3,FALSE)</f>
        <v>20</v>
      </c>
      <c r="N99" s="1139">
        <f t="shared" si="9"/>
        <v>20</v>
      </c>
      <c r="O99" s="1140"/>
      <c r="P99" s="1141">
        <f t="shared" si="10"/>
        <v>7272720</v>
      </c>
      <c r="Q99" s="1646">
        <f t="shared" si="12"/>
        <v>3.1080000000000001</v>
      </c>
      <c r="R99" s="1580">
        <v>2340000</v>
      </c>
      <c r="S99" s="1647">
        <f t="shared" si="13"/>
        <v>7272720</v>
      </c>
      <c r="T99" s="1142">
        <f t="shared" si="11"/>
        <v>75</v>
      </c>
      <c r="U99" s="1143">
        <f>IFERROR(INDEX('[26]CN BC'!$M$10:$M$276,MATCH(B99,'[26]CN BC'!$H$10:$H$276,0)),"")</f>
        <v>0</v>
      </c>
      <c r="V99" s="1144" t="str">
        <f>VLOOKUP(B99,TH.T4!B97:AC427,28,FALSE)</f>
        <v>KT</v>
      </c>
      <c r="W99" s="1130"/>
      <c r="X99" s="1146"/>
      <c r="Y99" s="1147"/>
      <c r="Z99" s="1146"/>
      <c r="AA99" s="1146"/>
      <c r="AB99" s="1146"/>
      <c r="AC99" s="1146"/>
      <c r="AD99" s="1146"/>
      <c r="AE99" s="1146"/>
      <c r="AF99" s="1146"/>
      <c r="AG99" s="1146"/>
      <c r="AH99" s="1146"/>
      <c r="AI99" s="1146"/>
    </row>
    <row r="100" spans="1:35" s="1148" customFormat="1" ht="25.15" customHeight="1">
      <c r="A100" s="1132">
        <f>_xlfn.AGGREGATE(4,7,A$24:A99)+1</f>
        <v>76</v>
      </c>
      <c r="B100" s="1133" t="s">
        <v>1566</v>
      </c>
      <c r="C100" s="1153" t="s">
        <v>1681</v>
      </c>
      <c r="D100" s="1196" t="s">
        <v>1567</v>
      </c>
      <c r="E100" s="1058" t="str">
        <f>VLOOKUP(B100,TH.Q2!B95:E426,4,FALSE)</f>
        <v>Giảng viên khoa Kinh tế</v>
      </c>
      <c r="F100" s="1160">
        <v>3.33</v>
      </c>
      <c r="G100" s="1137"/>
      <c r="H100" s="1393">
        <f t="shared" si="7"/>
        <v>0</v>
      </c>
      <c r="I100" s="1138"/>
      <c r="J100" s="1138" t="str">
        <f>VLOOKUP(B100,'[25]Gui chi Quynh'!$B$11:$E$396,4,FALSE)</f>
        <v>A3</v>
      </c>
      <c r="K100" s="1138">
        <f t="shared" si="8"/>
        <v>0.6</v>
      </c>
      <c r="L100" s="1139">
        <v>20</v>
      </c>
      <c r="M100" s="1139">
        <f>VLOOKUP(B100,'[26]CN BC'!$H$10:$J$275,3,FALSE)</f>
        <v>20</v>
      </c>
      <c r="N100" s="1139">
        <f t="shared" si="9"/>
        <v>20</v>
      </c>
      <c r="O100" s="1140"/>
      <c r="P100" s="1141">
        <f t="shared" si="10"/>
        <v>4675320</v>
      </c>
      <c r="Q100" s="1646">
        <f t="shared" si="12"/>
        <v>1.998</v>
      </c>
      <c r="R100" s="1580">
        <v>2340000</v>
      </c>
      <c r="S100" s="1647">
        <f t="shared" si="13"/>
        <v>4675320</v>
      </c>
      <c r="T100" s="1142">
        <f t="shared" si="11"/>
        <v>76</v>
      </c>
      <c r="U100" s="1143">
        <f>IFERROR(INDEX('[26]CN BC'!$M$10:$M$276,MATCH(B100,'[26]CN BC'!$H$10:$H$276,0)),"")</f>
        <v>0</v>
      </c>
      <c r="V100" s="1144" t="str">
        <f>VLOOKUP(B100,TH.T4!B98:AC428,28,FALSE)</f>
        <v>KT</v>
      </c>
      <c r="W100" s="1130"/>
      <c r="X100" s="1146"/>
      <c r="Y100" s="1147"/>
    </row>
    <row r="101" spans="1:35" s="1148" customFormat="1" ht="25.15" customHeight="1">
      <c r="A101" s="1132">
        <f>_xlfn.AGGREGATE(4,7,A$24:A100)+1</f>
        <v>77</v>
      </c>
      <c r="B101" s="1133" t="s">
        <v>1831</v>
      </c>
      <c r="C101" s="1153" t="s">
        <v>1960</v>
      </c>
      <c r="D101" s="1198">
        <v>1603215005603</v>
      </c>
      <c r="E101" s="1058" t="str">
        <f>VLOOKUP(B101,TH.Q2!B96:E427,4,FALSE)</f>
        <v>Giảng viên khoa 
Kinh tế</v>
      </c>
      <c r="F101" s="1160">
        <v>3</v>
      </c>
      <c r="G101" s="1137"/>
      <c r="H101" s="1393">
        <f t="shared" si="7"/>
        <v>0</v>
      </c>
      <c r="I101" s="1138"/>
      <c r="J101" s="1138" t="str">
        <f>VLOOKUP(B101,'[25]Gui chi Quynh'!$B$11:$E$396,4,FALSE)</f>
        <v>A3</v>
      </c>
      <c r="K101" s="1138">
        <f t="shared" si="8"/>
        <v>0.6</v>
      </c>
      <c r="L101" s="1139">
        <v>20</v>
      </c>
      <c r="M101" s="1139">
        <f>VLOOKUP(B101,'[26]CN BC'!$H$10:$J$275,3,FALSE)</f>
        <v>20</v>
      </c>
      <c r="N101" s="1139">
        <f t="shared" si="9"/>
        <v>20</v>
      </c>
      <c r="O101" s="1140"/>
      <c r="P101" s="1141">
        <f t="shared" si="10"/>
        <v>4212000</v>
      </c>
      <c r="Q101" s="1646">
        <f t="shared" si="12"/>
        <v>1.8</v>
      </c>
      <c r="R101" s="1580">
        <v>2340000</v>
      </c>
      <c r="S101" s="1647">
        <f t="shared" si="13"/>
        <v>4212000</v>
      </c>
      <c r="T101" s="1142">
        <f t="shared" si="11"/>
        <v>77</v>
      </c>
      <c r="U101" s="1143">
        <f>IFERROR(INDEX('[26]CN BC'!$M$10:$M$276,MATCH(B101,'[26]CN BC'!$H$10:$H$276,0)),"")</f>
        <v>0</v>
      </c>
      <c r="V101" s="1144" t="str">
        <f>VLOOKUP(B101,TH.T4!B99:AC429,28,FALSE)</f>
        <v>KT</v>
      </c>
      <c r="W101" s="1130"/>
      <c r="X101" s="1146"/>
      <c r="Y101" s="1147"/>
      <c r="Z101" s="1146"/>
      <c r="AA101" s="1146"/>
      <c r="AB101" s="1146"/>
      <c r="AC101" s="1146"/>
      <c r="AD101" s="1146"/>
      <c r="AE101" s="1146"/>
    </row>
    <row r="102" spans="1:35" s="1148" customFormat="1" ht="26.25" customHeight="1">
      <c r="A102" s="1132">
        <f>_xlfn.AGGREGATE(4,7,A$24:A101)+1</f>
        <v>78</v>
      </c>
      <c r="B102" s="1133" t="s">
        <v>1473</v>
      </c>
      <c r="C102" s="1153" t="s">
        <v>1683</v>
      </c>
      <c r="D102" s="1166" t="s">
        <v>1583</v>
      </c>
      <c r="E102" s="1058" t="str">
        <f>VLOOKUP(B102,TH.Q2!B97:E428,4,FALSE)</f>
        <v>Phó Trưởng khoa Kinh tế</v>
      </c>
      <c r="F102" s="1160">
        <v>3.66</v>
      </c>
      <c r="G102" s="1137"/>
      <c r="H102" s="1393">
        <f t="shared" si="7"/>
        <v>0</v>
      </c>
      <c r="I102" s="1138">
        <v>0.35</v>
      </c>
      <c r="J102" s="1138" t="str">
        <f>VLOOKUP(B102,'[25]Gui chi Quynh'!$B$11:$E$396,4,FALSE)</f>
        <v>A2</v>
      </c>
      <c r="K102" s="1138">
        <f t="shared" si="8"/>
        <v>0.7</v>
      </c>
      <c r="L102" s="1139">
        <v>20</v>
      </c>
      <c r="M102" s="1139">
        <f>VLOOKUP(B102,'[26]CN BC'!$H$10:$J$275,3,FALSE)</f>
        <v>20</v>
      </c>
      <c r="N102" s="1139">
        <f t="shared" si="9"/>
        <v>20</v>
      </c>
      <c r="O102" s="1140"/>
      <c r="P102" s="1141">
        <f t="shared" si="10"/>
        <v>6568380</v>
      </c>
      <c r="Q102" s="1646">
        <f t="shared" si="12"/>
        <v>2.8069999999999999</v>
      </c>
      <c r="R102" s="1580">
        <v>2340000</v>
      </c>
      <c r="S102" s="1647">
        <f t="shared" si="13"/>
        <v>6568380</v>
      </c>
      <c r="T102" s="1142">
        <f t="shared" si="11"/>
        <v>78</v>
      </c>
      <c r="U102" s="1143">
        <f>IFERROR(INDEX('[26]CN BC'!$M$10:$M$276,MATCH(B102,'[26]CN BC'!$H$10:$H$276,0)),"")</f>
        <v>0</v>
      </c>
      <c r="V102" s="1144" t="str">
        <f>VLOOKUP(B102,TH.T4!B100:AC430,28,FALSE)</f>
        <v>KT</v>
      </c>
      <c r="W102" s="1171"/>
      <c r="Y102" s="1158"/>
    </row>
    <row r="103" spans="1:35" s="1148" customFormat="1" ht="26.25" customHeight="1">
      <c r="A103" s="1132">
        <f>_xlfn.AGGREGATE(4,7,A$24:A102)+1</f>
        <v>79</v>
      </c>
      <c r="B103" s="1199" t="s">
        <v>1928</v>
      </c>
      <c r="C103" s="1153" t="s">
        <v>1961</v>
      </c>
      <c r="D103" s="1181" t="s">
        <v>1934</v>
      </c>
      <c r="E103" s="1058" t="str">
        <f>VLOOKUP(B103,TH.Q2!B98:E429,4,FALSE)</f>
        <v>Giảng viên khoa Du lịch - Khách sạn</v>
      </c>
      <c r="F103" s="1197">
        <v>2.34</v>
      </c>
      <c r="G103" s="1137"/>
      <c r="H103" s="1393">
        <f t="shared" si="7"/>
        <v>0</v>
      </c>
      <c r="I103" s="1138"/>
      <c r="J103" s="1138" t="str">
        <f>VLOOKUP(B103,'[25]Gui chi Quynh'!$B$11:$E$396,4,FALSE)</f>
        <v>A4</v>
      </c>
      <c r="K103" s="1138">
        <f t="shared" si="8"/>
        <v>0.5</v>
      </c>
      <c r="L103" s="1139">
        <v>20</v>
      </c>
      <c r="M103" s="1139">
        <f>VLOOKUP(B103,'[26]CN BC'!$H$10:$J$275,3,FALSE)</f>
        <v>20</v>
      </c>
      <c r="N103" s="1139">
        <f t="shared" si="9"/>
        <v>20</v>
      </c>
      <c r="O103" s="1140"/>
      <c r="P103" s="1141">
        <f t="shared" si="10"/>
        <v>2737800</v>
      </c>
      <c r="Q103" s="1646">
        <f t="shared" si="12"/>
        <v>1.17</v>
      </c>
      <c r="R103" s="1580">
        <v>2340000</v>
      </c>
      <c r="S103" s="1647">
        <f t="shared" si="13"/>
        <v>2737800</v>
      </c>
      <c r="T103" s="1142">
        <f t="shared" si="11"/>
        <v>79</v>
      </c>
      <c r="U103" s="1143">
        <f>IFERROR(INDEX('[26]CN BC'!$M$10:$M$276,MATCH(B103,'[26]CN BC'!$H$10:$H$276,0)),"")</f>
        <v>0</v>
      </c>
      <c r="V103" s="1144" t="str">
        <f>VLOOKUP(B103,TH.T4!B101:AC431,28,FALSE)</f>
        <v>KT</v>
      </c>
      <c r="W103" s="1171"/>
      <c r="Y103" s="1158"/>
    </row>
    <row r="104" spans="1:35" s="1148" customFormat="1" ht="32.25" customHeight="1">
      <c r="A104" s="1132">
        <f>_xlfn.AGGREGATE(4,7,A$24:A103)+1</f>
        <v>80</v>
      </c>
      <c r="B104" s="1133" t="s">
        <v>1474</v>
      </c>
      <c r="C104" s="1153" t="s">
        <v>1684</v>
      </c>
      <c r="D104" s="1166" t="s">
        <v>1584</v>
      </c>
      <c r="E104" s="1058" t="str">
        <f>VLOOKUP(B104,TH.Q2!B99:E430,4,FALSE)</f>
        <v>Giảng viên khoa Kinh tế</v>
      </c>
      <c r="F104" s="1160">
        <v>3.33</v>
      </c>
      <c r="G104" s="1137"/>
      <c r="H104" s="1393">
        <f t="shared" si="7"/>
        <v>0</v>
      </c>
      <c r="I104" s="1138"/>
      <c r="J104" s="1138" t="str">
        <f>VLOOKUP(B104,'[25]Gui chi Quynh'!$B$11:$E$396,4,FALSE)</f>
        <v>A3</v>
      </c>
      <c r="K104" s="1138">
        <f t="shared" si="8"/>
        <v>0.6</v>
      </c>
      <c r="L104" s="1139">
        <v>20</v>
      </c>
      <c r="M104" s="1139">
        <f>VLOOKUP(B104,'[26]CN BC'!$H$10:$J$275,3,FALSE)</f>
        <v>20</v>
      </c>
      <c r="N104" s="1139">
        <f t="shared" si="9"/>
        <v>20</v>
      </c>
      <c r="O104" s="1140"/>
      <c r="P104" s="1141">
        <f t="shared" si="10"/>
        <v>4675320</v>
      </c>
      <c r="Q104" s="1646">
        <f t="shared" si="12"/>
        <v>1.998</v>
      </c>
      <c r="R104" s="1580">
        <v>2340000</v>
      </c>
      <c r="S104" s="1647">
        <f t="shared" si="13"/>
        <v>4675320</v>
      </c>
      <c r="T104" s="1142">
        <f t="shared" si="11"/>
        <v>80</v>
      </c>
      <c r="U104" s="1143">
        <f>IFERROR(INDEX('[26]CN BC'!$M$10:$M$276,MATCH(B104,'[26]CN BC'!$H$10:$H$276,0)),"")</f>
        <v>0</v>
      </c>
      <c r="V104" s="1144" t="str">
        <f>VLOOKUP(B104,TH.T4!B102:AC432,28,FALSE)</f>
        <v>KT</v>
      </c>
      <c r="W104" s="1171"/>
      <c r="Y104" s="1158"/>
    </row>
    <row r="105" spans="1:35" s="1148" customFormat="1" ht="28.5" customHeight="1">
      <c r="A105" s="1132">
        <f>_xlfn.AGGREGATE(4,7,A$24:A104)+1</f>
        <v>81</v>
      </c>
      <c r="B105" s="1133" t="s">
        <v>1571</v>
      </c>
      <c r="C105" s="1153" t="s">
        <v>1685</v>
      </c>
      <c r="D105" s="1196" t="s">
        <v>1572</v>
      </c>
      <c r="E105" s="1058" t="str">
        <f>VLOOKUP(B105,TH.Q2!B100:E431,4,FALSE)</f>
        <v>Giảng viên khoa Kinh tế</v>
      </c>
      <c r="F105" s="1160">
        <v>3.33</v>
      </c>
      <c r="G105" s="1137"/>
      <c r="H105" s="1393">
        <f t="shared" si="7"/>
        <v>0</v>
      </c>
      <c r="I105" s="1138"/>
      <c r="J105" s="1138" t="str">
        <f>VLOOKUP(B105,'[25]Gui chi Quynh'!$B$11:$E$396,4,FALSE)</f>
        <v>A3</v>
      </c>
      <c r="K105" s="1138">
        <f t="shared" si="8"/>
        <v>0.6</v>
      </c>
      <c r="L105" s="1139">
        <v>20</v>
      </c>
      <c r="M105" s="1139">
        <f>VLOOKUP(B105,'[26]CN BC'!$H$10:$J$275,3,FALSE)</f>
        <v>20</v>
      </c>
      <c r="N105" s="1139">
        <f t="shared" si="9"/>
        <v>20</v>
      </c>
      <c r="O105" s="1140"/>
      <c r="P105" s="1141">
        <f t="shared" si="10"/>
        <v>4675320</v>
      </c>
      <c r="Q105" s="1646">
        <f t="shared" si="12"/>
        <v>1.998</v>
      </c>
      <c r="R105" s="1580">
        <v>2340000</v>
      </c>
      <c r="S105" s="1647">
        <f t="shared" si="13"/>
        <v>4675320</v>
      </c>
      <c r="T105" s="1142">
        <f t="shared" si="11"/>
        <v>81</v>
      </c>
      <c r="U105" s="1143">
        <f>IFERROR(INDEX('[26]CN BC'!$M$10:$M$276,MATCH(B105,'[26]CN BC'!$H$10:$H$276,0)),"")</f>
        <v>0</v>
      </c>
      <c r="V105" s="1144" t="str">
        <f>VLOOKUP(B105,TH.T4!B103:AC433,28,FALSE)</f>
        <v>KT</v>
      </c>
      <c r="W105" s="1130"/>
      <c r="X105" s="1146"/>
      <c r="Y105" s="1147"/>
      <c r="Z105" s="1146"/>
      <c r="AA105" s="1146"/>
      <c r="AB105" s="1146"/>
      <c r="AC105" s="1146"/>
      <c r="AD105" s="1146"/>
      <c r="AE105" s="1146"/>
    </row>
    <row r="106" spans="1:35" s="1148" customFormat="1" ht="28.5" customHeight="1">
      <c r="A106" s="1132">
        <f>_xlfn.AGGREGATE(4,7,A$24:A105)+1</f>
        <v>82</v>
      </c>
      <c r="B106" s="1133" t="s">
        <v>1475</v>
      </c>
      <c r="C106" s="1153" t="s">
        <v>1686</v>
      </c>
      <c r="D106" s="1166" t="s">
        <v>1585</v>
      </c>
      <c r="E106" s="1058" t="str">
        <f>VLOOKUP(B106,TH.Q2!B101:E432,4,FALSE)</f>
        <v>Giảng viên khoa Kinh tế</v>
      </c>
      <c r="F106" s="1160">
        <v>3.66</v>
      </c>
      <c r="G106" s="1137"/>
      <c r="H106" s="1393">
        <f t="shared" si="7"/>
        <v>0</v>
      </c>
      <c r="I106" s="1138"/>
      <c r="J106" s="1138" t="str">
        <f>VLOOKUP(B106,'[25]Gui chi Quynh'!$B$11:$E$396,4,FALSE)</f>
        <v>A3</v>
      </c>
      <c r="K106" s="1138">
        <f t="shared" si="8"/>
        <v>0.6</v>
      </c>
      <c r="L106" s="1139">
        <v>20</v>
      </c>
      <c r="M106" s="1139">
        <f>VLOOKUP(B106,'[26]CN BC'!$H$10:$J$275,3,FALSE)</f>
        <v>20</v>
      </c>
      <c r="N106" s="1139">
        <f t="shared" si="9"/>
        <v>20</v>
      </c>
      <c r="O106" s="1140"/>
      <c r="P106" s="1141">
        <f t="shared" si="10"/>
        <v>5138640</v>
      </c>
      <c r="Q106" s="1646">
        <f t="shared" si="12"/>
        <v>2.1960000000000002</v>
      </c>
      <c r="R106" s="1580">
        <v>2340000</v>
      </c>
      <c r="S106" s="1647">
        <f t="shared" si="13"/>
        <v>5138640</v>
      </c>
      <c r="T106" s="1142">
        <f t="shared" si="11"/>
        <v>82</v>
      </c>
      <c r="U106" s="1143">
        <f>IFERROR(INDEX('[26]CN BC'!$M$10:$M$276,MATCH(B106,'[26]CN BC'!$H$10:$H$276,0)),"")</f>
        <v>0</v>
      </c>
      <c r="V106" s="1144" t="str">
        <f>VLOOKUP(B106,TH.T4!B104:AC434,28,FALSE)</f>
        <v>KT</v>
      </c>
      <c r="W106" s="1167"/>
      <c r="X106" s="1146"/>
      <c r="Y106" s="1147"/>
    </row>
    <row r="107" spans="1:35" s="1148" customFormat="1" ht="28.5" customHeight="1">
      <c r="A107" s="1132">
        <f>_xlfn.AGGREGATE(4,7,A$24:A106)+1</f>
        <v>83</v>
      </c>
      <c r="B107" s="1133" t="s">
        <v>1476</v>
      </c>
      <c r="C107" s="1153" t="s">
        <v>1687</v>
      </c>
      <c r="D107" s="1166" t="s">
        <v>1586</v>
      </c>
      <c r="E107" s="1058" t="str">
        <f>VLOOKUP(B107,TH.Q2!B102:E433,4,FALSE)</f>
        <v>Giảng viên khoa Du lịch - Khách sạn</v>
      </c>
      <c r="F107" s="1160">
        <v>3</v>
      </c>
      <c r="G107" s="1137"/>
      <c r="H107" s="1393">
        <f t="shared" si="7"/>
        <v>0</v>
      </c>
      <c r="I107" s="1138"/>
      <c r="J107" s="1138" t="str">
        <f>VLOOKUP(B107,'[25]Gui chi Quynh'!$B$11:$E$396,4,FALSE)</f>
        <v>A4</v>
      </c>
      <c r="K107" s="1138">
        <f t="shared" si="8"/>
        <v>0.5</v>
      </c>
      <c r="L107" s="1139">
        <v>20</v>
      </c>
      <c r="M107" s="1139">
        <f>VLOOKUP(B107,'[26]CN BC'!$H$10:$J$275,3,FALSE)</f>
        <v>21</v>
      </c>
      <c r="N107" s="1139">
        <f t="shared" si="9"/>
        <v>20</v>
      </c>
      <c r="O107" s="1140"/>
      <c r="P107" s="1141">
        <f t="shared" si="10"/>
        <v>3510000</v>
      </c>
      <c r="Q107" s="1646">
        <f t="shared" si="12"/>
        <v>1.5</v>
      </c>
      <c r="R107" s="1580">
        <v>2340000</v>
      </c>
      <c r="S107" s="1647">
        <f t="shared" si="13"/>
        <v>3510000</v>
      </c>
      <c r="T107" s="1142">
        <f t="shared" si="11"/>
        <v>83</v>
      </c>
      <c r="U107" s="1143">
        <f>IFERROR(INDEX('[26]CN BC'!$M$10:$M$276,MATCH(B107,'[26]CN BC'!$H$10:$H$276,0)),"")</f>
        <v>0</v>
      </c>
      <c r="V107" s="1144" t="s">
        <v>2236</v>
      </c>
      <c r="W107" s="1130"/>
      <c r="X107" s="1146"/>
      <c r="Y107" s="1147"/>
      <c r="Z107" s="1146"/>
      <c r="AA107" s="1146"/>
      <c r="AB107" s="1146"/>
      <c r="AC107" s="1146"/>
      <c r="AD107" s="1146"/>
      <c r="AE107" s="1146"/>
    </row>
    <row r="108" spans="1:35" s="1148" customFormat="1" ht="28.5" customHeight="1">
      <c r="A108" s="1132">
        <f>_xlfn.AGGREGATE(4,7,A$24:A107)+1</f>
        <v>84</v>
      </c>
      <c r="B108" s="1133" t="s">
        <v>1477</v>
      </c>
      <c r="C108" s="1153" t="s">
        <v>1688</v>
      </c>
      <c r="D108" s="1166" t="s">
        <v>1587</v>
      </c>
      <c r="E108" s="1058" t="str">
        <f>VLOOKUP(B108,TH.Q2!B103:E434,4,FALSE)</f>
        <v>Giảng viên khoa Du lịch - Khách sạn</v>
      </c>
      <c r="F108" s="1160">
        <v>3.66</v>
      </c>
      <c r="G108" s="1137"/>
      <c r="H108" s="1393">
        <f t="shared" si="7"/>
        <v>0</v>
      </c>
      <c r="I108" s="1138">
        <v>0.25</v>
      </c>
      <c r="J108" s="1138" t="str">
        <f>VLOOKUP(B108,'[25]Gui chi Quynh'!$B$11:$E$396,4,FALSE)</f>
        <v>A4</v>
      </c>
      <c r="K108" s="1138">
        <f t="shared" si="8"/>
        <v>0.5</v>
      </c>
      <c r="L108" s="1139">
        <v>20</v>
      </c>
      <c r="M108" s="1139">
        <f>VLOOKUP(B108,'[26]CN BC'!$H$10:$J$275,3,FALSE)</f>
        <v>21</v>
      </c>
      <c r="N108" s="1139">
        <f t="shared" si="9"/>
        <v>20</v>
      </c>
      <c r="O108" s="1140"/>
      <c r="P108" s="1141">
        <f t="shared" si="10"/>
        <v>4574700</v>
      </c>
      <c r="Q108" s="1646">
        <f t="shared" si="12"/>
        <v>1.9550000000000001</v>
      </c>
      <c r="R108" s="1580">
        <v>2340000</v>
      </c>
      <c r="S108" s="1647">
        <f t="shared" si="13"/>
        <v>4574700</v>
      </c>
      <c r="T108" s="1142">
        <f t="shared" si="11"/>
        <v>84</v>
      </c>
      <c r="U108" s="1143">
        <f>IFERROR(INDEX('[26]CN BC'!$M$10:$M$276,MATCH(B108,'[26]CN BC'!$H$10:$H$276,0)),"")</f>
        <v>0</v>
      </c>
      <c r="V108" s="1144" t="str">
        <f>VLOOKUP(B108,TH.T4!B106:AC436,28,FALSE)</f>
        <v>DLKS</v>
      </c>
      <c r="W108" s="1130"/>
      <c r="X108" s="1146"/>
      <c r="Y108" s="1147"/>
      <c r="Z108" s="1146"/>
      <c r="AA108" s="1146"/>
      <c r="AB108" s="1146"/>
      <c r="AC108" s="1146"/>
      <c r="AD108" s="1146"/>
      <c r="AE108" s="1146"/>
    </row>
    <row r="109" spans="1:35" s="1148" customFormat="1" ht="28.5" customHeight="1">
      <c r="A109" s="1132">
        <f>_xlfn.AGGREGATE(4,7,A$24:A108)+1</f>
        <v>85</v>
      </c>
      <c r="B109" s="1199" t="s">
        <v>1842</v>
      </c>
      <c r="C109" s="1153" t="s">
        <v>1962</v>
      </c>
      <c r="D109" s="1181" t="s">
        <v>1933</v>
      </c>
      <c r="E109" s="1058" t="str">
        <f>VLOOKUP(B109,TH.Q2!B104:E435,4,FALSE)</f>
        <v>Giảng viên khoa Kinh tế</v>
      </c>
      <c r="F109" s="1160">
        <v>3</v>
      </c>
      <c r="G109" s="1137"/>
      <c r="H109" s="1393">
        <f t="shared" si="7"/>
        <v>0</v>
      </c>
      <c r="I109" s="1138"/>
      <c r="J109" s="1138" t="str">
        <f>VLOOKUP(B109,'[25]Gui chi Quynh'!$B$11:$E$396,4,FALSE)</f>
        <v>A2</v>
      </c>
      <c r="K109" s="1138">
        <f t="shared" si="8"/>
        <v>0.7</v>
      </c>
      <c r="L109" s="1139">
        <v>20</v>
      </c>
      <c r="M109" s="1139">
        <f>VLOOKUP(B109,'[26]CN BC'!$H$10:$J$275,3,FALSE)</f>
        <v>25</v>
      </c>
      <c r="N109" s="1139">
        <f t="shared" si="9"/>
        <v>20</v>
      </c>
      <c r="O109" s="1140"/>
      <c r="P109" s="1141">
        <f t="shared" si="10"/>
        <v>4914000</v>
      </c>
      <c r="Q109" s="1646">
        <f t="shared" si="12"/>
        <v>2.1</v>
      </c>
      <c r="R109" s="1580">
        <v>2340000</v>
      </c>
      <c r="S109" s="1647">
        <f t="shared" si="13"/>
        <v>4914000</v>
      </c>
      <c r="T109" s="1142">
        <f t="shared" si="11"/>
        <v>85</v>
      </c>
      <c r="U109" s="1143" t="str">
        <f>IFERROR(INDEX('[17]CN BC'!$M$10:$M$276,MATCH(B109,'[17]CN BC'!$H$10:$H$276,0)),"")</f>
        <v>Hỗ trợ công việc phòng KHTC</v>
      </c>
      <c r="V109" s="1144" t="str">
        <f>VLOOKUP(B109,TH.T4!B107:AC437,28,FALSE)</f>
        <v>KT</v>
      </c>
      <c r="W109" s="1130"/>
      <c r="X109" s="1146"/>
      <c r="Y109" s="1147"/>
      <c r="Z109" s="1146"/>
      <c r="AA109" s="1146"/>
      <c r="AB109" s="1146"/>
      <c r="AC109" s="1146"/>
      <c r="AD109" s="1146"/>
      <c r="AE109" s="1146"/>
    </row>
    <row r="110" spans="1:35" s="1148" customFormat="1" ht="28.5" customHeight="1">
      <c r="A110" s="1132">
        <f>_xlfn.AGGREGATE(4,7,A$24:A109)+1</f>
        <v>86</v>
      </c>
      <c r="B110" s="1199" t="s">
        <v>1946</v>
      </c>
      <c r="C110" s="1132" t="s">
        <v>1950</v>
      </c>
      <c r="D110" s="1181" t="s">
        <v>1951</v>
      </c>
      <c r="E110" s="1058" t="str">
        <f>VLOOKUP(B110,TH.Q2!B105:E436,4,FALSE)</f>
        <v>Trưởng khoa Du lịch - Khách sạn</v>
      </c>
      <c r="F110" s="1197">
        <v>2.67</v>
      </c>
      <c r="G110" s="1137"/>
      <c r="H110" s="1393">
        <f t="shared" si="7"/>
        <v>0</v>
      </c>
      <c r="I110" s="1138">
        <v>0.45</v>
      </c>
      <c r="J110" s="1138" t="str">
        <f>VLOOKUP(B110,'[25]Gui chi Quynh'!$B$11:$E$396,4,FALSE)</f>
        <v>A1</v>
      </c>
      <c r="K110" s="1138">
        <f t="shared" si="8"/>
        <v>0.8</v>
      </c>
      <c r="L110" s="1139">
        <v>20</v>
      </c>
      <c r="M110" s="1139">
        <f>VLOOKUP(B110,'[26]CN BC'!$H$10:$J$275,3,FALSE)</f>
        <v>22</v>
      </c>
      <c r="N110" s="1139">
        <f t="shared" si="9"/>
        <v>20</v>
      </c>
      <c r="O110" s="1140"/>
      <c r="P110" s="1141">
        <f t="shared" si="10"/>
        <v>5840640</v>
      </c>
      <c r="Q110" s="1646">
        <f t="shared" si="12"/>
        <v>2.496</v>
      </c>
      <c r="R110" s="1580">
        <v>2340000</v>
      </c>
      <c r="S110" s="1647">
        <f t="shared" si="13"/>
        <v>5840640</v>
      </c>
      <c r="T110" s="1142">
        <f t="shared" si="11"/>
        <v>86</v>
      </c>
      <c r="U110" s="1143">
        <f>IFERROR(INDEX('[26]CN BC'!$M$10:$M$276,MATCH(B110,'[26]CN BC'!$H$10:$H$276,0)),"")</f>
        <v>0</v>
      </c>
      <c r="V110" s="1144" t="str">
        <f>VLOOKUP(B110,TH.T4!B108:AC438,28,FALSE)</f>
        <v>DLKS</v>
      </c>
      <c r="W110" s="1130"/>
      <c r="X110" s="1146"/>
      <c r="Y110" s="1147"/>
      <c r="Z110" s="1146"/>
      <c r="AA110" s="1146"/>
      <c r="AB110" s="1146"/>
      <c r="AC110" s="1146"/>
      <c r="AD110" s="1146"/>
      <c r="AE110" s="1146"/>
    </row>
    <row r="111" spans="1:35" s="1148" customFormat="1" ht="36.75" customHeight="1">
      <c r="A111" s="1200">
        <f>_xlfn.AGGREGATE(4,7,A$24:A110)+1</f>
        <v>87</v>
      </c>
      <c r="B111" s="1201" t="s">
        <v>1947</v>
      </c>
      <c r="C111" s="1200" t="s">
        <v>1952</v>
      </c>
      <c r="D111" s="1202" t="s">
        <v>1953</v>
      </c>
      <c r="E111" s="490" t="str">
        <f>VLOOKUP(B111,TH.Q2!B106:E437,4,FALSE)</f>
        <v>Giảng viên khoa Du lịch - Khách sạn</v>
      </c>
      <c r="F111" s="1203">
        <v>2.34</v>
      </c>
      <c r="G111" s="1204"/>
      <c r="H111" s="1398">
        <f t="shared" si="7"/>
        <v>0</v>
      </c>
      <c r="I111" s="1205"/>
      <c r="J111" s="1205" t="str">
        <f>VLOOKUP(B111,'[25]Gui chi Quynh'!$B$11:$E$396,4,FALSE)</f>
        <v>A DN</v>
      </c>
      <c r="K111" s="1205">
        <f t="shared" si="8"/>
        <v>0</v>
      </c>
      <c r="L111" s="1338">
        <v>20</v>
      </c>
      <c r="M111" s="1338">
        <f>VLOOKUP(B111,'[26]CN BC'!$H$10:$J$275,3,FALSE)</f>
        <v>0</v>
      </c>
      <c r="N111" s="1338">
        <f t="shared" si="9"/>
        <v>0</v>
      </c>
      <c r="O111" s="1206"/>
      <c r="P111" s="1339">
        <f t="shared" si="10"/>
        <v>0</v>
      </c>
      <c r="Q111" s="1650">
        <f t="shared" si="12"/>
        <v>0</v>
      </c>
      <c r="R111" s="1512">
        <v>2340000</v>
      </c>
      <c r="S111" s="1651">
        <f t="shared" si="13"/>
        <v>0</v>
      </c>
      <c r="T111" s="1207">
        <f t="shared" si="11"/>
        <v>87</v>
      </c>
      <c r="U111" s="1340" t="str">
        <f>IFERROR(INDEX('[17]CN BC'!$M$10:$M$276,MATCH(B111,'[17]CN BC'!$H$10:$H$276,0)),"")</f>
        <v>Đi du học nước ngoài từ 28/2/2023</v>
      </c>
      <c r="V111" s="1144" t="str">
        <f>VLOOKUP(B111,TH.T4!B109:AC439,28,FALSE)</f>
        <v>DLKS</v>
      </c>
      <c r="W111" s="1130"/>
      <c r="X111" s="1146"/>
      <c r="Y111" s="1147"/>
      <c r="Z111" s="1146"/>
      <c r="AA111" s="1146"/>
      <c r="AB111" s="1146"/>
      <c r="AC111" s="1146"/>
      <c r="AD111" s="1146"/>
      <c r="AE111" s="1146"/>
    </row>
    <row r="112" spans="1:35" s="1148" customFormat="1" ht="28.5" customHeight="1">
      <c r="A112" s="1132">
        <f>_xlfn.AGGREGATE(4,7,A$24:A111)+1</f>
        <v>88</v>
      </c>
      <c r="B112" s="1199" t="s">
        <v>1997</v>
      </c>
      <c r="C112" s="1132"/>
      <c r="D112" s="1181"/>
      <c r="E112" s="1058" t="str">
        <f>VLOOKUP(B112,TH.Q2!B107:E438,4,FALSE)</f>
        <v>Giảng viên khoa Kinh tế</v>
      </c>
      <c r="F112" s="1197">
        <v>2.34</v>
      </c>
      <c r="G112" s="1137"/>
      <c r="H112" s="1393">
        <f t="shared" si="7"/>
        <v>0</v>
      </c>
      <c r="I112" s="1138"/>
      <c r="J112" s="1138" t="str">
        <f>VLOOKUP(B112,'[25]Gui chi Quynh'!$B$11:$E$396,4,FALSE)</f>
        <v>A2</v>
      </c>
      <c r="K112" s="1138">
        <f t="shared" si="8"/>
        <v>0.7</v>
      </c>
      <c r="L112" s="1139">
        <v>20</v>
      </c>
      <c r="M112" s="1139">
        <f>VLOOKUP(B112,'[26]CN BC'!$H$10:$J$275,3,FALSE)</f>
        <v>20</v>
      </c>
      <c r="N112" s="1139">
        <f t="shared" si="9"/>
        <v>20</v>
      </c>
      <c r="O112" s="1140"/>
      <c r="P112" s="1141">
        <f t="shared" si="10"/>
        <v>3832919.9999999995</v>
      </c>
      <c r="Q112" s="1646">
        <f t="shared" si="12"/>
        <v>1.6379999999999999</v>
      </c>
      <c r="R112" s="1580">
        <v>2340000</v>
      </c>
      <c r="S112" s="1647">
        <f t="shared" si="13"/>
        <v>3832920</v>
      </c>
      <c r="T112" s="1142">
        <f t="shared" si="11"/>
        <v>88</v>
      </c>
      <c r="U112" s="1143">
        <f>IFERROR(INDEX('[26]CN BC'!$M$10:$M$276,MATCH(B112,'[26]CN BC'!$H$10:$H$276,0)),"")</f>
        <v>0</v>
      </c>
      <c r="V112" s="1144" t="str">
        <f>VLOOKUP(B112,TH.T4!B110:AC440,28,FALSE)</f>
        <v>KT</v>
      </c>
      <c r="W112" s="1130"/>
      <c r="X112" s="1146"/>
      <c r="Y112" s="1158"/>
    </row>
    <row r="113" spans="1:35" s="1148" customFormat="1" ht="28.5" customHeight="1">
      <c r="A113" s="1132">
        <f>_xlfn.AGGREGATE(4,7,A$24:A112)+1</f>
        <v>89</v>
      </c>
      <c r="B113" s="1199" t="s">
        <v>1998</v>
      </c>
      <c r="C113" s="1132"/>
      <c r="D113" s="1181"/>
      <c r="E113" s="1058" t="str">
        <f>VLOOKUP(B113,TH.Q2!B108:E439,4,FALSE)</f>
        <v>Giảng viên khoa Du lịch - Khách sạn</v>
      </c>
      <c r="F113" s="1160">
        <v>3.33</v>
      </c>
      <c r="G113" s="1137"/>
      <c r="H113" s="1393">
        <f t="shared" si="7"/>
        <v>0</v>
      </c>
      <c r="I113" s="1138"/>
      <c r="J113" s="1138" t="str">
        <f>VLOOKUP(B113,'[25]Gui chi Quynh'!$B$11:$E$396,4,FALSE)</f>
        <v>A2</v>
      </c>
      <c r="K113" s="1138">
        <f t="shared" si="8"/>
        <v>0.7</v>
      </c>
      <c r="L113" s="1139">
        <v>20</v>
      </c>
      <c r="M113" s="1139">
        <f>VLOOKUP(B113,'[26]CN BC'!$H$10:$J$275,3,FALSE)</f>
        <v>22</v>
      </c>
      <c r="N113" s="1139">
        <f t="shared" si="9"/>
        <v>20</v>
      </c>
      <c r="O113" s="1140"/>
      <c r="P113" s="1141">
        <f t="shared" si="10"/>
        <v>5454540</v>
      </c>
      <c r="Q113" s="1646">
        <f t="shared" si="12"/>
        <v>2.331</v>
      </c>
      <c r="R113" s="1580">
        <v>2340000</v>
      </c>
      <c r="S113" s="1647">
        <f t="shared" si="13"/>
        <v>5454540</v>
      </c>
      <c r="T113" s="1142">
        <f t="shared" si="11"/>
        <v>89</v>
      </c>
      <c r="U113" s="1143">
        <f>IFERROR(INDEX('[26]CN BC'!$M$10:$M$276,MATCH(B113,'[26]CN BC'!$H$10:$H$276,0)),"")</f>
        <v>0</v>
      </c>
      <c r="V113" s="1144" t="str">
        <f>VLOOKUP(B113,TH.T4!B111:AC441,28,FALSE)</f>
        <v>DLKS</v>
      </c>
      <c r="W113" s="1130"/>
      <c r="X113" s="1146"/>
      <c r="Y113" s="1158"/>
    </row>
    <row r="114" spans="1:35" s="1148" customFormat="1" ht="28.5" customHeight="1">
      <c r="A114" s="1132">
        <f>_xlfn.AGGREGATE(4,7,A$24:A113)+1</f>
        <v>90</v>
      </c>
      <c r="B114" s="1199" t="s">
        <v>1999</v>
      </c>
      <c r="C114" s="1132"/>
      <c r="D114" s="1181"/>
      <c r="E114" s="1058" t="str">
        <f>VLOOKUP(B114,TH.Q2!B109:E440,4,FALSE)</f>
        <v>Giảng viên khoa Kinh tế</v>
      </c>
      <c r="F114" s="1160">
        <v>3.66</v>
      </c>
      <c r="G114" s="1137"/>
      <c r="H114" s="1393">
        <f t="shared" si="7"/>
        <v>0</v>
      </c>
      <c r="I114" s="1138"/>
      <c r="J114" s="1138" t="str">
        <f>VLOOKUP(B114,'[25]Gui chi Quynh'!$B$11:$E$396,4,FALSE)</f>
        <v>A4</v>
      </c>
      <c r="K114" s="1138">
        <f t="shared" si="8"/>
        <v>0.5</v>
      </c>
      <c r="L114" s="1139">
        <v>20</v>
      </c>
      <c r="M114" s="1139">
        <f>VLOOKUP(B114,'[26]CN BC'!$H$10:$J$275,3,FALSE)</f>
        <v>20</v>
      </c>
      <c r="N114" s="1139">
        <f t="shared" si="9"/>
        <v>20</v>
      </c>
      <c r="O114" s="1140"/>
      <c r="P114" s="1141">
        <f t="shared" si="10"/>
        <v>4282200</v>
      </c>
      <c r="Q114" s="1646">
        <f t="shared" si="12"/>
        <v>1.83</v>
      </c>
      <c r="R114" s="1580">
        <v>2340000</v>
      </c>
      <c r="S114" s="1647">
        <f t="shared" si="13"/>
        <v>4282200</v>
      </c>
      <c r="T114" s="1142">
        <f t="shared" si="11"/>
        <v>90</v>
      </c>
      <c r="U114" s="1143">
        <f>IFERROR(INDEX('[26]CN BC'!$M$10:$M$276,MATCH(B114,'[26]CN BC'!$H$10:$H$276,0)),"")</f>
        <v>0</v>
      </c>
      <c r="V114" s="1144" t="str">
        <f>VLOOKUP(B114,TH.T4!B112:AC442,28,FALSE)</f>
        <v>KT</v>
      </c>
      <c r="W114" s="1130"/>
      <c r="X114" s="1146"/>
      <c r="Y114" s="1158"/>
    </row>
    <row r="115" spans="1:35" s="1148" customFormat="1" ht="28.5" customHeight="1">
      <c r="A115" s="1132">
        <f>_xlfn.AGGREGATE(4,7,A$24:A114)+1</f>
        <v>91</v>
      </c>
      <c r="B115" s="1199" t="s">
        <v>2001</v>
      </c>
      <c r="C115" s="1132"/>
      <c r="D115" s="1181"/>
      <c r="E115" s="1058" t="str">
        <f>VLOOKUP(B115,TH.Q2!B110:E441,4,FALSE)</f>
        <v>Giảng viên khoa Kinh tế</v>
      </c>
      <c r="F115" s="1160">
        <v>3</v>
      </c>
      <c r="G115" s="1137"/>
      <c r="H115" s="1393">
        <f t="shared" si="7"/>
        <v>0</v>
      </c>
      <c r="I115" s="1138"/>
      <c r="J115" s="1138" t="str">
        <f>VLOOKUP(B115,'[25]Gui chi Quynh'!$B$11:$E$396,4,FALSE)</f>
        <v>A3</v>
      </c>
      <c r="K115" s="1138">
        <f t="shared" si="8"/>
        <v>0.6</v>
      </c>
      <c r="L115" s="1139">
        <v>20</v>
      </c>
      <c r="M115" s="1139">
        <f>VLOOKUP(B115,'[26]CN BC'!$H$10:$J$275,3,FALSE)</f>
        <v>20</v>
      </c>
      <c r="N115" s="1139">
        <f t="shared" si="9"/>
        <v>20</v>
      </c>
      <c r="O115" s="1140"/>
      <c r="P115" s="1141">
        <f t="shared" si="10"/>
        <v>4212000</v>
      </c>
      <c r="Q115" s="1646">
        <f t="shared" si="12"/>
        <v>1.8</v>
      </c>
      <c r="R115" s="1580">
        <v>2340000</v>
      </c>
      <c r="S115" s="1647">
        <f t="shared" si="13"/>
        <v>4212000</v>
      </c>
      <c r="T115" s="1142">
        <f t="shared" si="11"/>
        <v>91</v>
      </c>
      <c r="U115" s="1143">
        <f>IFERROR(INDEX('[26]CN BC'!$M$10:$M$276,MATCH(B115,'[26]CN BC'!$H$10:$H$276,0)),"")</f>
        <v>0</v>
      </c>
      <c r="V115" s="1144" t="str">
        <f>VLOOKUP(B115,TH.T4!B113:AC443,28,FALSE)</f>
        <v>DLKS</v>
      </c>
      <c r="W115" s="1130"/>
      <c r="X115" s="1146"/>
      <c r="Y115" s="1158"/>
    </row>
    <row r="116" spans="1:35" s="1148" customFormat="1" ht="28.5" customHeight="1">
      <c r="A116" s="1132">
        <f>_xlfn.AGGREGATE(4,7,A$24:A115)+1</f>
        <v>92</v>
      </c>
      <c r="B116" s="1199" t="s">
        <v>2096</v>
      </c>
      <c r="C116" s="1132"/>
      <c r="D116" s="1181"/>
      <c r="E116" s="383" t="str">
        <f>VLOOKUP(B116,TH.Q2!B111:E442,4,FALSE)</f>
        <v>NV Kế toán</v>
      </c>
      <c r="F116" s="1160">
        <f>2.67*85%</f>
        <v>2.2694999999999999</v>
      </c>
      <c r="G116" s="1137"/>
      <c r="H116" s="1400">
        <f t="shared" si="7"/>
        <v>0</v>
      </c>
      <c r="I116" s="1138"/>
      <c r="J116" s="1138" t="str">
        <f>VLOOKUP(B116,'[25]Gui chi Quynh'!$B$11:$E$396,4,FALSE)</f>
        <v>A3</v>
      </c>
      <c r="K116" s="1138">
        <f t="shared" si="8"/>
        <v>0.6</v>
      </c>
      <c r="L116" s="1139">
        <v>20</v>
      </c>
      <c r="M116" s="1139">
        <f>VLOOKUP(B116,'[26]CN BC'!$H$10:$J$275,3,FALSE)</f>
        <v>24</v>
      </c>
      <c r="N116" s="1139">
        <f t="shared" si="9"/>
        <v>20</v>
      </c>
      <c r="O116" s="1155"/>
      <c r="P116" s="1141">
        <f t="shared" si="10"/>
        <v>3186378</v>
      </c>
      <c r="Q116" s="1646">
        <f t="shared" si="12"/>
        <v>1.3616999999999999</v>
      </c>
      <c r="R116" s="1580">
        <v>2340000</v>
      </c>
      <c r="S116" s="1647">
        <f t="shared" si="13"/>
        <v>3186378</v>
      </c>
      <c r="T116" s="1142"/>
      <c r="U116" s="1143" t="str">
        <f>IFERROR(INDEX('[16]CN BC'!$M$10:$M$276,MATCH(B116,'[16]CN BC'!$H$10:$H$276,0)),"")</f>
        <v>Hỗ trợ công việc phòng KHTC</v>
      </c>
      <c r="V116" s="1189"/>
      <c r="W116" s="1171"/>
      <c r="Y116" s="1158"/>
    </row>
    <row r="117" spans="1:35" s="1148" customFormat="1" ht="30.75" customHeight="1">
      <c r="A117" s="1132">
        <f>_xlfn.AGGREGATE(4,7,A$24:A116)+1</f>
        <v>93</v>
      </c>
      <c r="B117" s="1199" t="s">
        <v>2021</v>
      </c>
      <c r="C117" s="1132"/>
      <c r="D117" s="1181"/>
      <c r="E117" s="383" t="str">
        <f>VLOOKUP(B117,TH.Q2!B18:E349,4,FALSE)</f>
        <v>Giảng viên khoa Kinh tế</v>
      </c>
      <c r="F117" s="1160">
        <v>3.66</v>
      </c>
      <c r="G117" s="1137"/>
      <c r="H117" s="1400">
        <f t="shared" si="7"/>
        <v>0</v>
      </c>
      <c r="I117" s="1138"/>
      <c r="J117" s="1138" t="str">
        <f>VLOOKUP(B117,'[25]Gui chi Quynh'!$B$11:$E$396,4,FALSE)</f>
        <v>A4</v>
      </c>
      <c r="K117" s="1138">
        <f t="shared" si="8"/>
        <v>0.5</v>
      </c>
      <c r="L117" s="1139">
        <v>20</v>
      </c>
      <c r="M117" s="1139">
        <f>VLOOKUP(B117,'[26]CN BC'!$H$10:$J$275,3,FALSE)</f>
        <v>20</v>
      </c>
      <c r="N117" s="1139">
        <f t="shared" si="9"/>
        <v>20</v>
      </c>
      <c r="O117" s="1155"/>
      <c r="P117" s="1141">
        <f t="shared" si="10"/>
        <v>4282200</v>
      </c>
      <c r="Q117" s="1646">
        <f t="shared" si="12"/>
        <v>1.83</v>
      </c>
      <c r="R117" s="1580">
        <v>2340000</v>
      </c>
      <c r="S117" s="1647">
        <f t="shared" si="13"/>
        <v>4282200</v>
      </c>
      <c r="T117" s="1142">
        <f t="shared" ref="T117:T161" si="14">A117</f>
        <v>93</v>
      </c>
      <c r="U117" s="1630"/>
      <c r="V117" s="1189" t="str">
        <f>VLOOKUP(B117,TH.T4!B114:AC444,28,FALSE)</f>
        <v>KT</v>
      </c>
      <c r="W117" s="1171"/>
      <c r="Y117" s="1158"/>
    </row>
    <row r="118" spans="1:35" s="1148" customFormat="1" ht="33" customHeight="1">
      <c r="A118" s="1132">
        <f>_xlfn.AGGREGATE(4,7,A$24:A117)+1</f>
        <v>94</v>
      </c>
      <c r="B118" s="1133" t="s">
        <v>1478</v>
      </c>
      <c r="C118" s="1153" t="s">
        <v>1689</v>
      </c>
      <c r="D118" s="1154" t="s">
        <v>371</v>
      </c>
      <c r="E118" s="1058" t="str">
        <f>VLOOKUP(B118,TH.Q2!B19:E350,4,FALSE)</f>
        <v>Giảng viên khoa May - Thời trang</v>
      </c>
      <c r="F118" s="1160">
        <v>3.66</v>
      </c>
      <c r="G118" s="1137"/>
      <c r="H118" s="1393">
        <f t="shared" si="7"/>
        <v>0</v>
      </c>
      <c r="I118" s="1138"/>
      <c r="J118" s="1138" t="str">
        <f>VLOOKUP(B118,'[25]Gui chi Quynh'!$B$11:$E$396,4,FALSE)</f>
        <v>A4</v>
      </c>
      <c r="K118" s="1138">
        <f t="shared" si="8"/>
        <v>0.5</v>
      </c>
      <c r="L118" s="1139">
        <v>20</v>
      </c>
      <c r="M118" s="1139">
        <f>VLOOKUP(B118,'[26]CN BC'!$H$10:$J$275,3,FALSE)</f>
        <v>20</v>
      </c>
      <c r="N118" s="1139">
        <f t="shared" si="9"/>
        <v>20</v>
      </c>
      <c r="O118" s="1140"/>
      <c r="P118" s="1141">
        <f t="shared" si="10"/>
        <v>4282200</v>
      </c>
      <c r="Q118" s="1646">
        <f t="shared" si="12"/>
        <v>1.83</v>
      </c>
      <c r="R118" s="1580">
        <v>2340000</v>
      </c>
      <c r="S118" s="1647">
        <f t="shared" si="13"/>
        <v>4282200</v>
      </c>
      <c r="T118" s="1142">
        <f t="shared" si="14"/>
        <v>94</v>
      </c>
      <c r="U118" s="1143">
        <f>IFERROR(INDEX('[26]CN BC'!$M$10:$M$276,MATCH(B118,'[26]CN BC'!$H$10:$H$276,0)),"")</f>
        <v>0</v>
      </c>
      <c r="V118" s="1144" t="str">
        <f>VLOOKUP(B118,TH.T4!B115:AC445,28,FALSE)</f>
        <v>M-TT</v>
      </c>
      <c r="W118" s="1130"/>
      <c r="X118" s="1146"/>
      <c r="Y118" s="1147"/>
      <c r="Z118" s="1146"/>
      <c r="AA118" s="1146"/>
      <c r="AB118" s="1146"/>
      <c r="AC118" s="1146"/>
      <c r="AD118" s="1146"/>
      <c r="AE118" s="1146"/>
    </row>
    <row r="119" spans="1:35" s="1148" customFormat="1" ht="33" customHeight="1">
      <c r="A119" s="1132">
        <f>_xlfn.AGGREGATE(4,7,A$24:A118)+1</f>
        <v>95</v>
      </c>
      <c r="B119" s="1172" t="s">
        <v>1479</v>
      </c>
      <c r="C119" s="1149" t="s">
        <v>1690</v>
      </c>
      <c r="D119" s="1173" t="s">
        <v>372</v>
      </c>
      <c r="E119" s="1058" t="str">
        <f>VLOOKUP(B119,TH.Q2!B20:E351,4,FALSE)</f>
        <v>Giảng viên khoa May - Thời trang</v>
      </c>
      <c r="F119" s="1178">
        <v>3.66</v>
      </c>
      <c r="G119" s="1175"/>
      <c r="H119" s="1393">
        <f t="shared" si="7"/>
        <v>0</v>
      </c>
      <c r="I119" s="1176"/>
      <c r="J119" s="1138" t="str">
        <f>VLOOKUP(B119,'[25]Gui chi Quynh'!$B$11:$E$396,4,FALSE)</f>
        <v>A4</v>
      </c>
      <c r="K119" s="1138">
        <f t="shared" si="8"/>
        <v>0.5</v>
      </c>
      <c r="L119" s="1139">
        <v>20</v>
      </c>
      <c r="M119" s="1139">
        <f>VLOOKUP(B119,'[26]CN BC'!$H$10:$J$275,3,FALSE)</f>
        <v>20</v>
      </c>
      <c r="N119" s="1139">
        <f t="shared" si="9"/>
        <v>20</v>
      </c>
      <c r="O119" s="1140"/>
      <c r="P119" s="1141">
        <f t="shared" si="10"/>
        <v>4282200</v>
      </c>
      <c r="Q119" s="1646">
        <f t="shared" si="12"/>
        <v>1.83</v>
      </c>
      <c r="R119" s="1580">
        <v>2340000</v>
      </c>
      <c r="S119" s="1647">
        <f t="shared" si="13"/>
        <v>4282200</v>
      </c>
      <c r="T119" s="1142">
        <f t="shared" si="14"/>
        <v>95</v>
      </c>
      <c r="U119" s="1143">
        <f>IFERROR(INDEX('[26]CN BC'!$M$10:$M$276,MATCH(B119,'[26]CN BC'!$H$10:$H$276,0)),"")</f>
        <v>0</v>
      </c>
      <c r="V119" s="1144" t="str">
        <f>VLOOKUP(B119,TH.T4!B116:AC446,28,FALSE)</f>
        <v>M-TT</v>
      </c>
      <c r="W119" s="1130"/>
      <c r="X119" s="1146"/>
      <c r="Y119" s="1147"/>
      <c r="Z119" s="1146"/>
      <c r="AA119" s="1146"/>
      <c r="AB119" s="1146"/>
      <c r="AC119" s="1146"/>
      <c r="AD119" s="1146"/>
      <c r="AE119" s="1146"/>
      <c r="AF119" s="1146"/>
      <c r="AG119" s="1146"/>
      <c r="AH119" s="1146"/>
      <c r="AI119" s="1146"/>
    </row>
    <row r="120" spans="1:35" s="1148" customFormat="1" ht="33" customHeight="1">
      <c r="A120" s="1132">
        <f>_xlfn.AGGREGATE(4,7,A$24:A119)+1</f>
        <v>96</v>
      </c>
      <c r="B120" s="1133" t="s">
        <v>1480</v>
      </c>
      <c r="C120" s="1149" t="s">
        <v>1691</v>
      </c>
      <c r="D120" s="1166" t="s">
        <v>735</v>
      </c>
      <c r="E120" s="1058" t="str">
        <f>VLOOKUP(B120,TH.Q2!B21:E352,4,FALSE)</f>
        <v>Phó Trưởng khoa May - Thời trang</v>
      </c>
      <c r="F120" s="1160">
        <v>3.33</v>
      </c>
      <c r="G120" s="1137"/>
      <c r="H120" s="1393">
        <f t="shared" si="7"/>
        <v>0</v>
      </c>
      <c r="I120" s="1138">
        <v>0.45</v>
      </c>
      <c r="J120" s="1138" t="str">
        <f>VLOOKUP(B120,'[25]Gui chi Quynh'!$B$11:$E$396,4,FALSE)</f>
        <v>A2</v>
      </c>
      <c r="K120" s="1138">
        <f t="shared" si="8"/>
        <v>0.7</v>
      </c>
      <c r="L120" s="1139">
        <v>20</v>
      </c>
      <c r="M120" s="1139">
        <f>VLOOKUP(B120,'[26]CN BC'!$H$10:$J$275,3,FALSE)</f>
        <v>20</v>
      </c>
      <c r="N120" s="1139">
        <f t="shared" si="9"/>
        <v>20</v>
      </c>
      <c r="O120" s="1140"/>
      <c r="P120" s="1141">
        <f t="shared" si="10"/>
        <v>6191640</v>
      </c>
      <c r="Q120" s="1646">
        <f t="shared" si="12"/>
        <v>2.6459999999999999</v>
      </c>
      <c r="R120" s="1580">
        <v>2340000</v>
      </c>
      <c r="S120" s="1647">
        <f t="shared" si="13"/>
        <v>6191640</v>
      </c>
      <c r="T120" s="1142">
        <f t="shared" si="14"/>
        <v>96</v>
      </c>
      <c r="U120" s="1143">
        <f>IFERROR(INDEX('[26]CN BC'!$M$10:$M$276,MATCH(B120,'[26]CN BC'!$H$10:$H$276,0)),"")</f>
        <v>0</v>
      </c>
      <c r="V120" s="1144" t="str">
        <f>VLOOKUP(B120,TH.T4!B117:AC447,28,FALSE)</f>
        <v>M-TT</v>
      </c>
      <c r="W120" s="1130"/>
      <c r="X120" s="1146"/>
      <c r="Y120" s="1147"/>
      <c r="Z120" s="1146"/>
      <c r="AA120" s="1146"/>
      <c r="AB120" s="1146"/>
      <c r="AC120" s="1146"/>
      <c r="AD120" s="1146"/>
      <c r="AE120" s="1146"/>
      <c r="AF120" s="1146"/>
      <c r="AG120" s="1146"/>
      <c r="AH120" s="1146"/>
      <c r="AI120" s="1146"/>
    </row>
    <row r="121" spans="1:35" s="1148" customFormat="1" ht="33" customHeight="1">
      <c r="A121" s="1132">
        <f>_xlfn.AGGREGATE(4,7,A$24:A120)+1</f>
        <v>97</v>
      </c>
      <c r="B121" s="1133" t="s">
        <v>1481</v>
      </c>
      <c r="C121" s="1153" t="s">
        <v>1692</v>
      </c>
      <c r="D121" s="1166">
        <v>1603205353742</v>
      </c>
      <c r="E121" s="1058" t="str">
        <f>VLOOKUP(B121,TH.Q2!B22:E353,4,FALSE)</f>
        <v>Giảng viên khoa May - Thời trang</v>
      </c>
      <c r="F121" s="1160">
        <v>3.33</v>
      </c>
      <c r="G121" s="1137"/>
      <c r="H121" s="1393">
        <f t="shared" si="7"/>
        <v>0</v>
      </c>
      <c r="I121" s="1138"/>
      <c r="J121" s="1138" t="str">
        <f>VLOOKUP(B121,'[25]Gui chi Quynh'!$B$11:$E$396,4,FALSE)</f>
        <v>A3</v>
      </c>
      <c r="K121" s="1138">
        <f t="shared" si="8"/>
        <v>0.6</v>
      </c>
      <c r="L121" s="1139">
        <v>20</v>
      </c>
      <c r="M121" s="1139">
        <f>VLOOKUP(B121,'[26]CN BC'!$H$10:$J$275,3,FALSE)</f>
        <v>20</v>
      </c>
      <c r="N121" s="1139">
        <f t="shared" si="9"/>
        <v>20</v>
      </c>
      <c r="O121" s="1140"/>
      <c r="P121" s="1141">
        <f t="shared" si="10"/>
        <v>4675320</v>
      </c>
      <c r="Q121" s="1646">
        <f t="shared" si="12"/>
        <v>1.998</v>
      </c>
      <c r="R121" s="1580">
        <v>2340000</v>
      </c>
      <c r="S121" s="1647">
        <f t="shared" si="13"/>
        <v>4675320</v>
      </c>
      <c r="T121" s="1142">
        <f t="shared" si="14"/>
        <v>97</v>
      </c>
      <c r="U121" s="1143">
        <f>IFERROR(INDEX('[26]CN BC'!$M$10:$M$276,MATCH(B121,'[26]CN BC'!$H$10:$H$276,0)),"")</f>
        <v>0</v>
      </c>
      <c r="V121" s="1144" t="str">
        <f>VLOOKUP(B121,TH.T4!B118:AC448,28,FALSE)</f>
        <v>M-TT</v>
      </c>
      <c r="W121" s="1130"/>
      <c r="X121" s="1146"/>
      <c r="Y121" s="1147"/>
      <c r="Z121" s="1146"/>
      <c r="AA121" s="1146"/>
      <c r="AB121" s="1146"/>
      <c r="AC121" s="1146"/>
      <c r="AD121" s="1146"/>
      <c r="AE121" s="1146"/>
    </row>
    <row r="122" spans="1:35" s="1148" customFormat="1" ht="33" customHeight="1">
      <c r="A122" s="1132">
        <f>_xlfn.AGGREGATE(4,7,A$24:A121)+1</f>
        <v>98</v>
      </c>
      <c r="B122" s="1133" t="s">
        <v>1865</v>
      </c>
      <c r="C122" s="1149" t="s">
        <v>1693</v>
      </c>
      <c r="D122" s="1166">
        <v>1603205357136</v>
      </c>
      <c r="E122" s="1058" t="str">
        <f>VLOOKUP(B122,TH.Q2!B23:E354,4,FALSE)</f>
        <v>Giảng viên khoa May - Thời trang</v>
      </c>
      <c r="F122" s="1160">
        <v>3.66</v>
      </c>
      <c r="G122" s="1137"/>
      <c r="H122" s="1393">
        <f t="shared" si="7"/>
        <v>0</v>
      </c>
      <c r="I122" s="1138"/>
      <c r="J122" s="1138" t="str">
        <f>VLOOKUP(B122,'[25]Gui chi Quynh'!$B$11:$E$396,4,FALSE)</f>
        <v>A4</v>
      </c>
      <c r="K122" s="1138">
        <f t="shared" si="8"/>
        <v>0.5</v>
      </c>
      <c r="L122" s="1139">
        <v>20</v>
      </c>
      <c r="M122" s="1139">
        <f>VLOOKUP(B122,'[26]CN BC'!$H$10:$J$275,3,FALSE)</f>
        <v>20</v>
      </c>
      <c r="N122" s="1139">
        <f t="shared" si="9"/>
        <v>20</v>
      </c>
      <c r="O122" s="1140"/>
      <c r="P122" s="1141">
        <f t="shared" si="10"/>
        <v>4282200</v>
      </c>
      <c r="Q122" s="1646">
        <f t="shared" si="12"/>
        <v>1.83</v>
      </c>
      <c r="R122" s="1580">
        <v>2340000</v>
      </c>
      <c r="S122" s="1647">
        <f t="shared" si="13"/>
        <v>4282200</v>
      </c>
      <c r="T122" s="1142">
        <f t="shared" si="14"/>
        <v>98</v>
      </c>
      <c r="U122" s="1143">
        <f>IFERROR(INDEX('[26]CN BC'!$M$10:$M$276,MATCH(B122,'[26]CN BC'!$H$10:$H$276,0)),"")</f>
        <v>0</v>
      </c>
      <c r="V122" s="1144" t="str">
        <f>VLOOKUP(B122,TH.T4!B119:AC449,28,FALSE)</f>
        <v>M-TT</v>
      </c>
      <c r="W122" s="1130"/>
      <c r="X122" s="1146"/>
      <c r="Y122" s="1147"/>
      <c r="Z122" s="1146"/>
      <c r="AA122" s="1146"/>
      <c r="AB122" s="1146"/>
      <c r="AC122" s="1146"/>
      <c r="AD122" s="1146"/>
      <c r="AE122" s="1146"/>
      <c r="AF122" s="1146"/>
      <c r="AG122" s="1146"/>
      <c r="AH122" s="1146"/>
      <c r="AI122" s="1146"/>
    </row>
    <row r="123" spans="1:35" s="1148" customFormat="1" ht="33" customHeight="1">
      <c r="A123" s="1200">
        <f>_xlfn.AGGREGATE(4,7,A$24:A122)+1</f>
        <v>99</v>
      </c>
      <c r="B123" s="1590" t="s">
        <v>1482</v>
      </c>
      <c r="C123" s="1591" t="s">
        <v>1694</v>
      </c>
      <c r="D123" s="1634" t="s">
        <v>1422</v>
      </c>
      <c r="E123" s="490" t="str">
        <f>VLOOKUP(B123,TH.Q2!B24:E355,4,FALSE)</f>
        <v>Giảng viên khoa May - Thời trang</v>
      </c>
      <c r="F123" s="1633">
        <v>3.33</v>
      </c>
      <c r="G123" s="1204"/>
      <c r="H123" s="1398">
        <f t="shared" si="7"/>
        <v>0</v>
      </c>
      <c r="I123" s="1205"/>
      <c r="J123" s="1205" t="str">
        <f>VLOOKUP(B123,'[25]Gui chi Quynh'!$B$11:$E$396,4,FALSE)</f>
        <v>A DN</v>
      </c>
      <c r="K123" s="1205">
        <f t="shared" si="8"/>
        <v>0</v>
      </c>
      <c r="L123" s="1338">
        <v>20</v>
      </c>
      <c r="M123" s="1338">
        <f>VLOOKUP(B123,'[26]CN BC'!$H$10:$J$275,3,FALSE)</f>
        <v>0</v>
      </c>
      <c r="N123" s="1338">
        <f t="shared" si="9"/>
        <v>0</v>
      </c>
      <c r="O123" s="1206"/>
      <c r="P123" s="1339">
        <f t="shared" si="10"/>
        <v>0</v>
      </c>
      <c r="Q123" s="1650">
        <f t="shared" si="12"/>
        <v>0</v>
      </c>
      <c r="R123" s="1512">
        <v>2340000</v>
      </c>
      <c r="S123" s="1651">
        <f t="shared" si="13"/>
        <v>0</v>
      </c>
      <c r="T123" s="1207">
        <f t="shared" si="14"/>
        <v>99</v>
      </c>
      <c r="U123" s="1340" t="str">
        <f>IFERROR(INDEX('[26]CN BC'!$M$10:$M$276,MATCH(B123,'[26]CN BC'!$H$10:$H$276,0)),"")</f>
        <v>Nghỉ hộ sản hưởng chế độ BHXH từ 28/10/2023</v>
      </c>
      <c r="V123" s="1144" t="str">
        <f>VLOOKUP(B123,TH.T4!B120:AC450,28,FALSE)</f>
        <v>M-TT</v>
      </c>
      <c r="W123" s="1130"/>
      <c r="X123" s="1146"/>
      <c r="Y123" s="1147"/>
      <c r="Z123" s="1146"/>
      <c r="AA123" s="1146"/>
      <c r="AB123" s="1146"/>
      <c r="AC123" s="1146"/>
      <c r="AD123" s="1146"/>
      <c r="AE123" s="1146"/>
      <c r="AF123" s="1146"/>
      <c r="AG123" s="1146"/>
      <c r="AH123" s="1146"/>
      <c r="AI123" s="1146"/>
    </row>
    <row r="124" spans="1:35" s="1148" customFormat="1" ht="33" customHeight="1">
      <c r="A124" s="1132">
        <f>_xlfn.AGGREGATE(4,7,A$24:A123)+1</f>
        <v>100</v>
      </c>
      <c r="B124" s="1133" t="s">
        <v>1483</v>
      </c>
      <c r="C124" s="1149" t="s">
        <v>1695</v>
      </c>
      <c r="D124" s="1150" t="s">
        <v>1432</v>
      </c>
      <c r="E124" s="1058" t="str">
        <f>VLOOKUP(B124,TH.Q2!B25:E356,4,FALSE)</f>
        <v>Giảng viên khoa Du lịch - Khách sạn</v>
      </c>
      <c r="F124" s="1136">
        <v>4.9800000000000004</v>
      </c>
      <c r="G124" s="1137">
        <v>0.06</v>
      </c>
      <c r="H124" s="1400">
        <f t="shared" si="7"/>
        <v>0.29899999999999999</v>
      </c>
      <c r="I124" s="1138">
        <v>0.25</v>
      </c>
      <c r="J124" s="1138" t="str">
        <f>VLOOKUP(B124,'[25]Gui chi Quynh'!$B$11:$E$396,4,FALSE)</f>
        <v>A3</v>
      </c>
      <c r="K124" s="1138">
        <f t="shared" si="8"/>
        <v>0.6</v>
      </c>
      <c r="L124" s="1139">
        <v>20</v>
      </c>
      <c r="M124" s="1139">
        <f>VLOOKUP(B124,'[26]CN BC'!$H$10:$J$275,3,FALSE)</f>
        <v>22</v>
      </c>
      <c r="N124" s="1139">
        <f t="shared" si="9"/>
        <v>20</v>
      </c>
      <c r="O124" s="1140"/>
      <c r="P124" s="1141">
        <f t="shared" si="10"/>
        <v>7762716.0000000009</v>
      </c>
      <c r="Q124" s="1646">
        <f t="shared" si="12"/>
        <v>3.3174000000000006</v>
      </c>
      <c r="R124" s="1580">
        <v>2340000</v>
      </c>
      <c r="S124" s="1647">
        <f t="shared" si="13"/>
        <v>7762716.0000000009</v>
      </c>
      <c r="T124" s="1142">
        <f t="shared" si="14"/>
        <v>100</v>
      </c>
      <c r="U124" s="1143">
        <f>IFERROR(INDEX('[26]CN BC'!$M$10:$M$276,MATCH(B124,'[26]CN BC'!$H$10:$H$276,0)),"")</f>
        <v>0</v>
      </c>
      <c r="V124" s="1144" t="str">
        <f>VLOOKUP(B124,TH.T4!B121:AC451,28,FALSE)</f>
        <v>DLKS</v>
      </c>
      <c r="W124" s="1130"/>
      <c r="X124" s="1146"/>
      <c r="Y124" s="1147"/>
      <c r="Z124" s="1146"/>
      <c r="AA124" s="1146"/>
      <c r="AB124" s="1146"/>
      <c r="AC124" s="1146"/>
      <c r="AD124" s="1146"/>
      <c r="AE124" s="1146"/>
      <c r="AF124" s="1146"/>
      <c r="AG124" s="1146"/>
      <c r="AH124" s="1146"/>
      <c r="AI124" s="1146"/>
    </row>
    <row r="125" spans="1:35" s="1148" customFormat="1" ht="33" customHeight="1">
      <c r="A125" s="1132">
        <f>_xlfn.AGGREGATE(4,7,A$24:A124)+1</f>
        <v>101</v>
      </c>
      <c r="B125" s="1172" t="s">
        <v>1568</v>
      </c>
      <c r="C125" s="1149" t="s">
        <v>1696</v>
      </c>
      <c r="D125" s="1163" t="s">
        <v>1569</v>
      </c>
      <c r="E125" s="1058" t="str">
        <f>VLOOKUP(B125,TH.Q2!B26:E357,4,FALSE)</f>
        <v>Giảng viên khoa May - Thời trang</v>
      </c>
      <c r="F125" s="1160">
        <v>3.33</v>
      </c>
      <c r="G125" s="1137"/>
      <c r="H125" s="1400">
        <f t="shared" si="7"/>
        <v>0</v>
      </c>
      <c r="I125" s="1138"/>
      <c r="J125" s="1138" t="str">
        <f>VLOOKUP(B125,'[25]Gui chi Quynh'!$B$11:$E$396,4,FALSE)</f>
        <v>A3</v>
      </c>
      <c r="K125" s="1138">
        <f t="shared" si="8"/>
        <v>0.6</v>
      </c>
      <c r="L125" s="1139">
        <v>20</v>
      </c>
      <c r="M125" s="1139">
        <f>VLOOKUP(B125,'[26]CN BC'!$H$10:$J$275,3,FALSE)</f>
        <v>20</v>
      </c>
      <c r="N125" s="1139">
        <f t="shared" si="9"/>
        <v>20</v>
      </c>
      <c r="O125" s="1140"/>
      <c r="P125" s="1141">
        <f t="shared" si="10"/>
        <v>4675320</v>
      </c>
      <c r="Q125" s="1646">
        <f t="shared" si="12"/>
        <v>1.998</v>
      </c>
      <c r="R125" s="1580">
        <v>2340000</v>
      </c>
      <c r="S125" s="1647">
        <f t="shared" si="13"/>
        <v>4675320</v>
      </c>
      <c r="T125" s="1142">
        <f t="shared" si="14"/>
        <v>101</v>
      </c>
      <c r="U125" s="1143">
        <f>IFERROR(INDEX('[26]CN BC'!$M$10:$M$276,MATCH(B125,'[26]CN BC'!$H$10:$H$276,0)),"")</f>
        <v>0</v>
      </c>
      <c r="V125" s="1144" t="str">
        <f>VLOOKUP(B125,TH.T4!B122:AC452,28,FALSE)</f>
        <v>M-TT</v>
      </c>
      <c r="W125" s="1130"/>
      <c r="X125" s="1146"/>
      <c r="Y125" s="1147"/>
      <c r="Z125" s="1146"/>
      <c r="AA125" s="1146"/>
      <c r="AB125" s="1146"/>
      <c r="AC125" s="1146"/>
      <c r="AD125" s="1146"/>
      <c r="AE125" s="1146"/>
      <c r="AF125" s="1146"/>
      <c r="AG125" s="1146"/>
      <c r="AH125" s="1146"/>
      <c r="AI125" s="1146"/>
    </row>
    <row r="126" spans="1:35" s="1148" customFormat="1" ht="33" customHeight="1">
      <c r="A126" s="1132">
        <f>_xlfn.AGGREGATE(4,7,A$24:A125)+1</f>
        <v>102</v>
      </c>
      <c r="B126" s="1133" t="s">
        <v>1832</v>
      </c>
      <c r="C126" s="1153" t="s">
        <v>1963</v>
      </c>
      <c r="D126" s="1208">
        <v>1603215005610</v>
      </c>
      <c r="E126" s="1058" t="str">
        <f>VLOOKUP(B126,TH.Q2!B27:E358,4,FALSE)</f>
        <v>Giảng viên khoa May - Thời trang</v>
      </c>
      <c r="F126" s="1160">
        <v>3</v>
      </c>
      <c r="G126" s="1137"/>
      <c r="H126" s="1393">
        <f t="shared" si="7"/>
        <v>0</v>
      </c>
      <c r="I126" s="1138"/>
      <c r="J126" s="1138" t="str">
        <f>VLOOKUP(B126,'[25]Gui chi Quynh'!$B$11:$E$396,4,FALSE)</f>
        <v>A4</v>
      </c>
      <c r="K126" s="1138">
        <f t="shared" si="8"/>
        <v>0.5</v>
      </c>
      <c r="L126" s="1139">
        <v>20</v>
      </c>
      <c r="M126" s="1139">
        <f>VLOOKUP(B126,'[26]CN BC'!$H$10:$J$275,3,FALSE)</f>
        <v>20</v>
      </c>
      <c r="N126" s="1139">
        <f t="shared" si="9"/>
        <v>20</v>
      </c>
      <c r="O126" s="1140"/>
      <c r="P126" s="1141">
        <f t="shared" si="10"/>
        <v>3510000</v>
      </c>
      <c r="Q126" s="1646">
        <f t="shared" si="12"/>
        <v>1.5</v>
      </c>
      <c r="R126" s="1580">
        <v>2340000</v>
      </c>
      <c r="S126" s="1647">
        <f t="shared" si="13"/>
        <v>3510000</v>
      </c>
      <c r="T126" s="1142">
        <f t="shared" si="14"/>
        <v>102</v>
      </c>
      <c r="U126" s="1143">
        <f>IFERROR(INDEX('[26]CN BC'!$M$10:$M$276,MATCH(B126,'[26]CN BC'!$H$10:$H$276,0)),"")</f>
        <v>0</v>
      </c>
      <c r="V126" s="1144" t="str">
        <f>VLOOKUP(B126,TH.T4!B123:AC453,28,FALSE)</f>
        <v>M-TT</v>
      </c>
      <c r="W126" s="1130"/>
      <c r="X126" s="1146"/>
      <c r="Y126" s="1147"/>
      <c r="Z126" s="1146"/>
      <c r="AA126" s="1146"/>
      <c r="AB126" s="1146"/>
      <c r="AC126" s="1146"/>
      <c r="AD126" s="1146"/>
      <c r="AE126" s="1146"/>
    </row>
    <row r="127" spans="1:35" s="1146" customFormat="1" ht="27" customHeight="1">
      <c r="A127" s="1132">
        <f>_xlfn.AGGREGATE(4,7,A$24:A126)+1</f>
        <v>103</v>
      </c>
      <c r="B127" s="1172" t="s">
        <v>1555</v>
      </c>
      <c r="C127" s="1149" t="s">
        <v>1658</v>
      </c>
      <c r="D127" s="1173" t="s">
        <v>1278</v>
      </c>
      <c r="E127" s="1058" t="str">
        <f>VLOOKUP(B127,TH.Q2!B28:E359,4,FALSE)</f>
        <v>Trưởng khoa KHCB</v>
      </c>
      <c r="F127" s="1174">
        <v>4.9800000000000004</v>
      </c>
      <c r="G127" s="1209"/>
      <c r="H127" s="1393">
        <f t="shared" si="7"/>
        <v>0</v>
      </c>
      <c r="I127" s="1210">
        <v>0.45</v>
      </c>
      <c r="J127" s="1138" t="str">
        <f>VLOOKUP(B127,'[25]Gui chi Quynh'!$B$11:$E$396,4,FALSE)</f>
        <v>A2</v>
      </c>
      <c r="K127" s="1138">
        <f t="shared" si="8"/>
        <v>0.7</v>
      </c>
      <c r="L127" s="1139">
        <v>20</v>
      </c>
      <c r="M127" s="1139">
        <f>VLOOKUP(B127,'[26]CN BC'!$H$10:$J$275,3,FALSE)</f>
        <v>21</v>
      </c>
      <c r="N127" s="1139">
        <f t="shared" si="9"/>
        <v>20</v>
      </c>
      <c r="O127" s="1140"/>
      <c r="P127" s="1141">
        <f t="shared" si="10"/>
        <v>8894340</v>
      </c>
      <c r="Q127" s="1646">
        <f t="shared" si="12"/>
        <v>3.8010000000000002</v>
      </c>
      <c r="R127" s="1580">
        <v>2340000</v>
      </c>
      <c r="S127" s="1647">
        <f t="shared" si="13"/>
        <v>8894340</v>
      </c>
      <c r="T127" s="1142">
        <f t="shared" si="14"/>
        <v>103</v>
      </c>
      <c r="U127" s="1143">
        <f>IFERROR(INDEX('[26]CN BC'!$M$10:$M$276,MATCH(B127,'[26]CN BC'!$H$10:$H$276,0)),"")</f>
        <v>0</v>
      </c>
      <c r="V127" s="1144" t="str">
        <f>VLOOKUP(B127,TH.T4!B124:AC454,28,FALSE)</f>
        <v>KHCB</v>
      </c>
      <c r="W127" s="1130"/>
      <c r="Y127" s="1147"/>
    </row>
    <row r="128" spans="1:35" s="1148" customFormat="1" ht="28.5" customHeight="1">
      <c r="A128" s="1132">
        <f>_xlfn.AGGREGATE(4,7,A$24:A127)+1</f>
        <v>104</v>
      </c>
      <c r="B128" s="1133" t="s">
        <v>1866</v>
      </c>
      <c r="C128" s="1153" t="s">
        <v>1697</v>
      </c>
      <c r="D128" s="1154" t="s">
        <v>1300</v>
      </c>
      <c r="E128" s="1058" t="str">
        <f>VLOOKUP(B128,TH.Q2!B29:E360,4,FALSE)</f>
        <v>Giảng viên Khoa KHCB</v>
      </c>
      <c r="F128" s="1136">
        <v>4.9800000000000004</v>
      </c>
      <c r="G128" s="1137">
        <v>7.0000000000000007E-2</v>
      </c>
      <c r="H128" s="1393">
        <f t="shared" si="7"/>
        <v>0.34899999999999998</v>
      </c>
      <c r="I128" s="1138">
        <v>0.25</v>
      </c>
      <c r="J128" s="1138" t="str">
        <f>VLOOKUP(B128,'[25]Gui chi Quynh'!$B$11:$E$396,4,FALSE)</f>
        <v>A3</v>
      </c>
      <c r="K128" s="1138">
        <f t="shared" si="8"/>
        <v>0.6</v>
      </c>
      <c r="L128" s="1139">
        <v>20</v>
      </c>
      <c r="M128" s="1139">
        <f>VLOOKUP(B128,'[26]CN BC'!$H$10:$J$275,3,FALSE)</f>
        <v>21</v>
      </c>
      <c r="N128" s="1139">
        <f t="shared" si="9"/>
        <v>20</v>
      </c>
      <c r="O128" s="1140"/>
      <c r="P128" s="1141">
        <f t="shared" si="10"/>
        <v>7832916.0000000009</v>
      </c>
      <c r="Q128" s="1646">
        <f t="shared" si="12"/>
        <v>3.3474000000000004</v>
      </c>
      <c r="R128" s="1580">
        <v>2340000</v>
      </c>
      <c r="S128" s="1647">
        <f t="shared" si="13"/>
        <v>7832916.0000000009</v>
      </c>
      <c r="T128" s="1142">
        <f t="shared" si="14"/>
        <v>104</v>
      </c>
      <c r="U128" s="1143">
        <f>IFERROR(INDEX('[26]CN BC'!$M$10:$M$276,MATCH(B128,'[26]CN BC'!$H$10:$H$276,0)),"")</f>
        <v>0</v>
      </c>
      <c r="V128" s="1144" t="str">
        <f>VLOOKUP(B128,TH.T4!B125:AC455,28,FALSE)</f>
        <v>KHCB</v>
      </c>
      <c r="W128" s="1130"/>
      <c r="X128" s="1146"/>
      <c r="Y128" s="1158"/>
    </row>
    <row r="129" spans="1:35" s="1146" customFormat="1" ht="30" customHeight="1">
      <c r="A129" s="1132">
        <f>_xlfn.AGGREGATE(4,7,A$24:A128)+1</f>
        <v>105</v>
      </c>
      <c r="B129" s="1172" t="s">
        <v>1867</v>
      </c>
      <c r="C129" s="1149" t="s">
        <v>1698</v>
      </c>
      <c r="D129" s="1173" t="s">
        <v>1299</v>
      </c>
      <c r="E129" s="1058" t="str">
        <f>VLOOKUP(B129,TH.Q2!B30:E361,4,FALSE)</f>
        <v>Giảng viên Khoa KHCB</v>
      </c>
      <c r="F129" s="1174">
        <v>4.32</v>
      </c>
      <c r="G129" s="1175"/>
      <c r="H129" s="1393">
        <f t="shared" si="7"/>
        <v>0</v>
      </c>
      <c r="I129" s="1176"/>
      <c r="J129" s="1138" t="str">
        <f>VLOOKUP(B129,'[25]Gui chi Quynh'!$B$11:$E$396,4,FALSE)</f>
        <v>A3</v>
      </c>
      <c r="K129" s="1138">
        <f t="shared" si="8"/>
        <v>0.6</v>
      </c>
      <c r="L129" s="1139">
        <v>20</v>
      </c>
      <c r="M129" s="1139">
        <f>VLOOKUP(B129,'[26]CN BC'!$H$10:$J$275,3,FALSE)</f>
        <v>22</v>
      </c>
      <c r="N129" s="1139">
        <f t="shared" si="9"/>
        <v>20</v>
      </c>
      <c r="O129" s="1140"/>
      <c r="P129" s="1141">
        <f t="shared" si="10"/>
        <v>6065280</v>
      </c>
      <c r="Q129" s="1646">
        <f t="shared" si="12"/>
        <v>2.5920000000000001</v>
      </c>
      <c r="R129" s="1580">
        <v>2340000</v>
      </c>
      <c r="S129" s="1647">
        <f t="shared" si="13"/>
        <v>6065280</v>
      </c>
      <c r="T129" s="1142">
        <f t="shared" si="14"/>
        <v>105</v>
      </c>
      <c r="U129" s="1143">
        <f>IFERROR(INDEX('[26]CN BC'!$M$10:$M$276,MATCH(B129,'[26]CN BC'!$H$10:$H$276,0)),"")</f>
        <v>0</v>
      </c>
      <c r="V129" s="1144" t="str">
        <f>VLOOKUP(B129,TH.T4!B126:AC456,28,FALSE)</f>
        <v>KHCB</v>
      </c>
      <c r="W129" s="1130"/>
      <c r="Y129" s="1147"/>
    </row>
    <row r="130" spans="1:35" s="1148" customFormat="1" ht="30" customHeight="1">
      <c r="A130" s="1132">
        <f>_xlfn.AGGREGATE(4,7,A$24:A129)+1</f>
        <v>106</v>
      </c>
      <c r="B130" s="1133" t="s">
        <v>1485</v>
      </c>
      <c r="C130" s="1153" t="s">
        <v>1699</v>
      </c>
      <c r="D130" s="1154" t="s">
        <v>373</v>
      </c>
      <c r="E130" s="383" t="str">
        <f>VLOOKUP(B130,TH.Q2!B31:E362,4,FALSE)</f>
        <v>Giảng viên khoa KHCB</v>
      </c>
      <c r="F130" s="1136">
        <v>4.32</v>
      </c>
      <c r="G130" s="1137"/>
      <c r="H130" s="1400">
        <f t="shared" si="7"/>
        <v>0</v>
      </c>
      <c r="I130" s="1138"/>
      <c r="J130" s="1138" t="str">
        <f>VLOOKUP(B130,'[25]Gui chi Quynh'!$B$11:$E$396,4,FALSE)</f>
        <v>A3</v>
      </c>
      <c r="K130" s="1138">
        <f t="shared" si="8"/>
        <v>0.6</v>
      </c>
      <c r="L130" s="1139">
        <v>20</v>
      </c>
      <c r="M130" s="1139">
        <f>VLOOKUP(B130,'[26]CN BC'!$H$10:$J$275,3,FALSE)</f>
        <v>21.5</v>
      </c>
      <c r="N130" s="1139">
        <f t="shared" si="9"/>
        <v>20</v>
      </c>
      <c r="O130" s="1155"/>
      <c r="P130" s="1141">
        <f t="shared" si="10"/>
        <v>6065280</v>
      </c>
      <c r="Q130" s="1646">
        <f t="shared" si="12"/>
        <v>2.5920000000000001</v>
      </c>
      <c r="R130" s="1580">
        <v>2340000</v>
      </c>
      <c r="S130" s="1647">
        <f t="shared" si="13"/>
        <v>6065280</v>
      </c>
      <c r="T130" s="1142">
        <f t="shared" si="14"/>
        <v>106</v>
      </c>
      <c r="U130" s="1143">
        <f>IFERROR(INDEX('[26]CN BC'!$M$10:$M$276,MATCH(B130,'[26]CN BC'!$H$10:$H$276,0)),"")</f>
        <v>0</v>
      </c>
      <c r="V130" s="1189" t="str">
        <f>VLOOKUP(B130,TH.T4!B127:AC457,28,FALSE)</f>
        <v>KHCB</v>
      </c>
      <c r="W130" s="1171"/>
      <c r="Y130" s="1158"/>
    </row>
    <row r="131" spans="1:35" s="1148" customFormat="1" ht="30" customHeight="1">
      <c r="A131" s="1132">
        <f>_xlfn.AGGREGATE(4,7,A$24:A130)+1</f>
        <v>107</v>
      </c>
      <c r="B131" s="1133" t="s">
        <v>1559</v>
      </c>
      <c r="C131" s="1149" t="s">
        <v>1647</v>
      </c>
      <c r="D131" s="1154" t="s">
        <v>406</v>
      </c>
      <c r="E131" s="1058" t="str">
        <f>VLOOKUP(B131,TH.Q2!B32:E363,4,FALSE)</f>
        <v>Giảng viên khoa KHCB</v>
      </c>
      <c r="F131" s="1160">
        <v>3.66</v>
      </c>
      <c r="G131" s="1170"/>
      <c r="H131" s="1393">
        <f t="shared" si="7"/>
        <v>0</v>
      </c>
      <c r="I131" s="1138"/>
      <c r="J131" s="1138" t="str">
        <f>VLOOKUP(B131,'[25]Gui chi Quynh'!$B$11:$E$396,4,FALSE)</f>
        <v>A3</v>
      </c>
      <c r="K131" s="1138">
        <f t="shared" si="8"/>
        <v>0.6</v>
      </c>
      <c r="L131" s="1139">
        <v>20</v>
      </c>
      <c r="M131" s="1139">
        <f>VLOOKUP(B131,'[26]CN BC'!$H$10:$J$275,3,FALSE)</f>
        <v>21.5</v>
      </c>
      <c r="N131" s="1139">
        <f t="shared" si="9"/>
        <v>20</v>
      </c>
      <c r="O131" s="1140"/>
      <c r="P131" s="1141">
        <f t="shared" si="10"/>
        <v>5138640</v>
      </c>
      <c r="Q131" s="1646">
        <f t="shared" si="12"/>
        <v>2.1960000000000002</v>
      </c>
      <c r="R131" s="1580">
        <v>2340000</v>
      </c>
      <c r="S131" s="1647">
        <f t="shared" si="13"/>
        <v>5138640</v>
      </c>
      <c r="T131" s="1142">
        <f t="shared" si="14"/>
        <v>107</v>
      </c>
      <c r="U131" s="1143">
        <f>IFERROR(INDEX('[26]CN BC'!$M$10:$M$276,MATCH(B131,'[26]CN BC'!$H$10:$H$276,0)),"")</f>
        <v>0</v>
      </c>
      <c r="V131" s="1144" t="str">
        <f>VLOOKUP(B131,TH.T4!B128:AC458,28,FALSE)</f>
        <v>KHCB</v>
      </c>
      <c r="W131" s="1130"/>
      <c r="X131" s="1146"/>
      <c r="Y131" s="1147"/>
      <c r="Z131" s="1146"/>
      <c r="AA131" s="1146"/>
      <c r="AB131" s="1146"/>
      <c r="AC131" s="1146"/>
      <c r="AD131" s="1146"/>
      <c r="AE131" s="1146"/>
      <c r="AF131" s="1146"/>
      <c r="AG131" s="1146"/>
      <c r="AH131" s="1146"/>
      <c r="AI131" s="1146"/>
    </row>
    <row r="132" spans="1:35" s="1148" customFormat="1" ht="30" customHeight="1">
      <c r="A132" s="1132">
        <f>_xlfn.AGGREGATE(4,7,A$24:A131)+1</f>
        <v>108</v>
      </c>
      <c r="B132" s="1133" t="s">
        <v>1868</v>
      </c>
      <c r="C132" s="1153" t="s">
        <v>1700</v>
      </c>
      <c r="D132" s="1154" t="s">
        <v>1303</v>
      </c>
      <c r="E132" s="1058" t="str">
        <f>VLOOKUP(B132,TH.Q2!B33:E364,4,FALSE)</f>
        <v>Giảng viên Khoa KHCB</v>
      </c>
      <c r="F132" s="1136">
        <v>4.6500000000000004</v>
      </c>
      <c r="G132" s="1137"/>
      <c r="H132" s="1393">
        <f t="shared" si="7"/>
        <v>0</v>
      </c>
      <c r="I132" s="1138"/>
      <c r="J132" s="1138" t="str">
        <f>VLOOKUP(B132,'[25]Gui chi Quynh'!$B$11:$E$396,4,FALSE)</f>
        <v>A3</v>
      </c>
      <c r="K132" s="1138">
        <f t="shared" si="8"/>
        <v>0.6</v>
      </c>
      <c r="L132" s="1139">
        <v>20</v>
      </c>
      <c r="M132" s="1139">
        <f>VLOOKUP(B132,'[26]CN BC'!$H$10:$J$275,3,FALSE)</f>
        <v>21</v>
      </c>
      <c r="N132" s="1139">
        <f t="shared" si="9"/>
        <v>20</v>
      </c>
      <c r="O132" s="1140"/>
      <c r="P132" s="1141">
        <f t="shared" si="10"/>
        <v>6528600</v>
      </c>
      <c r="Q132" s="1646">
        <f t="shared" si="12"/>
        <v>2.79</v>
      </c>
      <c r="R132" s="1580">
        <v>2340000</v>
      </c>
      <c r="S132" s="1647">
        <f t="shared" si="13"/>
        <v>6528600</v>
      </c>
      <c r="T132" s="1142">
        <f t="shared" si="14"/>
        <v>108</v>
      </c>
      <c r="U132" s="1143">
        <f>IFERROR(INDEX('[26]CN BC'!$M$10:$M$276,MATCH(B132,'[26]CN BC'!$H$10:$H$276,0)),"")</f>
        <v>0</v>
      </c>
      <c r="V132" s="1144" t="str">
        <f>VLOOKUP(B132,TH.T4!B129:AC459,28,FALSE)</f>
        <v>KHCB</v>
      </c>
      <c r="W132" s="1130"/>
      <c r="X132" s="1146"/>
      <c r="Y132" s="1147"/>
      <c r="Z132" s="1146"/>
      <c r="AA132" s="1146"/>
      <c r="AB132" s="1146"/>
      <c r="AC132" s="1146"/>
      <c r="AD132" s="1146"/>
      <c r="AE132" s="1146"/>
    </row>
    <row r="133" spans="1:35" s="1148" customFormat="1" ht="30" customHeight="1">
      <c r="A133" s="1132">
        <f>_xlfn.AGGREGATE(4,7,A$24:A132)+1</f>
        <v>109</v>
      </c>
      <c r="B133" s="1133" t="s">
        <v>1869</v>
      </c>
      <c r="C133" s="1149" t="s">
        <v>1701</v>
      </c>
      <c r="D133" s="1154" t="s">
        <v>1304</v>
      </c>
      <c r="E133" s="1058" t="str">
        <f>VLOOKUP(B133,TH.Q2!B34:E365,4,FALSE)</f>
        <v>Giảng viên Khoa KHCB</v>
      </c>
      <c r="F133" s="1160">
        <v>4.32</v>
      </c>
      <c r="G133" s="1137"/>
      <c r="H133" s="1393">
        <f t="shared" si="7"/>
        <v>0</v>
      </c>
      <c r="I133" s="1138"/>
      <c r="J133" s="1138" t="str">
        <f>VLOOKUP(B133,'[25]Gui chi Quynh'!$B$11:$E$396,4,FALSE)</f>
        <v>A4</v>
      </c>
      <c r="K133" s="1138">
        <f t="shared" si="8"/>
        <v>0.5</v>
      </c>
      <c r="L133" s="1139">
        <v>20</v>
      </c>
      <c r="M133" s="1139">
        <f>VLOOKUP(B133,'[26]CN BC'!$H$10:$J$275,3,FALSE)</f>
        <v>21</v>
      </c>
      <c r="N133" s="1139">
        <f t="shared" si="9"/>
        <v>20</v>
      </c>
      <c r="O133" s="1140"/>
      <c r="P133" s="1141">
        <f t="shared" si="10"/>
        <v>5054400</v>
      </c>
      <c r="Q133" s="1646">
        <f t="shared" si="12"/>
        <v>2.16</v>
      </c>
      <c r="R133" s="1580">
        <v>2340000</v>
      </c>
      <c r="S133" s="1647">
        <f t="shared" si="13"/>
        <v>5054400</v>
      </c>
      <c r="T133" s="1142">
        <f t="shared" si="14"/>
        <v>109</v>
      </c>
      <c r="U133" s="1143">
        <f>IFERROR(INDEX('[26]CN BC'!$M$10:$M$276,MATCH(B133,'[26]CN BC'!$H$10:$H$276,0)),"")</f>
        <v>0</v>
      </c>
      <c r="V133" s="1144" t="str">
        <f>VLOOKUP(B133,TH.T4!B130:AC460,28,FALSE)</f>
        <v>KHCB</v>
      </c>
      <c r="W133" s="1130"/>
      <c r="X133" s="1146"/>
      <c r="Y133" s="1147"/>
      <c r="Z133" s="1146"/>
      <c r="AA133" s="1146"/>
      <c r="AB133" s="1146"/>
      <c r="AC133" s="1146"/>
      <c r="AD133" s="1146"/>
      <c r="AE133" s="1146"/>
      <c r="AF133" s="1146"/>
      <c r="AG133" s="1146"/>
      <c r="AH133" s="1146"/>
      <c r="AI133" s="1146"/>
    </row>
    <row r="134" spans="1:35" s="1148" customFormat="1" ht="30" customHeight="1">
      <c r="A134" s="1132">
        <f>_xlfn.AGGREGATE(4,7,A$24:A133)+1</f>
        <v>110</v>
      </c>
      <c r="B134" s="1133" t="s">
        <v>1870</v>
      </c>
      <c r="C134" s="1153" t="s">
        <v>1702</v>
      </c>
      <c r="D134" s="1154" t="s">
        <v>1306</v>
      </c>
      <c r="E134" s="383" t="str">
        <f>VLOOKUP(B134,TH.Q2!B35:E366,4,FALSE)</f>
        <v>Giảng viên Khoa KHCB</v>
      </c>
      <c r="F134" s="1136">
        <v>4.9800000000000004</v>
      </c>
      <c r="G134" s="1137">
        <v>0.09</v>
      </c>
      <c r="H134" s="1400">
        <f t="shared" si="7"/>
        <v>0.44800000000000001</v>
      </c>
      <c r="I134" s="1138"/>
      <c r="J134" s="1138" t="str">
        <f>VLOOKUP(B134,'[25]Gui chi Quynh'!$B$11:$E$396,4,FALSE)</f>
        <v>A4</v>
      </c>
      <c r="K134" s="1138">
        <f t="shared" si="8"/>
        <v>0.5</v>
      </c>
      <c r="L134" s="1139">
        <v>20</v>
      </c>
      <c r="M134" s="1139">
        <f>VLOOKUP(B134,'[26]CN BC'!$H$10:$J$275,3,FALSE)</f>
        <v>21</v>
      </c>
      <c r="N134" s="1139">
        <f t="shared" si="9"/>
        <v>20</v>
      </c>
      <c r="O134" s="1155"/>
      <c r="P134" s="1141">
        <f t="shared" si="10"/>
        <v>6350760.0000000009</v>
      </c>
      <c r="Q134" s="1646">
        <f t="shared" si="12"/>
        <v>2.7140000000000004</v>
      </c>
      <c r="R134" s="1580">
        <v>2340000</v>
      </c>
      <c r="S134" s="1647">
        <f t="shared" si="13"/>
        <v>6350760.0000000009</v>
      </c>
      <c r="T134" s="1142">
        <f t="shared" si="14"/>
        <v>110</v>
      </c>
      <c r="U134" s="1143">
        <f>IFERROR(INDEX('[26]CN BC'!$M$10:$M$276,MATCH(B134,'[26]CN BC'!$H$10:$H$276,0)),"")</f>
        <v>0</v>
      </c>
      <c r="V134" s="1189" t="str">
        <f>VLOOKUP(B134,TH.T4!B131:AC461,28,FALSE)</f>
        <v>KHCB</v>
      </c>
      <c r="W134" s="1171"/>
      <c r="Y134" s="1158"/>
    </row>
    <row r="135" spans="1:35" s="1148" customFormat="1" ht="26.25" customHeight="1">
      <c r="A135" s="1132">
        <f>_xlfn.AGGREGATE(4,7,A$24:A134)+1</f>
        <v>111</v>
      </c>
      <c r="B135" s="1133" t="s">
        <v>847</v>
      </c>
      <c r="C135" s="1153" t="s">
        <v>1703</v>
      </c>
      <c r="D135" s="1154" t="s">
        <v>1307</v>
      </c>
      <c r="E135" s="1058" t="str">
        <f>VLOOKUP(B135,TH.Q2!B36:E367,4,FALSE)</f>
        <v>Giảng viên khoa KHCB</v>
      </c>
      <c r="F135" s="1160">
        <v>3.99</v>
      </c>
      <c r="G135" s="1137"/>
      <c r="H135" s="1393">
        <f t="shared" si="7"/>
        <v>0</v>
      </c>
      <c r="I135" s="1138"/>
      <c r="J135" s="1138" t="str">
        <f>VLOOKUP(B135,'[25]Gui chi Quynh'!$B$11:$E$396,4,FALSE)</f>
        <v>A4</v>
      </c>
      <c r="K135" s="1138">
        <f t="shared" si="8"/>
        <v>0.5</v>
      </c>
      <c r="L135" s="1139">
        <v>20</v>
      </c>
      <c r="M135" s="1139">
        <f>VLOOKUP(B135,'[26]CN BC'!$H$10:$J$275,3,FALSE)</f>
        <v>20</v>
      </c>
      <c r="N135" s="1139">
        <f t="shared" si="9"/>
        <v>20</v>
      </c>
      <c r="O135" s="1140"/>
      <c r="P135" s="1141">
        <f t="shared" si="10"/>
        <v>4668300</v>
      </c>
      <c r="Q135" s="1646">
        <f t="shared" si="12"/>
        <v>1.9950000000000001</v>
      </c>
      <c r="R135" s="1580">
        <v>2340000</v>
      </c>
      <c r="S135" s="1647">
        <f t="shared" si="13"/>
        <v>4668300</v>
      </c>
      <c r="T135" s="1211">
        <f t="shared" si="14"/>
        <v>111</v>
      </c>
      <c r="U135" s="1143">
        <f>IFERROR(INDEX('[26]CN BC'!$M$10:$M$276,MATCH(B135,'[26]CN BC'!$H$10:$H$276,0)),"")</f>
        <v>0</v>
      </c>
      <c r="V135" s="1144" t="str">
        <f>VLOOKUP(B135,TH.T4!B132:AC462,28,FALSE)</f>
        <v>KHCB</v>
      </c>
      <c r="W135" s="1171"/>
      <c r="Y135" s="1158"/>
    </row>
    <row r="136" spans="1:35" s="1148" customFormat="1" ht="30" customHeight="1">
      <c r="A136" s="1132">
        <f>_xlfn.AGGREGATE(4,7,A$24:A135)+1</f>
        <v>112</v>
      </c>
      <c r="B136" s="1133" t="s">
        <v>1486</v>
      </c>
      <c r="C136" s="1149" t="s">
        <v>1704</v>
      </c>
      <c r="D136" s="1166" t="s">
        <v>1588</v>
      </c>
      <c r="E136" s="1058" t="str">
        <f>VLOOKUP(B136,TH.Q2!B37:E368,4,FALSE)</f>
        <v>Giảng viên khoa KHCB</v>
      </c>
      <c r="F136" s="1160">
        <v>3.66</v>
      </c>
      <c r="G136" s="1137"/>
      <c r="H136" s="1393">
        <f t="shared" si="7"/>
        <v>0</v>
      </c>
      <c r="I136" s="1138"/>
      <c r="J136" s="1138" t="str">
        <f>VLOOKUP(B136,'[25]Gui chi Quynh'!$B$11:$E$396,4,FALSE)</f>
        <v>A3</v>
      </c>
      <c r="K136" s="1138">
        <f t="shared" si="8"/>
        <v>0.6</v>
      </c>
      <c r="L136" s="1139">
        <v>20</v>
      </c>
      <c r="M136" s="1139">
        <f>VLOOKUP(B136,'[26]CN BC'!$H$10:$J$275,3,FALSE)</f>
        <v>21</v>
      </c>
      <c r="N136" s="1139">
        <f t="shared" si="9"/>
        <v>20</v>
      </c>
      <c r="O136" s="1140"/>
      <c r="P136" s="1141">
        <f t="shared" si="10"/>
        <v>5138640</v>
      </c>
      <c r="Q136" s="1646">
        <f t="shared" si="12"/>
        <v>2.1960000000000002</v>
      </c>
      <c r="R136" s="1580">
        <v>2340000</v>
      </c>
      <c r="S136" s="1647">
        <f t="shared" si="13"/>
        <v>5138640</v>
      </c>
      <c r="T136" s="1211">
        <f t="shared" si="14"/>
        <v>112</v>
      </c>
      <c r="U136" s="1143">
        <f>IFERROR(INDEX('[26]CN BC'!$M$10:$M$276,MATCH(B136,'[26]CN BC'!$H$10:$H$276,0)),"")</f>
        <v>0</v>
      </c>
      <c r="V136" s="1144" t="str">
        <f>VLOOKUP(B136,TH.T4!B133:AC463,28,FALSE)</f>
        <v>KHCB</v>
      </c>
      <c r="W136" s="1130"/>
      <c r="X136" s="1146"/>
      <c r="Y136" s="1147"/>
      <c r="Z136" s="1146"/>
      <c r="AA136" s="1146"/>
      <c r="AB136" s="1146"/>
      <c r="AC136" s="1146"/>
      <c r="AD136" s="1146"/>
      <c r="AE136" s="1146"/>
      <c r="AF136" s="1146"/>
      <c r="AG136" s="1146"/>
      <c r="AH136" s="1146"/>
      <c r="AI136" s="1146"/>
    </row>
    <row r="137" spans="1:35" s="1146" customFormat="1" ht="30" customHeight="1">
      <c r="A137" s="1132">
        <f>_xlfn.AGGREGATE(4,7,A$24:A136)+1</f>
        <v>113</v>
      </c>
      <c r="B137" s="1133" t="s">
        <v>1871</v>
      </c>
      <c r="C137" s="1153" t="s">
        <v>1705</v>
      </c>
      <c r="D137" s="1154" t="s">
        <v>1309</v>
      </c>
      <c r="E137" s="1058" t="str">
        <f>VLOOKUP(B137,TH.Q2!B38:E369,4,FALSE)</f>
        <v>Phó TK Khoa KHCB</v>
      </c>
      <c r="F137" s="1136">
        <v>4.9800000000000004</v>
      </c>
      <c r="G137" s="1137"/>
      <c r="H137" s="1393">
        <f t="shared" si="7"/>
        <v>0</v>
      </c>
      <c r="I137" s="1138">
        <v>0.35</v>
      </c>
      <c r="J137" s="1138" t="str">
        <f>VLOOKUP(B137,'[25]Gui chi Quynh'!$B$11:$E$396,4,FALSE)</f>
        <v>A4</v>
      </c>
      <c r="K137" s="1138">
        <f t="shared" si="8"/>
        <v>0.5</v>
      </c>
      <c r="L137" s="1139">
        <v>20</v>
      </c>
      <c r="M137" s="1139">
        <f>VLOOKUP(B137,'[26]CN BC'!$H$10:$J$275,3,FALSE)</f>
        <v>21</v>
      </c>
      <c r="N137" s="1139">
        <f t="shared" si="9"/>
        <v>20</v>
      </c>
      <c r="O137" s="1140"/>
      <c r="P137" s="1141">
        <f t="shared" si="10"/>
        <v>6236100</v>
      </c>
      <c r="Q137" s="1646">
        <f t="shared" si="12"/>
        <v>2.665</v>
      </c>
      <c r="R137" s="1580">
        <v>2340000</v>
      </c>
      <c r="S137" s="1647">
        <f t="shared" si="13"/>
        <v>6236100</v>
      </c>
      <c r="T137" s="1211">
        <f t="shared" si="14"/>
        <v>113</v>
      </c>
      <c r="U137" s="1143">
        <f>IFERROR(INDEX('[26]CN BC'!$M$10:$M$276,MATCH(B137,'[26]CN BC'!$H$10:$H$276,0)),"")</f>
        <v>0</v>
      </c>
      <c r="V137" s="1144" t="str">
        <f>VLOOKUP(B137,TH.T4!B134:AC464,28,FALSE)</f>
        <v>KHCB</v>
      </c>
      <c r="W137" s="1130"/>
      <c r="Y137" s="1147"/>
    </row>
    <row r="138" spans="1:35" s="1148" customFormat="1" ht="30" customHeight="1">
      <c r="A138" s="1132">
        <f>_xlfn.AGGREGATE(4,7,A$24:A137)+1</f>
        <v>114</v>
      </c>
      <c r="B138" s="1133" t="s">
        <v>1872</v>
      </c>
      <c r="C138" s="1153" t="s">
        <v>1706</v>
      </c>
      <c r="D138" s="1154" t="s">
        <v>1311</v>
      </c>
      <c r="E138" s="383" t="str">
        <f>VLOOKUP(B138,TH.Q2!B39:E370,4,FALSE)</f>
        <v>Giảng viên Khoa KHCB</v>
      </c>
      <c r="F138" s="1136">
        <v>4.9800000000000004</v>
      </c>
      <c r="G138" s="1137">
        <v>0.06</v>
      </c>
      <c r="H138" s="1400">
        <f t="shared" si="7"/>
        <v>0.29899999999999999</v>
      </c>
      <c r="I138" s="1138"/>
      <c r="J138" s="1138" t="str">
        <f>VLOOKUP(B138,'[25]Gui chi Quynh'!$B$11:$E$396,4,FALSE)</f>
        <v>A4</v>
      </c>
      <c r="K138" s="1138">
        <f t="shared" si="8"/>
        <v>0.5</v>
      </c>
      <c r="L138" s="1139">
        <v>20</v>
      </c>
      <c r="M138" s="1139">
        <f>VLOOKUP(B138,'[26]CN BC'!$H$10:$J$275,3,FALSE)</f>
        <v>21</v>
      </c>
      <c r="N138" s="1139">
        <f t="shared" si="9"/>
        <v>20</v>
      </c>
      <c r="O138" s="1155"/>
      <c r="P138" s="1141">
        <f t="shared" si="10"/>
        <v>6176430.0000000009</v>
      </c>
      <c r="Q138" s="1646">
        <f t="shared" si="12"/>
        <v>2.6395000000000004</v>
      </c>
      <c r="R138" s="1580">
        <v>2340000</v>
      </c>
      <c r="S138" s="1647">
        <f t="shared" si="13"/>
        <v>6176430.0000000009</v>
      </c>
      <c r="T138" s="1211">
        <f t="shared" si="14"/>
        <v>114</v>
      </c>
      <c r="U138" s="1143">
        <f>IFERROR(INDEX('[26]CN BC'!$M$10:$M$276,MATCH(B138,'[26]CN BC'!$H$10:$H$276,0)),"")</f>
        <v>0</v>
      </c>
      <c r="V138" s="1189" t="str">
        <f>VLOOKUP(B138,TH.T4!B135:AC465,28,FALSE)</f>
        <v>KHCB</v>
      </c>
      <c r="W138" s="1171"/>
      <c r="Y138" s="1158"/>
    </row>
    <row r="139" spans="1:35" s="1148" customFormat="1" ht="32.25" customHeight="1">
      <c r="A139" s="1132">
        <f>_xlfn.AGGREGATE(4,7,A$24:A138)+1</f>
        <v>115</v>
      </c>
      <c r="B139" s="1133" t="s">
        <v>1487</v>
      </c>
      <c r="C139" s="1153" t="s">
        <v>1707</v>
      </c>
      <c r="D139" s="1154" t="s">
        <v>1312</v>
      </c>
      <c r="E139" s="1058" t="str">
        <f>VLOOKUP(B139,TH.Q2!B40:E371,4,FALSE)</f>
        <v>Giảng viên khoa KHCB</v>
      </c>
      <c r="F139" s="1160">
        <v>3.99</v>
      </c>
      <c r="G139" s="1137"/>
      <c r="H139" s="1393">
        <f t="shared" si="7"/>
        <v>0</v>
      </c>
      <c r="I139" s="1138"/>
      <c r="J139" s="1138" t="str">
        <f>VLOOKUP(B139,'[25]Gui chi Quynh'!$B$11:$E$396,4,FALSE)</f>
        <v>A4</v>
      </c>
      <c r="K139" s="1138">
        <f t="shared" si="8"/>
        <v>0.5</v>
      </c>
      <c r="L139" s="1139">
        <v>20</v>
      </c>
      <c r="M139" s="1139">
        <f>VLOOKUP(B139,'[26]CN BC'!$H$10:$J$275,3,FALSE)</f>
        <v>21</v>
      </c>
      <c r="N139" s="1139">
        <f t="shared" si="9"/>
        <v>20</v>
      </c>
      <c r="O139" s="1140"/>
      <c r="P139" s="1141">
        <f t="shared" si="10"/>
        <v>4668300</v>
      </c>
      <c r="Q139" s="1646">
        <f t="shared" si="12"/>
        <v>1.9950000000000001</v>
      </c>
      <c r="R139" s="1580">
        <v>2340000</v>
      </c>
      <c r="S139" s="1647">
        <f t="shared" si="13"/>
        <v>4668300</v>
      </c>
      <c r="T139" s="1142">
        <f t="shared" si="14"/>
        <v>115</v>
      </c>
      <c r="U139" s="1143">
        <f>IFERROR(INDEX('[26]CN BC'!$M$10:$M$276,MATCH(B139,'[26]CN BC'!$H$10:$H$276,0)),"")</f>
        <v>0</v>
      </c>
      <c r="V139" s="1144" t="str">
        <f>VLOOKUP(B139,TH.T4!B136:AC466,28,FALSE)</f>
        <v>KHCB</v>
      </c>
      <c r="W139" s="1130"/>
      <c r="X139" s="1146"/>
      <c r="Y139" s="1158"/>
    </row>
    <row r="140" spans="1:35" s="1148" customFormat="1" ht="30" customHeight="1">
      <c r="A140" s="1132">
        <f>_xlfn.AGGREGATE(4,7,A$24:A139)+1</f>
        <v>116</v>
      </c>
      <c r="B140" s="1133" t="s">
        <v>1488</v>
      </c>
      <c r="C140" s="1153" t="s">
        <v>1708</v>
      </c>
      <c r="D140" s="1154" t="s">
        <v>374</v>
      </c>
      <c r="E140" s="1058" t="str">
        <f>VLOOKUP(B140,TH.Q2!B41:E372,4,FALSE)</f>
        <v>Giảng viên khoa KHCB</v>
      </c>
      <c r="F140" s="1160">
        <v>3.66</v>
      </c>
      <c r="G140" s="1137"/>
      <c r="H140" s="1393">
        <f t="shared" si="7"/>
        <v>0</v>
      </c>
      <c r="I140" s="1138"/>
      <c r="J140" s="1138" t="str">
        <f>VLOOKUP(B140,'[25]Gui chi Quynh'!$B$11:$E$396,4,FALSE)</f>
        <v>A4</v>
      </c>
      <c r="K140" s="1138">
        <f t="shared" si="8"/>
        <v>0.5</v>
      </c>
      <c r="L140" s="1139">
        <v>20</v>
      </c>
      <c r="M140" s="1139">
        <f>VLOOKUP(B140,'[26]CN BC'!$H$10:$J$275,3,FALSE)</f>
        <v>21</v>
      </c>
      <c r="N140" s="1139">
        <f t="shared" si="9"/>
        <v>20</v>
      </c>
      <c r="O140" s="1140"/>
      <c r="P140" s="1141">
        <f t="shared" si="10"/>
        <v>4282200</v>
      </c>
      <c r="Q140" s="1646">
        <f t="shared" si="12"/>
        <v>1.83</v>
      </c>
      <c r="R140" s="1580">
        <v>2340000</v>
      </c>
      <c r="S140" s="1647">
        <f t="shared" si="13"/>
        <v>4282200</v>
      </c>
      <c r="T140" s="1142">
        <f t="shared" si="14"/>
        <v>116</v>
      </c>
      <c r="U140" s="1143">
        <f>IFERROR(INDEX('[26]CN BC'!$M$10:$M$276,MATCH(B140,'[26]CN BC'!$H$10:$H$276,0)),"")</f>
        <v>0</v>
      </c>
      <c r="V140" s="1144" t="str">
        <f>VLOOKUP(B140,TH.T4!B137:AC467,28,FALSE)</f>
        <v>KHCB</v>
      </c>
      <c r="W140" s="1130"/>
      <c r="X140" s="1146"/>
      <c r="Y140" s="1147"/>
      <c r="Z140" s="1146"/>
      <c r="AA140" s="1146"/>
      <c r="AB140" s="1146"/>
      <c r="AC140" s="1146"/>
      <c r="AD140" s="1146"/>
      <c r="AE140" s="1146"/>
    </row>
    <row r="141" spans="1:35" s="1148" customFormat="1" ht="30" customHeight="1">
      <c r="A141" s="1132">
        <f>_xlfn.AGGREGATE(4,7,A$24:A140)+1</f>
        <v>117</v>
      </c>
      <c r="B141" s="1133" t="s">
        <v>1489</v>
      </c>
      <c r="C141" s="1153" t="s">
        <v>1709</v>
      </c>
      <c r="D141" s="1150" t="s">
        <v>1424</v>
      </c>
      <c r="E141" s="1058" t="str">
        <f>VLOOKUP(B141,TH.Q2!B42:E373,4,FALSE)</f>
        <v>Giảng viên khoa KHCB</v>
      </c>
      <c r="F141" s="1160">
        <v>3.33</v>
      </c>
      <c r="G141" s="1137"/>
      <c r="H141" s="1393">
        <f t="shared" si="7"/>
        <v>0</v>
      </c>
      <c r="I141" s="1138"/>
      <c r="J141" s="1138" t="str">
        <f>VLOOKUP(B141,'[25]Gui chi Quynh'!$B$11:$E$396,4,FALSE)</f>
        <v>A4</v>
      </c>
      <c r="K141" s="1138">
        <f t="shared" si="8"/>
        <v>0.5</v>
      </c>
      <c r="L141" s="1139">
        <v>20</v>
      </c>
      <c r="M141" s="1139">
        <f>VLOOKUP(B141,'[26]CN BC'!$H$10:$J$275,3,FALSE)</f>
        <v>21</v>
      </c>
      <c r="N141" s="1139">
        <f t="shared" si="9"/>
        <v>20</v>
      </c>
      <c r="O141" s="1140"/>
      <c r="P141" s="1141">
        <f t="shared" si="10"/>
        <v>3896100</v>
      </c>
      <c r="Q141" s="1646">
        <f t="shared" si="12"/>
        <v>1.665</v>
      </c>
      <c r="R141" s="1580">
        <v>2340000</v>
      </c>
      <c r="S141" s="1647">
        <f t="shared" si="13"/>
        <v>3896100</v>
      </c>
      <c r="T141" s="1142">
        <f t="shared" si="14"/>
        <v>117</v>
      </c>
      <c r="U141" s="1143">
        <f>IFERROR(INDEX('[26]CN BC'!$M$10:$M$276,MATCH(B141,'[26]CN BC'!$H$10:$H$276,0)),"")</f>
        <v>0</v>
      </c>
      <c r="V141" s="1144" t="str">
        <f>VLOOKUP(B141,TH.T4!B138:AC468,28,FALSE)</f>
        <v>KHCB</v>
      </c>
      <c r="W141" s="1130"/>
      <c r="X141" s="1146"/>
      <c r="Y141" s="1147"/>
      <c r="Z141" s="1146"/>
      <c r="AA141" s="1146"/>
      <c r="AB141" s="1146"/>
      <c r="AC141" s="1146"/>
      <c r="AD141" s="1146"/>
      <c r="AE141" s="1146"/>
    </row>
    <row r="142" spans="1:35" s="1148" customFormat="1" ht="27.75" customHeight="1">
      <c r="A142" s="1132">
        <f>_xlfn.AGGREGATE(4,7,A$24:A141)+1</f>
        <v>118</v>
      </c>
      <c r="B142" s="1133" t="s">
        <v>1490</v>
      </c>
      <c r="C142" s="1153" t="s">
        <v>1710</v>
      </c>
      <c r="D142" s="1150" t="s">
        <v>1425</v>
      </c>
      <c r="E142" s="1058" t="str">
        <f>VLOOKUP(B142,TH.Q2!B43:E374,4,FALSE)</f>
        <v>Giảng viên khoa KHCB</v>
      </c>
      <c r="F142" s="1160">
        <v>3.33</v>
      </c>
      <c r="G142" s="1137"/>
      <c r="H142" s="1393">
        <f t="shared" si="7"/>
        <v>0</v>
      </c>
      <c r="I142" s="1138"/>
      <c r="J142" s="1138" t="str">
        <f>VLOOKUP(B142,'[25]Gui chi Quynh'!$B$11:$E$396,4,FALSE)</f>
        <v>A4</v>
      </c>
      <c r="K142" s="1138">
        <f t="shared" si="8"/>
        <v>0.5</v>
      </c>
      <c r="L142" s="1139">
        <v>20</v>
      </c>
      <c r="M142" s="1139">
        <f>VLOOKUP(B142,'[26]CN BC'!$H$10:$J$275,3,FALSE)</f>
        <v>21</v>
      </c>
      <c r="N142" s="1139">
        <f t="shared" si="9"/>
        <v>20</v>
      </c>
      <c r="O142" s="1140"/>
      <c r="P142" s="1141">
        <f t="shared" si="10"/>
        <v>3896100</v>
      </c>
      <c r="Q142" s="1646">
        <f t="shared" si="12"/>
        <v>1.665</v>
      </c>
      <c r="R142" s="1580">
        <v>2340000</v>
      </c>
      <c r="S142" s="1647">
        <f t="shared" si="13"/>
        <v>3896100</v>
      </c>
      <c r="T142" s="1142">
        <f t="shared" si="14"/>
        <v>118</v>
      </c>
      <c r="U142" s="1143">
        <f>IFERROR(INDEX('[26]CN BC'!$M$10:$M$276,MATCH(B142,'[26]CN BC'!$H$10:$H$276,0)),"")</f>
        <v>0</v>
      </c>
      <c r="V142" s="1189" t="str">
        <f>VLOOKUP(B142,TH.T4!B139:AC469,28,FALSE)</f>
        <v>KHCB</v>
      </c>
      <c r="W142" s="1171"/>
      <c r="Y142" s="1158"/>
    </row>
    <row r="143" spans="1:35" s="1148" customFormat="1" ht="30" customHeight="1">
      <c r="A143" s="1132">
        <f>_xlfn.AGGREGATE(4,7,A$24:A142)+1</f>
        <v>119</v>
      </c>
      <c r="B143" s="1133" t="s">
        <v>1873</v>
      </c>
      <c r="C143" s="1153" t="s">
        <v>1711</v>
      </c>
      <c r="D143" s="1154" t="s">
        <v>1322</v>
      </c>
      <c r="E143" s="383" t="str">
        <f>VLOOKUP(B143,TH.Q2!B44:E375,4,FALSE)</f>
        <v>Giảng viên Khoa KHCB</v>
      </c>
      <c r="F143" s="1160">
        <v>4.32</v>
      </c>
      <c r="G143" s="1137"/>
      <c r="H143" s="1400">
        <f t="shared" si="7"/>
        <v>0</v>
      </c>
      <c r="I143" s="1138">
        <f>0.25</f>
        <v>0.25</v>
      </c>
      <c r="J143" s="1138" t="str">
        <f>VLOOKUP(B143,'[25]Gui chi Quynh'!$B$11:$E$396,4,FALSE)</f>
        <v>A2</v>
      </c>
      <c r="K143" s="1138">
        <f t="shared" si="8"/>
        <v>0.7</v>
      </c>
      <c r="L143" s="1139">
        <v>20</v>
      </c>
      <c r="M143" s="1139">
        <f>VLOOKUP(B143,'[26]CN BC'!$H$10:$J$275,3,FALSE)</f>
        <v>20</v>
      </c>
      <c r="N143" s="1139">
        <f t="shared" si="9"/>
        <v>20</v>
      </c>
      <c r="O143" s="1155"/>
      <c r="P143" s="1141">
        <f t="shared" si="10"/>
        <v>7485659.9999999991</v>
      </c>
      <c r="Q143" s="1646">
        <f t="shared" si="12"/>
        <v>3.1989999999999994</v>
      </c>
      <c r="R143" s="1580">
        <v>2340000</v>
      </c>
      <c r="S143" s="1647">
        <f t="shared" si="13"/>
        <v>7485659.9999999981</v>
      </c>
      <c r="T143" s="1142">
        <f t="shared" si="14"/>
        <v>119</v>
      </c>
      <c r="U143" s="1143">
        <f>IFERROR(INDEX('[26]CN BC'!$M$10:$M$276,MATCH(B143,'[26]CN BC'!$H$10:$H$276,0)),"")</f>
        <v>0</v>
      </c>
      <c r="V143" s="1189" t="str">
        <f>VLOOKUP(B143,TH.T4!B140:AC470,28,FALSE)</f>
        <v>KHCB</v>
      </c>
      <c r="W143" s="1171"/>
      <c r="Y143" s="1158"/>
    </row>
    <row r="144" spans="1:35" s="1148" customFormat="1" ht="30" customHeight="1">
      <c r="A144" s="1132">
        <f>_xlfn.AGGREGATE(4,7,A$24:A143)+1</f>
        <v>120</v>
      </c>
      <c r="B144" s="1133" t="s">
        <v>1491</v>
      </c>
      <c r="C144" s="1153" t="s">
        <v>1712</v>
      </c>
      <c r="D144" s="1154" t="s">
        <v>1323</v>
      </c>
      <c r="E144" s="1058" t="str">
        <f>VLOOKUP(B144,TH.Q2!B45:E376,4,FALSE)</f>
        <v>Giảng viên khoa KHCB</v>
      </c>
      <c r="F144" s="1160">
        <v>4.32</v>
      </c>
      <c r="G144" s="1137"/>
      <c r="H144" s="1393">
        <f t="shared" si="7"/>
        <v>0</v>
      </c>
      <c r="I144" s="1138"/>
      <c r="J144" s="1138" t="str">
        <f>VLOOKUP(B144,'[25]Gui chi Quynh'!$B$11:$E$396,4,FALSE)</f>
        <v>A3</v>
      </c>
      <c r="K144" s="1138">
        <f t="shared" si="8"/>
        <v>0.6</v>
      </c>
      <c r="L144" s="1139">
        <v>20</v>
      </c>
      <c r="M144" s="1139">
        <f>VLOOKUP(B144,'[26]CN BC'!$H$10:$J$275,3,FALSE)</f>
        <v>21</v>
      </c>
      <c r="N144" s="1139">
        <f t="shared" si="9"/>
        <v>20</v>
      </c>
      <c r="O144" s="1140"/>
      <c r="P144" s="1141">
        <f t="shared" si="10"/>
        <v>6065280</v>
      </c>
      <c r="Q144" s="1646">
        <f t="shared" si="12"/>
        <v>2.5920000000000001</v>
      </c>
      <c r="R144" s="1580">
        <v>2340000</v>
      </c>
      <c r="S144" s="1647">
        <f t="shared" si="13"/>
        <v>6065280</v>
      </c>
      <c r="T144" s="1142">
        <f t="shared" si="14"/>
        <v>120</v>
      </c>
      <c r="U144" s="1143">
        <f>IFERROR(INDEX('[26]CN BC'!$M$10:$M$276,MATCH(B144,'[26]CN BC'!$H$10:$H$276,0)),"")</f>
        <v>0</v>
      </c>
      <c r="V144" s="1144" t="str">
        <f>VLOOKUP(B144,TH.T4!B141:AC471,28,FALSE)</f>
        <v>KHCB</v>
      </c>
      <c r="W144" s="1130"/>
      <c r="X144" s="1146"/>
      <c r="Y144" s="1147"/>
      <c r="Z144" s="1146"/>
      <c r="AA144" s="1146"/>
      <c r="AB144" s="1146"/>
      <c r="AC144" s="1146"/>
      <c r="AD144" s="1146"/>
      <c r="AE144" s="1146"/>
    </row>
    <row r="145" spans="1:35" s="1148" customFormat="1" ht="30" customHeight="1">
      <c r="A145" s="1132">
        <f>_xlfn.AGGREGATE(4,7,A$24:A144)+1</f>
        <v>121</v>
      </c>
      <c r="B145" s="1133" t="s">
        <v>845</v>
      </c>
      <c r="C145" s="1153" t="s">
        <v>1713</v>
      </c>
      <c r="D145" s="1154" t="s">
        <v>1324</v>
      </c>
      <c r="E145" s="1058" t="str">
        <f>VLOOKUP(B145,TH.Q2!B46:E377,4,FALSE)</f>
        <v>Giảng viên khoa KHCB</v>
      </c>
      <c r="F145" s="1160">
        <v>3.99</v>
      </c>
      <c r="G145" s="1137"/>
      <c r="H145" s="1393">
        <f t="shared" si="7"/>
        <v>0</v>
      </c>
      <c r="I145" s="1138"/>
      <c r="J145" s="1138" t="str">
        <f>VLOOKUP(B145,'[25]Gui chi Quynh'!$B$11:$E$396,4,FALSE)</f>
        <v>A1</v>
      </c>
      <c r="K145" s="1138">
        <f t="shared" si="8"/>
        <v>0.8</v>
      </c>
      <c r="L145" s="1139">
        <v>20</v>
      </c>
      <c r="M145" s="1139">
        <f>VLOOKUP(B145,'[26]CN BC'!$H$10:$J$275,3,FALSE)</f>
        <v>20</v>
      </c>
      <c r="N145" s="1139">
        <f t="shared" si="9"/>
        <v>20</v>
      </c>
      <c r="O145" s="1140"/>
      <c r="P145" s="1141">
        <f t="shared" si="10"/>
        <v>7469280</v>
      </c>
      <c r="Q145" s="1646">
        <f t="shared" si="12"/>
        <v>3.1920000000000002</v>
      </c>
      <c r="R145" s="1580">
        <v>2340000</v>
      </c>
      <c r="S145" s="1647">
        <f t="shared" si="13"/>
        <v>7469280</v>
      </c>
      <c r="T145" s="1142">
        <f t="shared" si="14"/>
        <v>121</v>
      </c>
      <c r="U145" s="1143">
        <f>IFERROR(INDEX('[26]CN BC'!$M$10:$M$276,MATCH(B145,'[26]CN BC'!$H$10:$H$276,0)),"")</f>
        <v>0</v>
      </c>
      <c r="V145" s="1144" t="str">
        <f>VLOOKUP(B145,TH.T4!B142:AC472,28,FALSE)</f>
        <v>KHCB</v>
      </c>
      <c r="W145" s="1130"/>
      <c r="X145" s="1146"/>
      <c r="Y145" s="1147"/>
      <c r="Z145" s="1146"/>
      <c r="AA145" s="1146"/>
      <c r="AB145" s="1146"/>
      <c r="AC145" s="1146"/>
      <c r="AD145" s="1146"/>
      <c r="AE145" s="1146"/>
    </row>
    <row r="146" spans="1:35" s="1148" customFormat="1" ht="31.5" customHeight="1">
      <c r="A146" s="1132">
        <f>_xlfn.AGGREGATE(4,7,A$24:A145)+1</f>
        <v>122</v>
      </c>
      <c r="B146" s="1133" t="s">
        <v>1492</v>
      </c>
      <c r="C146" s="1149" t="s">
        <v>1714</v>
      </c>
      <c r="D146" s="1212" t="s">
        <v>1938</v>
      </c>
      <c r="E146" s="1058" t="str">
        <f>VLOOKUP(B146,TH.Q2!B47:E378,4,FALSE)</f>
        <v>Giảng viên khoa KHCB</v>
      </c>
      <c r="F146" s="1160">
        <v>3.99</v>
      </c>
      <c r="G146" s="1137"/>
      <c r="H146" s="1393">
        <f t="shared" si="7"/>
        <v>0</v>
      </c>
      <c r="I146" s="1138"/>
      <c r="J146" s="1138" t="str">
        <f>VLOOKUP(B146,'[25]Gui chi Quynh'!$B$11:$E$396,4,FALSE)</f>
        <v>A1</v>
      </c>
      <c r="K146" s="1138">
        <f t="shared" si="8"/>
        <v>0.8</v>
      </c>
      <c r="L146" s="1139">
        <v>20</v>
      </c>
      <c r="M146" s="1139">
        <f>VLOOKUP(B146,'[26]CN BC'!$H$10:$J$275,3,FALSE)</f>
        <v>21</v>
      </c>
      <c r="N146" s="1139">
        <f t="shared" si="9"/>
        <v>20</v>
      </c>
      <c r="O146" s="1140"/>
      <c r="P146" s="1141">
        <f t="shared" si="10"/>
        <v>7469280</v>
      </c>
      <c r="Q146" s="1646">
        <f t="shared" si="12"/>
        <v>3.1920000000000002</v>
      </c>
      <c r="R146" s="1580">
        <v>2340000</v>
      </c>
      <c r="S146" s="1647">
        <f t="shared" si="13"/>
        <v>7469280</v>
      </c>
      <c r="T146" s="1142">
        <f t="shared" si="14"/>
        <v>122</v>
      </c>
      <c r="U146" s="1143">
        <f>IFERROR(INDEX('[26]CN BC'!$M$10:$M$276,MATCH(B146,'[26]CN BC'!$H$10:$H$276,0)),"")</f>
        <v>0</v>
      </c>
      <c r="V146" s="1144" t="str">
        <f>VLOOKUP(B146,TH.T4!B143:AC473,28,FALSE)</f>
        <v>KHCB</v>
      </c>
      <c r="W146" s="1130"/>
      <c r="X146" s="1146"/>
      <c r="Y146" s="1147"/>
      <c r="Z146" s="1146"/>
      <c r="AA146" s="1146"/>
      <c r="AB146" s="1146"/>
      <c r="AC146" s="1146"/>
      <c r="AD146" s="1146"/>
      <c r="AE146" s="1146"/>
      <c r="AF146" s="1146"/>
      <c r="AG146" s="1146"/>
      <c r="AH146" s="1146"/>
      <c r="AI146" s="1146"/>
    </row>
    <row r="147" spans="1:35" s="1148" customFormat="1" ht="31.5" customHeight="1">
      <c r="A147" s="1132">
        <f>_xlfn.AGGREGATE(4,7,A$24:A146)+1</f>
        <v>123</v>
      </c>
      <c r="B147" s="1133" t="s">
        <v>1558</v>
      </c>
      <c r="C147" s="1153" t="s">
        <v>1715</v>
      </c>
      <c r="D147" s="1154" t="s">
        <v>21</v>
      </c>
      <c r="E147" s="1058" t="str">
        <f>VLOOKUP(B147,TH.Q2!B48:E379,4,FALSE)</f>
        <v>Giảng viên khoa KHCB</v>
      </c>
      <c r="F147" s="1160">
        <v>4.32</v>
      </c>
      <c r="G147" s="1137"/>
      <c r="H147" s="1393">
        <f t="shared" si="7"/>
        <v>0</v>
      </c>
      <c r="I147" s="1138"/>
      <c r="J147" s="1138" t="str">
        <f>VLOOKUP(B147,'[25]Gui chi Quynh'!$B$11:$E$396,4,FALSE)</f>
        <v>A3</v>
      </c>
      <c r="K147" s="1138">
        <f t="shared" si="8"/>
        <v>0.6</v>
      </c>
      <c r="L147" s="1139">
        <v>20</v>
      </c>
      <c r="M147" s="1139">
        <f>VLOOKUP(B147,'[26]CN BC'!$H$10:$J$275,3,FALSE)</f>
        <v>21</v>
      </c>
      <c r="N147" s="1139">
        <f t="shared" si="9"/>
        <v>20</v>
      </c>
      <c r="O147" s="1140"/>
      <c r="P147" s="1141">
        <f t="shared" si="10"/>
        <v>6065280</v>
      </c>
      <c r="Q147" s="1646">
        <f t="shared" si="12"/>
        <v>2.5920000000000001</v>
      </c>
      <c r="R147" s="1580">
        <v>2340000</v>
      </c>
      <c r="S147" s="1647">
        <f t="shared" si="13"/>
        <v>6065280</v>
      </c>
      <c r="T147" s="1142">
        <f t="shared" si="14"/>
        <v>123</v>
      </c>
      <c r="U147" s="1143">
        <f>IFERROR(INDEX('[26]CN BC'!$M$10:$M$276,MATCH(B147,'[26]CN BC'!$H$10:$H$276,0)),"")</f>
        <v>0</v>
      </c>
      <c r="V147" s="1144" t="str">
        <f>VLOOKUP(B147,TH.T4!B144:AC474,28,FALSE)</f>
        <v>KHCB</v>
      </c>
      <c r="W147" s="1130"/>
      <c r="X147" s="1146"/>
      <c r="Y147" s="1147"/>
      <c r="Z147" s="1146"/>
      <c r="AA147" s="1146"/>
      <c r="AB147" s="1146"/>
      <c r="AC147" s="1146"/>
      <c r="AD147" s="1146"/>
      <c r="AE147" s="1146"/>
    </row>
    <row r="148" spans="1:35" s="1148" customFormat="1" ht="31.5" customHeight="1">
      <c r="A148" s="1132">
        <f>_xlfn.AGGREGATE(4,7,A$24:A147)+1</f>
        <v>124</v>
      </c>
      <c r="B148" s="1133" t="s">
        <v>1493</v>
      </c>
      <c r="C148" s="1153" t="s">
        <v>1716</v>
      </c>
      <c r="D148" s="1154" t="s">
        <v>1330</v>
      </c>
      <c r="E148" s="1058" t="str">
        <f>VLOOKUP(B148,TH.Q2!B49:E380,4,FALSE)</f>
        <v>Giảng viên khoa Ngoại ngữ</v>
      </c>
      <c r="F148" s="1136">
        <v>4.6500000000000004</v>
      </c>
      <c r="G148" s="1137"/>
      <c r="H148" s="1393">
        <f t="shared" si="7"/>
        <v>0</v>
      </c>
      <c r="I148" s="1138"/>
      <c r="J148" s="1138" t="str">
        <f>VLOOKUP(B148,'[25]Gui chi Quynh'!$B$11:$E$396,4,FALSE)</f>
        <v>A3</v>
      </c>
      <c r="K148" s="1138">
        <f t="shared" si="8"/>
        <v>0.6</v>
      </c>
      <c r="L148" s="1139">
        <v>20</v>
      </c>
      <c r="M148" s="1139">
        <f>VLOOKUP(B148,'[26]CN BC'!$H$10:$J$275,3,FALSE)</f>
        <v>20</v>
      </c>
      <c r="N148" s="1139">
        <f t="shared" si="9"/>
        <v>20</v>
      </c>
      <c r="O148" s="1140"/>
      <c r="P148" s="1141">
        <f t="shared" si="10"/>
        <v>6528600</v>
      </c>
      <c r="Q148" s="1646">
        <f t="shared" si="12"/>
        <v>2.79</v>
      </c>
      <c r="R148" s="1580">
        <v>2340000</v>
      </c>
      <c r="S148" s="1647">
        <f t="shared" si="13"/>
        <v>6528600</v>
      </c>
      <c r="T148" s="1142">
        <f t="shared" si="14"/>
        <v>124</v>
      </c>
      <c r="U148" s="1143">
        <f>IFERROR(INDEX('[26]CN BC'!$M$10:$M$276,MATCH(B148,'[26]CN BC'!$H$10:$H$276,0)),"")</f>
        <v>0</v>
      </c>
      <c r="V148" s="1144" t="str">
        <f>VLOOKUP(B148,TH.T4!B145:AC475,28,FALSE)</f>
        <v>NN</v>
      </c>
      <c r="W148" s="1130"/>
      <c r="X148" s="1146"/>
      <c r="Y148" s="1147"/>
    </row>
    <row r="149" spans="1:35" s="1148" customFormat="1" ht="31.5" customHeight="1">
      <c r="A149" s="1132">
        <f>_xlfn.AGGREGATE(4,7,A$24:A148)+1</f>
        <v>125</v>
      </c>
      <c r="B149" s="1133" t="s">
        <v>1874</v>
      </c>
      <c r="C149" s="1153" t="s">
        <v>1717</v>
      </c>
      <c r="D149" s="1154" t="s">
        <v>1331</v>
      </c>
      <c r="E149" s="1058" t="str">
        <f>VLOOKUP(B149,TH.Q2!B50:E381,4,FALSE)</f>
        <v>Giảng viên khoa Ngoại ngữ</v>
      </c>
      <c r="F149" s="1136">
        <v>4.6500000000000004</v>
      </c>
      <c r="G149" s="1137"/>
      <c r="H149" s="1393">
        <f t="shared" si="7"/>
        <v>0</v>
      </c>
      <c r="I149" s="1138"/>
      <c r="J149" s="1138" t="str">
        <f>VLOOKUP(B149,'[25]Gui chi Quynh'!$B$11:$E$396,4,FALSE)</f>
        <v>A3</v>
      </c>
      <c r="K149" s="1138">
        <f t="shared" si="8"/>
        <v>0.6</v>
      </c>
      <c r="L149" s="1139">
        <v>20</v>
      </c>
      <c r="M149" s="1139">
        <f>VLOOKUP(B149,'[26]CN BC'!$H$10:$J$275,3,FALSE)</f>
        <v>20</v>
      </c>
      <c r="N149" s="1139">
        <f t="shared" si="9"/>
        <v>20</v>
      </c>
      <c r="O149" s="1140"/>
      <c r="P149" s="1141">
        <f t="shared" si="10"/>
        <v>6528600</v>
      </c>
      <c r="Q149" s="1646">
        <f t="shared" si="12"/>
        <v>2.79</v>
      </c>
      <c r="R149" s="1580">
        <v>2340000</v>
      </c>
      <c r="S149" s="1647">
        <f t="shared" si="13"/>
        <v>6528600</v>
      </c>
      <c r="T149" s="1142">
        <f t="shared" si="14"/>
        <v>125</v>
      </c>
      <c r="U149" s="1143">
        <f>IFERROR(INDEX('[26]CN BC'!$M$10:$M$276,MATCH(B149,'[26]CN BC'!$H$10:$H$276,0)),"")</f>
        <v>0</v>
      </c>
      <c r="V149" s="1144" t="str">
        <f>VLOOKUP(B149,TH.T4!B146:AC476,28,FALSE)</f>
        <v>NN</v>
      </c>
      <c r="W149" s="1130"/>
      <c r="X149" s="1146"/>
      <c r="Y149" s="1147"/>
      <c r="Z149" s="1146"/>
      <c r="AA149" s="1146"/>
      <c r="AB149" s="1146"/>
      <c r="AC149" s="1146"/>
      <c r="AD149" s="1146"/>
      <c r="AE149" s="1146"/>
    </row>
    <row r="150" spans="1:35" s="1148" customFormat="1" ht="31.5" customHeight="1">
      <c r="A150" s="1132">
        <f>_xlfn.AGGREGATE(4,7,A$24:A149)+1</f>
        <v>126</v>
      </c>
      <c r="B150" s="1133" t="s">
        <v>1875</v>
      </c>
      <c r="C150" s="1153" t="s">
        <v>1718</v>
      </c>
      <c r="D150" s="1154" t="s">
        <v>1332</v>
      </c>
      <c r="E150" s="1058" t="str">
        <f>VLOOKUP(B150,TH.Q2!B51:E382,4,FALSE)</f>
        <v>Giảng viên khoa Ngoại ngữ</v>
      </c>
      <c r="F150" s="1136">
        <v>4.6500000000000004</v>
      </c>
      <c r="G150" s="1137"/>
      <c r="H150" s="1393">
        <f t="shared" si="7"/>
        <v>0</v>
      </c>
      <c r="I150" s="1138"/>
      <c r="J150" s="1138" t="str">
        <f>VLOOKUP(B150,'[25]Gui chi Quynh'!$B$11:$E$396,4,FALSE)</f>
        <v>A4</v>
      </c>
      <c r="K150" s="1138">
        <f t="shared" si="8"/>
        <v>0.5</v>
      </c>
      <c r="L150" s="1139">
        <v>20</v>
      </c>
      <c r="M150" s="1139">
        <f>VLOOKUP(B150,'[26]CN BC'!$H$10:$J$275,3,FALSE)</f>
        <v>20</v>
      </c>
      <c r="N150" s="1139">
        <f t="shared" si="9"/>
        <v>20</v>
      </c>
      <c r="O150" s="1140"/>
      <c r="P150" s="1141">
        <f t="shared" si="10"/>
        <v>5440500</v>
      </c>
      <c r="Q150" s="1646">
        <f t="shared" si="12"/>
        <v>2.3250000000000002</v>
      </c>
      <c r="R150" s="1580">
        <v>2340000</v>
      </c>
      <c r="S150" s="1647">
        <f t="shared" si="13"/>
        <v>5440500</v>
      </c>
      <c r="T150" s="1142">
        <f t="shared" si="14"/>
        <v>126</v>
      </c>
      <c r="U150" s="1143">
        <f>IFERROR(INDEX('[26]CN BC'!$M$10:$M$276,MATCH(B150,'[26]CN BC'!$H$10:$H$276,0)),"")</f>
        <v>0</v>
      </c>
      <c r="V150" s="1144" t="str">
        <f>VLOOKUP(B150,TH.T4!B147:AC477,28,FALSE)</f>
        <v>NN</v>
      </c>
      <c r="W150" s="1130"/>
      <c r="X150" s="1146"/>
      <c r="Y150" s="1147"/>
    </row>
    <row r="151" spans="1:35" s="1148" customFormat="1" ht="31.5" customHeight="1">
      <c r="A151" s="1132">
        <f>_xlfn.AGGREGATE(4,7,A$24:A150)+1</f>
        <v>127</v>
      </c>
      <c r="B151" s="1133" t="s">
        <v>1494</v>
      </c>
      <c r="C151" s="1153" t="s">
        <v>1719</v>
      </c>
      <c r="D151" s="1154" t="s">
        <v>1333</v>
      </c>
      <c r="E151" s="1058" t="str">
        <f>VLOOKUP(B151,TH.Q2!B52:E383,4,FALSE)</f>
        <v>Giảng viên khoa Ngoại ngữ</v>
      </c>
      <c r="F151" s="1160">
        <v>3.99</v>
      </c>
      <c r="G151" s="1137"/>
      <c r="H151" s="1393">
        <f t="shared" si="7"/>
        <v>0</v>
      </c>
      <c r="I151" s="1138"/>
      <c r="J151" s="1138" t="str">
        <f>VLOOKUP(B151,'[25]Gui chi Quynh'!$B$11:$E$396,4,FALSE)</f>
        <v>A3</v>
      </c>
      <c r="K151" s="1138">
        <f t="shared" si="8"/>
        <v>0.6</v>
      </c>
      <c r="L151" s="1139">
        <v>20</v>
      </c>
      <c r="M151" s="1139">
        <f>VLOOKUP(B151,'[26]CN BC'!$H$10:$J$275,3,FALSE)</f>
        <v>20</v>
      </c>
      <c r="N151" s="1139">
        <f t="shared" si="9"/>
        <v>20</v>
      </c>
      <c r="O151" s="1140"/>
      <c r="P151" s="1141">
        <f t="shared" si="10"/>
        <v>5601960</v>
      </c>
      <c r="Q151" s="1646">
        <f t="shared" si="12"/>
        <v>2.3940000000000001</v>
      </c>
      <c r="R151" s="1580">
        <v>2340000</v>
      </c>
      <c r="S151" s="1647">
        <f t="shared" si="13"/>
        <v>5601960</v>
      </c>
      <c r="T151" s="1142">
        <f t="shared" si="14"/>
        <v>127</v>
      </c>
      <c r="U151" s="1143">
        <f>IFERROR(INDEX('[26]CN BC'!$M$10:$M$276,MATCH(B151,'[26]CN BC'!$H$10:$H$276,0)),"")</f>
        <v>0</v>
      </c>
      <c r="V151" s="1144" t="str">
        <f>VLOOKUP(B151,TH.T4!B148:AC478,28,FALSE)</f>
        <v>NN</v>
      </c>
      <c r="W151" s="1130"/>
      <c r="X151" s="1146"/>
      <c r="Y151" s="1147"/>
      <c r="Z151" s="1146"/>
      <c r="AA151" s="1146"/>
      <c r="AB151" s="1146"/>
      <c r="AC151" s="1146"/>
      <c r="AD151" s="1146"/>
      <c r="AE151" s="1146"/>
    </row>
    <row r="152" spans="1:35" s="1148" customFormat="1" ht="31.5" customHeight="1">
      <c r="A152" s="1132">
        <f>_xlfn.AGGREGATE(4,7,A$24:A151)+1</f>
        <v>128</v>
      </c>
      <c r="B152" s="1133" t="s">
        <v>1495</v>
      </c>
      <c r="C152" s="1153" t="s">
        <v>1720</v>
      </c>
      <c r="D152" s="1154" t="s">
        <v>1335</v>
      </c>
      <c r="E152" s="1058" t="str">
        <f>VLOOKUP(B152,TH.Q2!B53:E384,4,FALSE)</f>
        <v>Giảng viên khoa Ngoại ngữ</v>
      </c>
      <c r="F152" s="1136">
        <v>4.9800000000000004</v>
      </c>
      <c r="G152" s="1137"/>
      <c r="H152" s="1393">
        <f t="shared" si="7"/>
        <v>0</v>
      </c>
      <c r="I152" s="1138"/>
      <c r="J152" s="1138" t="str">
        <f>VLOOKUP(B152,'[25]Gui chi Quynh'!$B$11:$E$396,4,FALSE)</f>
        <v>A3</v>
      </c>
      <c r="K152" s="1138">
        <f t="shared" si="8"/>
        <v>0.6</v>
      </c>
      <c r="L152" s="1139">
        <v>20</v>
      </c>
      <c r="M152" s="1139">
        <f>VLOOKUP(B152,'[26]CN BC'!$H$10:$J$275,3,FALSE)</f>
        <v>20</v>
      </c>
      <c r="N152" s="1139">
        <f t="shared" si="9"/>
        <v>20</v>
      </c>
      <c r="O152" s="1140"/>
      <c r="P152" s="1141">
        <f t="shared" si="10"/>
        <v>6991920.0000000009</v>
      </c>
      <c r="Q152" s="1646">
        <f t="shared" si="12"/>
        <v>2.9880000000000004</v>
      </c>
      <c r="R152" s="1580">
        <v>2340000</v>
      </c>
      <c r="S152" s="1647">
        <f t="shared" si="13"/>
        <v>6991920.0000000009</v>
      </c>
      <c r="T152" s="1142">
        <f t="shared" si="14"/>
        <v>128</v>
      </c>
      <c r="U152" s="1143">
        <f>IFERROR(INDEX('[26]CN BC'!$M$10:$M$276,MATCH(B152,'[26]CN BC'!$H$10:$H$276,0)),"")</f>
        <v>0</v>
      </c>
      <c r="V152" s="1144" t="str">
        <f>VLOOKUP(B152,TH.T4!B149:AC479,28,FALSE)</f>
        <v>NN</v>
      </c>
      <c r="W152" s="1130"/>
      <c r="X152" s="1146"/>
      <c r="Y152" s="1147"/>
      <c r="Z152" s="1146"/>
      <c r="AA152" s="1146"/>
      <c r="AB152" s="1146"/>
      <c r="AC152" s="1146"/>
      <c r="AD152" s="1146"/>
      <c r="AE152" s="1146"/>
    </row>
    <row r="153" spans="1:35" s="1148" customFormat="1" ht="31.5" customHeight="1">
      <c r="A153" s="1132">
        <f>_xlfn.AGGREGATE(4,7,A$24:A152)+1</f>
        <v>129</v>
      </c>
      <c r="B153" s="1133" t="s">
        <v>1876</v>
      </c>
      <c r="C153" s="1153" t="s">
        <v>1721</v>
      </c>
      <c r="D153" s="1154" t="s">
        <v>504</v>
      </c>
      <c r="E153" s="1058" t="str">
        <f>VLOOKUP(B153,TH.Q2!B54:E385,4,FALSE)</f>
        <v>Giảng viên khoa Ngoại ngữ</v>
      </c>
      <c r="F153" s="1160">
        <v>3.99</v>
      </c>
      <c r="G153" s="1137"/>
      <c r="H153" s="1393">
        <f t="shared" si="7"/>
        <v>0</v>
      </c>
      <c r="I153" s="1138"/>
      <c r="J153" s="1138" t="str">
        <f>VLOOKUP(B153,'[25]Gui chi Quynh'!$B$11:$E$396,4,FALSE)</f>
        <v>A3</v>
      </c>
      <c r="K153" s="1138">
        <f t="shared" si="8"/>
        <v>0.6</v>
      </c>
      <c r="L153" s="1139">
        <v>20</v>
      </c>
      <c r="M153" s="1139">
        <f>VLOOKUP(B153,'[26]CN BC'!$H$10:$J$275,3,FALSE)</f>
        <v>20</v>
      </c>
      <c r="N153" s="1139">
        <f t="shared" ref="N153:N216" si="15">IF(M153&gt;=L153,L153,IF(M153&lt;L153,M153))</f>
        <v>20</v>
      </c>
      <c r="O153" s="1140"/>
      <c r="P153" s="1141">
        <f t="shared" ref="P153:P216" si="16">(((F153+H153+I153)*$P$21/L153*N153)*K153)+O153</f>
        <v>5601960</v>
      </c>
      <c r="Q153" s="1646">
        <f t="shared" si="12"/>
        <v>2.3940000000000001</v>
      </c>
      <c r="R153" s="1580">
        <v>2340000</v>
      </c>
      <c r="S153" s="1647">
        <f t="shared" si="13"/>
        <v>5601960</v>
      </c>
      <c r="T153" s="1142">
        <f t="shared" si="14"/>
        <v>129</v>
      </c>
      <c r="U153" s="1143">
        <f>IFERROR(INDEX('[26]CN BC'!$M$10:$M$276,MATCH(B153,'[26]CN BC'!$H$10:$H$276,0)),"")</f>
        <v>0</v>
      </c>
      <c r="V153" s="1144" t="str">
        <f>VLOOKUP(B153,TH.T4!B150:AC480,28,FALSE)</f>
        <v>NN</v>
      </c>
      <c r="W153" s="1130"/>
      <c r="X153" s="1146"/>
      <c r="Y153" s="1147"/>
      <c r="Z153" s="1146"/>
      <c r="AA153" s="1146"/>
      <c r="AB153" s="1146"/>
      <c r="AC153" s="1146"/>
      <c r="AD153" s="1146"/>
      <c r="AE153" s="1146"/>
    </row>
    <row r="154" spans="1:35" s="1148" customFormat="1" ht="31.5" customHeight="1">
      <c r="A154" s="1132">
        <f>_xlfn.AGGREGATE(4,7,A$24:A153)+1</f>
        <v>130</v>
      </c>
      <c r="B154" s="1133" t="s">
        <v>1496</v>
      </c>
      <c r="C154" s="1153" t="s">
        <v>1722</v>
      </c>
      <c r="D154" s="1150" t="s">
        <v>1589</v>
      </c>
      <c r="E154" s="1058" t="str">
        <f>VLOOKUP(B154,TH.Q2!B55:E386,4,FALSE)</f>
        <v>Giảng viên khoa Ngoại ngữ</v>
      </c>
      <c r="F154" s="1160">
        <v>3.33</v>
      </c>
      <c r="G154" s="1137"/>
      <c r="H154" s="1393">
        <f t="shared" ref="H154:H217" si="17">ROUND(F154*G154,3)</f>
        <v>0</v>
      </c>
      <c r="I154" s="1138">
        <v>0.45</v>
      </c>
      <c r="J154" s="1138" t="str">
        <f>VLOOKUP(B154,'[25]Gui chi Quynh'!$B$11:$E$396,4,FALSE)</f>
        <v>A2</v>
      </c>
      <c r="K154" s="1138">
        <f t="shared" ref="K154:K217" si="18">IF(J154="A1",0.8,IF(J154="A2",0.7,IF(J154="A3",0.6,IF(J154="A4",0.5,IF(J154="B1",0.35,IF(J154="B2",0.25,IF(J154="C1",0.15,IF(J154="C2",0.1,0))))))))</f>
        <v>0.7</v>
      </c>
      <c r="L154" s="1139">
        <v>20</v>
      </c>
      <c r="M154" s="1139">
        <f>VLOOKUP(B154,'[26]CN BC'!$H$10:$J$275,3,FALSE)</f>
        <v>20</v>
      </c>
      <c r="N154" s="1139">
        <f t="shared" si="15"/>
        <v>20</v>
      </c>
      <c r="O154" s="1140"/>
      <c r="P154" s="1141">
        <f t="shared" si="16"/>
        <v>6191640</v>
      </c>
      <c r="Q154" s="1646">
        <f t="shared" ref="Q154:Q217" si="19">P154/R154</f>
        <v>2.6459999999999999</v>
      </c>
      <c r="R154" s="1580">
        <v>2340000</v>
      </c>
      <c r="S154" s="1647">
        <f t="shared" ref="S154:S217" si="20">Q154*R154</f>
        <v>6191640</v>
      </c>
      <c r="T154" s="1142">
        <f t="shared" si="14"/>
        <v>130</v>
      </c>
      <c r="U154" s="1143">
        <f>IFERROR(INDEX('[26]CN BC'!$M$10:$M$276,MATCH(B154,'[26]CN BC'!$H$10:$H$276,0)),"")</f>
        <v>0</v>
      </c>
      <c r="V154" s="1144" t="str">
        <f>VLOOKUP(B154,TH.T4!B151:AC481,28,FALSE)</f>
        <v>NN</v>
      </c>
      <c r="W154" s="1130"/>
      <c r="X154" s="1146"/>
      <c r="Y154" s="1147"/>
      <c r="Z154" s="1146"/>
      <c r="AA154" s="1146"/>
      <c r="AB154" s="1146"/>
      <c r="AC154" s="1146"/>
      <c r="AD154" s="1146"/>
      <c r="AE154" s="1146"/>
    </row>
    <row r="155" spans="1:35" s="1148" customFormat="1" ht="31.5" customHeight="1">
      <c r="A155" s="1132">
        <f>_xlfn.AGGREGATE(4,7,A$24:A154)+1</f>
        <v>131</v>
      </c>
      <c r="B155" s="1133" t="s">
        <v>1497</v>
      </c>
      <c r="C155" s="1153" t="s">
        <v>1723</v>
      </c>
      <c r="D155" s="1150" t="s">
        <v>1590</v>
      </c>
      <c r="E155" s="1058" t="str">
        <f>VLOOKUP(B155,TH.Q2!B56:E387,4,FALSE)</f>
        <v>Giảng viên khoa Ngoại ngữ</v>
      </c>
      <c r="F155" s="1160">
        <v>3</v>
      </c>
      <c r="G155" s="1137"/>
      <c r="H155" s="1393">
        <f t="shared" si="17"/>
        <v>0</v>
      </c>
      <c r="I155" s="1138"/>
      <c r="J155" s="1138" t="str">
        <f>VLOOKUP(B155,'[25]Gui chi Quynh'!$B$11:$E$396,4,FALSE)</f>
        <v>A4</v>
      </c>
      <c r="K155" s="1138">
        <f t="shared" si="18"/>
        <v>0.5</v>
      </c>
      <c r="L155" s="1139">
        <v>20</v>
      </c>
      <c r="M155" s="1139">
        <f>VLOOKUP(B155,'[26]CN BC'!$H$10:$J$275,3,FALSE)</f>
        <v>20</v>
      </c>
      <c r="N155" s="1139">
        <f t="shared" si="15"/>
        <v>20</v>
      </c>
      <c r="O155" s="1140"/>
      <c r="P155" s="1141">
        <f t="shared" si="16"/>
        <v>3510000</v>
      </c>
      <c r="Q155" s="1646">
        <f t="shared" si="19"/>
        <v>1.5</v>
      </c>
      <c r="R155" s="1580">
        <v>2340000</v>
      </c>
      <c r="S155" s="1647">
        <f t="shared" si="20"/>
        <v>3510000</v>
      </c>
      <c r="T155" s="1142">
        <f t="shared" si="14"/>
        <v>131</v>
      </c>
      <c r="U155" s="1143">
        <f>IFERROR(INDEX('[26]CN BC'!$M$10:$M$276,MATCH(B155,'[26]CN BC'!$H$10:$H$276,0)),"")</f>
        <v>0</v>
      </c>
      <c r="V155" s="1144" t="str">
        <f>VLOOKUP(B155,TH.T4!B152:AC482,28,FALSE)</f>
        <v>NN</v>
      </c>
      <c r="W155" s="1130"/>
      <c r="X155" s="1146"/>
      <c r="Y155" s="1147"/>
      <c r="Z155" s="1146"/>
      <c r="AA155" s="1146"/>
      <c r="AB155" s="1146"/>
      <c r="AC155" s="1146"/>
      <c r="AD155" s="1146"/>
      <c r="AE155" s="1146"/>
    </row>
    <row r="156" spans="1:35" s="1148" customFormat="1" ht="31.5" customHeight="1">
      <c r="A156" s="1132">
        <f>_xlfn.AGGREGATE(4,7,A$24:A155)+1</f>
        <v>132</v>
      </c>
      <c r="B156" s="1133" t="s">
        <v>1929</v>
      </c>
      <c r="C156" s="1153" t="s">
        <v>1964</v>
      </c>
      <c r="D156" s="1188" t="s">
        <v>1932</v>
      </c>
      <c r="E156" s="1058" t="str">
        <f>VLOOKUP(B156,TH.Q2!B57:E388,4,FALSE)</f>
        <v>Giảng viên khoa Ngoại ngữ</v>
      </c>
      <c r="F156" s="1136">
        <v>2.67</v>
      </c>
      <c r="G156" s="1137"/>
      <c r="H156" s="1393">
        <f t="shared" si="17"/>
        <v>0</v>
      </c>
      <c r="I156" s="1138"/>
      <c r="J156" s="1138" t="str">
        <f>VLOOKUP(B156,'[25]Gui chi Quynh'!$B$11:$E$396,4,FALSE)</f>
        <v>A4</v>
      </c>
      <c r="K156" s="1138">
        <f t="shared" si="18"/>
        <v>0.5</v>
      </c>
      <c r="L156" s="1139">
        <v>20</v>
      </c>
      <c r="M156" s="1139">
        <f>VLOOKUP(B156,'[26]CN BC'!$H$10:$J$275,3,FALSE)</f>
        <v>20</v>
      </c>
      <c r="N156" s="1139">
        <f t="shared" si="15"/>
        <v>20</v>
      </c>
      <c r="O156" s="1140"/>
      <c r="P156" s="1141">
        <f t="shared" si="16"/>
        <v>3123900</v>
      </c>
      <c r="Q156" s="1646">
        <f t="shared" si="19"/>
        <v>1.335</v>
      </c>
      <c r="R156" s="1580">
        <v>2340000</v>
      </c>
      <c r="S156" s="1647">
        <f t="shared" si="20"/>
        <v>3123900</v>
      </c>
      <c r="T156" s="1142">
        <f t="shared" si="14"/>
        <v>132</v>
      </c>
      <c r="U156" s="1143">
        <f>IFERROR(INDEX('[26]CN BC'!$M$10:$M$276,MATCH(B156,'[26]CN BC'!$H$10:$H$276,0)),"")</f>
        <v>0</v>
      </c>
      <c r="V156" s="1144" t="str">
        <f>VLOOKUP(B156,TH.T4!B153:AC483,28,FALSE)</f>
        <v>NN</v>
      </c>
      <c r="W156" s="1130"/>
      <c r="X156" s="1146"/>
      <c r="Y156" s="1147"/>
      <c r="Z156" s="1146"/>
      <c r="AA156" s="1146"/>
      <c r="AB156" s="1146"/>
      <c r="AC156" s="1146"/>
      <c r="AD156" s="1146"/>
      <c r="AE156" s="1146"/>
    </row>
    <row r="157" spans="1:35" s="1148" customFormat="1" ht="28.5" customHeight="1">
      <c r="A157" s="1132">
        <f>_xlfn.AGGREGATE(4,7,A$24:A156)+1</f>
        <v>133</v>
      </c>
      <c r="B157" s="1133" t="s">
        <v>1498</v>
      </c>
      <c r="C157" s="1153" t="s">
        <v>1724</v>
      </c>
      <c r="D157" s="1150" t="s">
        <v>1591</v>
      </c>
      <c r="E157" s="1058" t="str">
        <f>VLOOKUP(B157,TH.Q2!B58:E389,4,FALSE)</f>
        <v>Giảng viên khoa Ngoại ngữ</v>
      </c>
      <c r="F157" s="1160">
        <v>3</v>
      </c>
      <c r="G157" s="1137"/>
      <c r="H157" s="1393">
        <f t="shared" si="17"/>
        <v>0</v>
      </c>
      <c r="I157" s="1138"/>
      <c r="J157" s="1138" t="str">
        <f>VLOOKUP(B157,'[25]Gui chi Quynh'!$B$11:$E$396,4,FALSE)</f>
        <v>A3</v>
      </c>
      <c r="K157" s="1138">
        <f t="shared" si="18"/>
        <v>0.6</v>
      </c>
      <c r="L157" s="1139">
        <v>20</v>
      </c>
      <c r="M157" s="1139">
        <f>VLOOKUP(B157,'[26]CN BC'!$H$10:$J$275,3,FALSE)</f>
        <v>20</v>
      </c>
      <c r="N157" s="1139">
        <f t="shared" si="15"/>
        <v>20</v>
      </c>
      <c r="O157" s="1140"/>
      <c r="P157" s="1141">
        <f t="shared" si="16"/>
        <v>4212000</v>
      </c>
      <c r="Q157" s="1646">
        <f t="shared" si="19"/>
        <v>1.8</v>
      </c>
      <c r="R157" s="1580">
        <v>2340000</v>
      </c>
      <c r="S157" s="1647">
        <f t="shared" si="20"/>
        <v>4212000</v>
      </c>
      <c r="T157" s="1142">
        <f t="shared" si="14"/>
        <v>133</v>
      </c>
      <c r="U157" s="1143">
        <f>IFERROR(INDEX('[26]CN BC'!$M$10:$M$276,MATCH(B157,'[26]CN BC'!$H$10:$H$276,0)),"")</f>
        <v>0</v>
      </c>
      <c r="V157" s="1144" t="str">
        <f>VLOOKUP(B157,TH.T4!B154:AC484,28,FALSE)</f>
        <v>NN</v>
      </c>
      <c r="W157" s="1130"/>
      <c r="X157" s="1146"/>
      <c r="Y157" s="1158"/>
    </row>
    <row r="158" spans="1:35" s="1148" customFormat="1" ht="43.5" customHeight="1">
      <c r="A158" s="1132">
        <f>_xlfn.AGGREGATE(4,7,A$24:A157)+1</f>
        <v>134</v>
      </c>
      <c r="B158" s="1133" t="s">
        <v>1925</v>
      </c>
      <c r="C158" s="1153" t="s">
        <v>1965</v>
      </c>
      <c r="D158" s="1213" t="s">
        <v>1930</v>
      </c>
      <c r="E158" s="1058" t="str">
        <f>VLOOKUP(B158,TH.Q2!B59:E390,4,FALSE)</f>
        <v>Giảng viên khoa Ngoại ngữ</v>
      </c>
      <c r="F158" s="1136">
        <v>2.67</v>
      </c>
      <c r="G158" s="1137"/>
      <c r="H158" s="1393">
        <f t="shared" si="17"/>
        <v>0</v>
      </c>
      <c r="I158" s="1138"/>
      <c r="J158" s="1138" t="str">
        <f>VLOOKUP(B158,'[25]Gui chi Quynh'!$B$11:$E$396,4,FALSE)</f>
        <v>A3</v>
      </c>
      <c r="K158" s="1138">
        <f t="shared" si="18"/>
        <v>0.6</v>
      </c>
      <c r="L158" s="1139">
        <v>20</v>
      </c>
      <c r="M158" s="1139">
        <f>VLOOKUP(B158,'[26]CN BC'!$H$10:$J$275,3,FALSE)</f>
        <v>20</v>
      </c>
      <c r="N158" s="1139">
        <f t="shared" si="15"/>
        <v>20</v>
      </c>
      <c r="O158" s="1140"/>
      <c r="P158" s="1141">
        <f t="shared" si="16"/>
        <v>3748680</v>
      </c>
      <c r="Q158" s="1646">
        <f t="shared" si="19"/>
        <v>1.6020000000000001</v>
      </c>
      <c r="R158" s="1580">
        <v>2340000</v>
      </c>
      <c r="S158" s="1647">
        <f t="shared" si="20"/>
        <v>3748680</v>
      </c>
      <c r="T158" s="1142">
        <f t="shared" si="14"/>
        <v>134</v>
      </c>
      <c r="U158" s="1143">
        <f>IFERROR(INDEX('[26]CN BC'!$M$10:$M$276,MATCH(B158,'[26]CN BC'!$H$10:$H$276,0)),"")</f>
        <v>0</v>
      </c>
      <c r="V158" s="1144" t="str">
        <f>VLOOKUP(B158,TH.T4!B155:AC485,28,FALSE)</f>
        <v>NN</v>
      </c>
      <c r="W158" s="1130"/>
      <c r="X158" s="1146"/>
      <c r="Y158" s="1158"/>
    </row>
    <row r="159" spans="1:35" s="1148" customFormat="1" ht="30.75" customHeight="1">
      <c r="A159" s="1132">
        <f>_xlfn.AGGREGATE(4,7,A$24:A158)+1</f>
        <v>135</v>
      </c>
      <c r="B159" s="1133" t="s">
        <v>2018</v>
      </c>
      <c r="C159" s="1153"/>
      <c r="D159" s="1213"/>
      <c r="E159" s="383" t="str">
        <f>VLOOKUP(B159,TH.Q2!B60:E391,4,FALSE)</f>
        <v>Giảng viên khoa Ngoại ngữ</v>
      </c>
      <c r="F159" s="1136">
        <v>1.9890000000000001</v>
      </c>
      <c r="G159" s="1137"/>
      <c r="H159" s="1400">
        <f t="shared" si="17"/>
        <v>0</v>
      </c>
      <c r="I159" s="1138"/>
      <c r="J159" s="1138" t="str">
        <f>VLOOKUP(B159,'[25]Gui chi Quynh'!$B$11:$E$396,4,FALSE)</f>
        <v>A3</v>
      </c>
      <c r="K159" s="1138">
        <f t="shared" si="18"/>
        <v>0.6</v>
      </c>
      <c r="L159" s="1139">
        <v>20</v>
      </c>
      <c r="M159" s="1139">
        <f>VLOOKUP(B159,'[26]CN BC'!$H$10:$J$275,3,FALSE)</f>
        <v>20</v>
      </c>
      <c r="N159" s="1139">
        <f t="shared" si="15"/>
        <v>20</v>
      </c>
      <c r="O159" s="1155"/>
      <c r="P159" s="1141">
        <f t="shared" si="16"/>
        <v>2792556</v>
      </c>
      <c r="Q159" s="1646">
        <f t="shared" si="19"/>
        <v>1.1934</v>
      </c>
      <c r="R159" s="1580">
        <v>2340000</v>
      </c>
      <c r="S159" s="1647">
        <f t="shared" si="20"/>
        <v>2792556</v>
      </c>
      <c r="T159" s="1142">
        <f t="shared" si="14"/>
        <v>135</v>
      </c>
      <c r="U159" s="1143">
        <f>IFERROR(INDEX('[26]CN BC'!$M$10:$M$276,MATCH(B159,'[26]CN BC'!$H$10:$H$276,0)),"")</f>
        <v>0</v>
      </c>
      <c r="V159" s="1189" t="str">
        <f>VLOOKUP(B159,TH.T4!B156:AC486,28,FALSE)</f>
        <v>NN</v>
      </c>
      <c r="W159" s="1171"/>
      <c r="Y159" s="1158"/>
    </row>
    <row r="160" spans="1:35" s="1148" customFormat="1" ht="30.75" customHeight="1">
      <c r="A160" s="1132">
        <f>_xlfn.AGGREGATE(4,7,A$24:A159)+1</f>
        <v>136</v>
      </c>
      <c r="B160" s="1133" t="s">
        <v>2024</v>
      </c>
      <c r="C160" s="1153"/>
      <c r="D160" s="1213"/>
      <c r="E160" s="1058" t="str">
        <f>VLOOKUP(B160,TH.Q2!B61:E392,4,FALSE)</f>
        <v>Giảng viên khoa Ngoại ngữ</v>
      </c>
      <c r="F160" s="1136">
        <v>1.9890000000000001</v>
      </c>
      <c r="G160" s="1137"/>
      <c r="H160" s="1393">
        <f t="shared" si="17"/>
        <v>0</v>
      </c>
      <c r="I160" s="1138"/>
      <c r="J160" s="1138" t="str">
        <f>VLOOKUP(B160,'[25]Gui chi Quynh'!$B$11:$E$396,4,FALSE)</f>
        <v>A3</v>
      </c>
      <c r="K160" s="1138">
        <f t="shared" si="18"/>
        <v>0.6</v>
      </c>
      <c r="L160" s="1139">
        <v>20</v>
      </c>
      <c r="M160" s="1139">
        <f>VLOOKUP(B160,'[26]CN BC'!$H$10:$J$275,3,FALSE)</f>
        <v>20</v>
      </c>
      <c r="N160" s="1139">
        <f t="shared" si="15"/>
        <v>20</v>
      </c>
      <c r="O160" s="1140"/>
      <c r="P160" s="1141">
        <f t="shared" si="16"/>
        <v>2792556</v>
      </c>
      <c r="Q160" s="1646">
        <f t="shared" si="19"/>
        <v>1.1934</v>
      </c>
      <c r="R160" s="1580">
        <v>2340000</v>
      </c>
      <c r="S160" s="1647">
        <f t="shared" si="20"/>
        <v>2792556</v>
      </c>
      <c r="T160" s="1142">
        <f t="shared" si="14"/>
        <v>136</v>
      </c>
      <c r="U160" s="1143">
        <f>IFERROR(INDEX('[26]CN BC'!$M$10:$M$276,MATCH(B160,'[26]CN BC'!$H$10:$H$276,0)),"")</f>
        <v>0</v>
      </c>
      <c r="V160" s="1144" t="str">
        <f>VLOOKUP(B160,TH.T4!B157:AC487,28,FALSE)</f>
        <v>NN</v>
      </c>
      <c r="W160" s="1171"/>
      <c r="Y160" s="1158"/>
    </row>
    <row r="161" spans="1:31" s="1148" customFormat="1" ht="30.75" customHeight="1">
      <c r="A161" s="1132">
        <f>_xlfn.AGGREGATE(4,7,A$24:A160)+1</f>
        <v>137</v>
      </c>
      <c r="B161" s="1133" t="s">
        <v>2006</v>
      </c>
      <c r="C161" s="1153"/>
      <c r="D161" s="1213"/>
      <c r="E161" s="1058" t="str">
        <f>VLOOKUP(B161,TH.Q2!B62:E393,4,FALSE)</f>
        <v>Giảng viên khoa Ngoại ngữ</v>
      </c>
      <c r="F161" s="1136">
        <v>2.34</v>
      </c>
      <c r="G161" s="1137"/>
      <c r="H161" s="1393">
        <f t="shared" si="17"/>
        <v>0</v>
      </c>
      <c r="I161" s="1138"/>
      <c r="J161" s="1138" t="str">
        <f>VLOOKUP(B161,'[25]Gui chi Quynh'!$B$11:$E$396,4,FALSE)</f>
        <v>A4</v>
      </c>
      <c r="K161" s="1138">
        <f t="shared" si="18"/>
        <v>0.5</v>
      </c>
      <c r="L161" s="1139">
        <v>20</v>
      </c>
      <c r="M161" s="1139">
        <f>VLOOKUP(B161,'[26]CN BC'!$H$10:$J$275,3,FALSE)</f>
        <v>10</v>
      </c>
      <c r="N161" s="1139">
        <f t="shared" si="15"/>
        <v>10</v>
      </c>
      <c r="O161" s="1140"/>
      <c r="P161" s="1141">
        <f t="shared" si="16"/>
        <v>1368900</v>
      </c>
      <c r="Q161" s="1646">
        <f t="shared" si="19"/>
        <v>0.58499999999999996</v>
      </c>
      <c r="R161" s="1580">
        <v>2340000</v>
      </c>
      <c r="S161" s="1647">
        <f t="shared" si="20"/>
        <v>1368900</v>
      </c>
      <c r="T161" s="1142">
        <f t="shared" si="14"/>
        <v>137</v>
      </c>
      <c r="U161" s="1143" t="str">
        <f>IFERROR(INDEX('[26]CN BC'!$M$10:$M$276,MATCH(B161,'[26]CN BC'!$H$10:$H$276,0)),"")</f>
        <v>Nghỉ hộ sản hưởng chế độ BHXH từ 18/11/2024</v>
      </c>
      <c r="V161" s="1144" t="str">
        <f>VLOOKUP(B161,TH.T4!B158:AC488,28,FALSE)</f>
        <v>NN</v>
      </c>
      <c r="W161" s="1171"/>
      <c r="Y161" s="1158"/>
    </row>
    <row r="162" spans="1:31" s="1148" customFormat="1" ht="27.75" customHeight="1">
      <c r="A162" s="1132">
        <f>_xlfn.AGGREGATE(4,7,A$24:A161)+1</f>
        <v>138</v>
      </c>
      <c r="B162" s="1133" t="s">
        <v>2345</v>
      </c>
      <c r="C162" s="1153"/>
      <c r="D162" s="1213"/>
      <c r="E162" s="383" t="str">
        <f>VLOOKUP(B162,TH.Q2!B63:E394,4,FALSE)</f>
        <v>Giảng viên khoa Ngoại ngữ</v>
      </c>
      <c r="F162" s="1136">
        <v>1.9890000000000001</v>
      </c>
      <c r="G162" s="1137"/>
      <c r="H162" s="1393">
        <f t="shared" si="17"/>
        <v>0</v>
      </c>
      <c r="I162" s="1138"/>
      <c r="J162" s="1138" t="str">
        <f>VLOOKUP(B162,'[25]Gui chi Quynh'!$B$11:$E$396,4,FALSE)</f>
        <v>A4</v>
      </c>
      <c r="K162" s="1138">
        <f t="shared" si="18"/>
        <v>0.5</v>
      </c>
      <c r="L162" s="1139">
        <v>20</v>
      </c>
      <c r="M162" s="1139">
        <f>VLOOKUP(B162,'[26]CN BC'!$H$10:$J$275,3,FALSE)</f>
        <v>20</v>
      </c>
      <c r="N162" s="1139">
        <f t="shared" si="15"/>
        <v>20</v>
      </c>
      <c r="O162" s="1155"/>
      <c r="P162" s="1141">
        <f>(((F162+H163+I162)*$P$21/L162*N162)*K162)+O162</f>
        <v>2327130</v>
      </c>
      <c r="Q162" s="1646">
        <f t="shared" si="19"/>
        <v>0.99450000000000005</v>
      </c>
      <c r="R162" s="1580">
        <v>2340000</v>
      </c>
      <c r="S162" s="1647">
        <f t="shared" si="20"/>
        <v>2327130</v>
      </c>
      <c r="T162" s="1142"/>
      <c r="U162" s="1143">
        <f>IFERROR(INDEX('[26]CN BC'!$M$10:$M$276,MATCH(B162,'[26]CN BC'!$H$10:$H$276,0)),"")</f>
        <v>0</v>
      </c>
      <c r="V162" s="1189"/>
      <c r="W162" s="1171"/>
      <c r="Y162" s="1158"/>
    </row>
    <row r="163" spans="1:31" s="1148" customFormat="1" ht="30.75" customHeight="1">
      <c r="A163" s="1132">
        <f>_xlfn.AGGREGATE(4,7,A$24:A162)+1</f>
        <v>139</v>
      </c>
      <c r="B163" s="1133" t="s">
        <v>2393</v>
      </c>
      <c r="C163" s="1153"/>
      <c r="D163" s="1213"/>
      <c r="E163" s="383" t="s">
        <v>2374</v>
      </c>
      <c r="F163" s="1136">
        <v>1.9890000000000001</v>
      </c>
      <c r="G163" s="1137"/>
      <c r="H163" s="1400">
        <f t="shared" si="17"/>
        <v>0</v>
      </c>
      <c r="I163" s="1138"/>
      <c r="J163" s="1138" t="str">
        <f>VLOOKUP(B163,'[25]Gui chi Quynh'!$B$11:$E$396,4,FALSE)</f>
        <v>A3</v>
      </c>
      <c r="K163" s="1138">
        <f t="shared" si="18"/>
        <v>0.6</v>
      </c>
      <c r="L163" s="1139">
        <v>20</v>
      </c>
      <c r="M163" s="1139">
        <f>VLOOKUP(B163,'[26]CN BC'!$H$10:$J$275,3,FALSE)</f>
        <v>20</v>
      </c>
      <c r="N163" s="1139">
        <f t="shared" si="15"/>
        <v>20</v>
      </c>
      <c r="O163" s="1155"/>
      <c r="P163" s="1141">
        <f>(((F163+H164+I163)*$P$21/L163*N163)*K163)+O163</f>
        <v>2792556</v>
      </c>
      <c r="Q163" s="1646">
        <f t="shared" si="19"/>
        <v>1.1934</v>
      </c>
      <c r="R163" s="1580">
        <v>2340000</v>
      </c>
      <c r="S163" s="1647">
        <f t="shared" si="20"/>
        <v>2792556</v>
      </c>
      <c r="T163" s="1142"/>
      <c r="U163" s="1630">
        <f>IFERROR(INDEX('[26]CN BC'!$M$10:$M$276,MATCH(B163,'[26]CN BC'!$H$10:$H$276,0)),"")</f>
        <v>0</v>
      </c>
      <c r="V163" s="1189"/>
      <c r="W163" s="1171"/>
      <c r="Y163" s="1158"/>
    </row>
    <row r="164" spans="1:31" s="1148" customFormat="1" ht="30" customHeight="1">
      <c r="A164" s="1132">
        <f>_xlfn.AGGREGATE(4,7,A$24:A163)+1</f>
        <v>140</v>
      </c>
      <c r="B164" s="1133" t="s">
        <v>1499</v>
      </c>
      <c r="C164" s="1153" t="s">
        <v>1725</v>
      </c>
      <c r="D164" s="1154" t="s">
        <v>378</v>
      </c>
      <c r="E164" s="1058" t="str">
        <f>VLOOKUP(B164,TH.Q2!B64:E395,4,FALSE)</f>
        <v>Phó Trưởng khoa LLCT</v>
      </c>
      <c r="F164" s="1160">
        <v>3.99</v>
      </c>
      <c r="G164" s="1222"/>
      <c r="H164" s="1393">
        <f t="shared" si="17"/>
        <v>0</v>
      </c>
      <c r="I164" s="1138">
        <v>0.35</v>
      </c>
      <c r="J164" s="1138" t="str">
        <f>VLOOKUP(B164,'[25]Gui chi Quynh'!$B$11:$E$396,4,FALSE)</f>
        <v>A4</v>
      </c>
      <c r="K164" s="1138">
        <f t="shared" si="18"/>
        <v>0.5</v>
      </c>
      <c r="L164" s="1139">
        <v>20</v>
      </c>
      <c r="M164" s="1139">
        <f>VLOOKUP(B164,'[26]CN BC'!$H$10:$J$275,3,FALSE)</f>
        <v>21</v>
      </c>
      <c r="N164" s="1139">
        <f t="shared" si="15"/>
        <v>20</v>
      </c>
      <c r="O164" s="1140"/>
      <c r="P164" s="1141">
        <f t="shared" si="16"/>
        <v>5077800</v>
      </c>
      <c r="Q164" s="1646">
        <f t="shared" si="19"/>
        <v>2.17</v>
      </c>
      <c r="R164" s="1580">
        <v>2340000</v>
      </c>
      <c r="S164" s="1647">
        <f t="shared" si="20"/>
        <v>5077800</v>
      </c>
      <c r="T164" s="1142">
        <f t="shared" ref="T164:T227" si="21">A164</f>
        <v>140</v>
      </c>
      <c r="U164" s="1143">
        <f>IFERROR(INDEX('[26]CN BC'!$M$10:$M$276,MATCH(B164,'[26]CN BC'!$H$10:$H$276,0)),"")</f>
        <v>0</v>
      </c>
      <c r="V164" s="1144" t="str">
        <f>VLOOKUP(B164,TH.T4!B159:AC489,28,FALSE)</f>
        <v>LLCT</v>
      </c>
      <c r="W164" s="1130"/>
      <c r="X164" s="1146"/>
      <c r="Y164" s="1158"/>
    </row>
    <row r="165" spans="1:31" s="1148" customFormat="1" ht="28.5" customHeight="1">
      <c r="A165" s="1132">
        <f>_xlfn.AGGREGATE(4,7,A$24:A164)+1</f>
        <v>141</v>
      </c>
      <c r="B165" s="1133" t="s">
        <v>843</v>
      </c>
      <c r="C165" s="1153" t="s">
        <v>1726</v>
      </c>
      <c r="D165" s="1154" t="s">
        <v>1316</v>
      </c>
      <c r="E165" s="383" t="str">
        <f>VLOOKUP(B165,TH.Q2!B65:E396,4,FALSE)</f>
        <v>Phó Trưởng khoa LLCT</v>
      </c>
      <c r="F165" s="1160">
        <v>4.32</v>
      </c>
      <c r="G165" s="1137"/>
      <c r="H165" s="1400">
        <f t="shared" si="17"/>
        <v>0</v>
      </c>
      <c r="I165" s="1138">
        <v>0.45</v>
      </c>
      <c r="J165" s="1138" t="str">
        <f>VLOOKUP(B165,'[25]Gui chi Quynh'!$B$11:$E$396,4,FALSE)</f>
        <v>A2</v>
      </c>
      <c r="K165" s="1138">
        <f t="shared" si="18"/>
        <v>0.7</v>
      </c>
      <c r="L165" s="1139">
        <v>20</v>
      </c>
      <c r="M165" s="1139">
        <f>VLOOKUP(B165,'[26]CN BC'!$H$10:$J$275,3,FALSE)</f>
        <v>21</v>
      </c>
      <c r="N165" s="1139">
        <f t="shared" si="15"/>
        <v>20</v>
      </c>
      <c r="O165" s="1155"/>
      <c r="P165" s="1141">
        <f t="shared" si="16"/>
        <v>7813260.0000000009</v>
      </c>
      <c r="Q165" s="1646">
        <f t="shared" si="19"/>
        <v>3.3390000000000004</v>
      </c>
      <c r="R165" s="1580">
        <v>2340000</v>
      </c>
      <c r="S165" s="1647">
        <f t="shared" si="20"/>
        <v>7813260.0000000009</v>
      </c>
      <c r="T165" s="1142">
        <f t="shared" si="21"/>
        <v>141</v>
      </c>
      <c r="U165" s="1143">
        <f>IFERROR(INDEX('[26]CN BC'!$M$10:$M$276,MATCH(B165,'[26]CN BC'!$H$10:$H$276,0)),"")</f>
        <v>0</v>
      </c>
      <c r="V165" s="1189" t="str">
        <f>VLOOKUP(B165,TH.T4!B160:AC490,28,FALSE)</f>
        <v>LLCT</v>
      </c>
      <c r="W165" s="1171"/>
      <c r="Y165" s="1158"/>
    </row>
    <row r="166" spans="1:31" s="1148" customFormat="1" ht="28.5" customHeight="1">
      <c r="A166" s="1132">
        <f>_xlfn.AGGREGATE(4,7,A$24:A165)+1</f>
        <v>142</v>
      </c>
      <c r="B166" s="1133" t="s">
        <v>846</v>
      </c>
      <c r="C166" s="1153" t="s">
        <v>1727</v>
      </c>
      <c r="D166" s="1154" t="s">
        <v>1317</v>
      </c>
      <c r="E166" s="383" t="str">
        <f>VLOOKUP(B166,TH.Q2!B66:E397,4,FALSE)</f>
        <v>Trưởng BM khoa LLCT</v>
      </c>
      <c r="F166" s="1160">
        <v>4.32</v>
      </c>
      <c r="G166" s="1137"/>
      <c r="H166" s="1400">
        <f t="shared" si="17"/>
        <v>0</v>
      </c>
      <c r="I166" s="1138">
        <v>0.25</v>
      </c>
      <c r="J166" s="1138" t="str">
        <f>VLOOKUP(B166,'[25]Gui chi Quynh'!$B$11:$E$396,4,FALSE)</f>
        <v>A3</v>
      </c>
      <c r="K166" s="1138">
        <f t="shared" si="18"/>
        <v>0.6</v>
      </c>
      <c r="L166" s="1139">
        <v>20</v>
      </c>
      <c r="M166" s="1139">
        <f>VLOOKUP(B166,'[26]CN BC'!$H$10:$J$275,3,FALSE)</f>
        <v>21</v>
      </c>
      <c r="N166" s="1139">
        <f t="shared" si="15"/>
        <v>20</v>
      </c>
      <c r="O166" s="1155"/>
      <c r="P166" s="1141">
        <f t="shared" si="16"/>
        <v>6416280</v>
      </c>
      <c r="Q166" s="1646">
        <f t="shared" si="19"/>
        <v>2.742</v>
      </c>
      <c r="R166" s="1580">
        <v>2340000</v>
      </c>
      <c r="S166" s="1647">
        <f t="shared" si="20"/>
        <v>6416280</v>
      </c>
      <c r="T166" s="1142">
        <f t="shared" si="21"/>
        <v>142</v>
      </c>
      <c r="U166" s="1143">
        <f>IFERROR(INDEX('[26]CN BC'!$M$10:$M$276,MATCH(B166,'[26]CN BC'!$H$10:$H$276,0)),"")</f>
        <v>0</v>
      </c>
      <c r="V166" s="1189" t="str">
        <f>VLOOKUP(B166,TH.T4!B161:AC491,28,FALSE)</f>
        <v>LLCT</v>
      </c>
      <c r="W166" s="1171"/>
      <c r="Y166" s="1158"/>
    </row>
    <row r="167" spans="1:31" s="1148" customFormat="1" ht="33" customHeight="1">
      <c r="A167" s="1132">
        <f>_xlfn.AGGREGATE(4,7,A$24:A166)+1</f>
        <v>143</v>
      </c>
      <c r="B167" s="1133" t="s">
        <v>1500</v>
      </c>
      <c r="C167" s="1153" t="s">
        <v>1728</v>
      </c>
      <c r="D167" s="1154" t="s">
        <v>377</v>
      </c>
      <c r="E167" s="1058" t="str">
        <f>VLOOKUP(B167,TH.Q2!B67:E398,4,FALSE)</f>
        <v>Giảng viên khoa LLCT</v>
      </c>
      <c r="F167" s="1160">
        <v>3.99</v>
      </c>
      <c r="G167" s="1137"/>
      <c r="H167" s="1393">
        <f t="shared" si="17"/>
        <v>0</v>
      </c>
      <c r="I167" s="1138"/>
      <c r="J167" s="1138" t="str">
        <f>VLOOKUP(B167,'[25]Gui chi Quynh'!$B$11:$E$396,4,FALSE)</f>
        <v>A3</v>
      </c>
      <c r="K167" s="1138">
        <f t="shared" si="18"/>
        <v>0.6</v>
      </c>
      <c r="L167" s="1139">
        <v>20</v>
      </c>
      <c r="M167" s="1139">
        <f>VLOOKUP(B167,'[26]CN BC'!$H$10:$J$275,3,FALSE)</f>
        <v>21</v>
      </c>
      <c r="N167" s="1139">
        <f t="shared" si="15"/>
        <v>20</v>
      </c>
      <c r="O167" s="1140"/>
      <c r="P167" s="1141">
        <f t="shared" si="16"/>
        <v>5601960</v>
      </c>
      <c r="Q167" s="1646">
        <f t="shared" si="19"/>
        <v>2.3940000000000001</v>
      </c>
      <c r="R167" s="1580">
        <v>2340000</v>
      </c>
      <c r="S167" s="1647">
        <f t="shared" si="20"/>
        <v>5601960</v>
      </c>
      <c r="T167" s="1142">
        <f t="shared" si="21"/>
        <v>143</v>
      </c>
      <c r="U167" s="1143">
        <f>IFERROR(INDEX('[26]CN BC'!$M$10:$M$276,MATCH(B167,'[26]CN BC'!$H$10:$H$276,0)),"")</f>
        <v>0</v>
      </c>
      <c r="V167" s="1144" t="str">
        <f>VLOOKUP(B167,TH.T4!B162:AC492,28,FALSE)</f>
        <v>LLCT</v>
      </c>
      <c r="W167" s="1171"/>
      <c r="Y167" s="1158"/>
    </row>
    <row r="168" spans="1:31" s="1148" customFormat="1" ht="30.75" customHeight="1">
      <c r="A168" s="1132">
        <f>_xlfn.AGGREGATE(4,7,A$24:A167)+1</f>
        <v>144</v>
      </c>
      <c r="B168" s="1133" t="s">
        <v>1877</v>
      </c>
      <c r="C168" s="1153" t="s">
        <v>1729</v>
      </c>
      <c r="D168" s="1154" t="s">
        <v>1320</v>
      </c>
      <c r="E168" s="1058" t="str">
        <f>VLOOKUP(B168,TH.Q2!B68:E399,4,FALSE)</f>
        <v>Giảng viên khoa LLCT</v>
      </c>
      <c r="F168" s="1136">
        <v>4.6500000000000004</v>
      </c>
      <c r="G168" s="1137"/>
      <c r="H168" s="1393">
        <f t="shared" si="17"/>
        <v>0</v>
      </c>
      <c r="I168" s="1138"/>
      <c r="J168" s="1138" t="str">
        <f>VLOOKUP(B168,'[25]Gui chi Quynh'!$B$11:$E$396,4,FALSE)</f>
        <v>A3</v>
      </c>
      <c r="K168" s="1138">
        <f t="shared" si="18"/>
        <v>0.6</v>
      </c>
      <c r="L168" s="1139">
        <v>20</v>
      </c>
      <c r="M168" s="1139">
        <f>VLOOKUP(B168,'[26]CN BC'!$H$10:$J$275,3,FALSE)</f>
        <v>21</v>
      </c>
      <c r="N168" s="1139">
        <f t="shared" si="15"/>
        <v>20</v>
      </c>
      <c r="O168" s="1140"/>
      <c r="P168" s="1141">
        <f t="shared" si="16"/>
        <v>6528600</v>
      </c>
      <c r="Q168" s="1646">
        <f t="shared" si="19"/>
        <v>2.79</v>
      </c>
      <c r="R168" s="1580">
        <v>2340000</v>
      </c>
      <c r="S168" s="1647">
        <f t="shared" si="20"/>
        <v>6528600</v>
      </c>
      <c r="T168" s="1142">
        <f t="shared" si="21"/>
        <v>144</v>
      </c>
      <c r="U168" s="1143">
        <f>IFERROR(INDEX('[26]CN BC'!$M$10:$M$276,MATCH(B168,'[26]CN BC'!$H$10:$H$276,0)),"")</f>
        <v>0</v>
      </c>
      <c r="V168" s="1144" t="str">
        <f>VLOOKUP(B168,TH.T4!B163:AC493,28,FALSE)</f>
        <v>LLCT</v>
      </c>
      <c r="W168" s="1171"/>
      <c r="Y168" s="1158"/>
    </row>
    <row r="169" spans="1:31" s="1148" customFormat="1" ht="28.5" customHeight="1">
      <c r="A169" s="1132">
        <f>_xlfn.AGGREGATE(4,7,A$24:A168)+1</f>
        <v>145</v>
      </c>
      <c r="B169" s="1133" t="s">
        <v>1501</v>
      </c>
      <c r="C169" s="1153" t="s">
        <v>1730</v>
      </c>
      <c r="D169" s="1150" t="s">
        <v>314</v>
      </c>
      <c r="E169" s="383" t="str">
        <f>VLOOKUP(B169,TH.Q2!B69:E400,4,FALSE)</f>
        <v>Giảng viên khoa LLCT</v>
      </c>
      <c r="F169" s="1160">
        <v>3.99</v>
      </c>
      <c r="G169" s="1137"/>
      <c r="H169" s="1400">
        <f t="shared" si="17"/>
        <v>0</v>
      </c>
      <c r="I169" s="1138"/>
      <c r="J169" s="1138" t="str">
        <f>VLOOKUP(B169,'[25]Gui chi Quynh'!$B$11:$E$396,4,FALSE)</f>
        <v>A4</v>
      </c>
      <c r="K169" s="1138">
        <f t="shared" si="18"/>
        <v>0.5</v>
      </c>
      <c r="L169" s="1139">
        <v>20</v>
      </c>
      <c r="M169" s="1139">
        <f>VLOOKUP(B169,'[26]CN BC'!$H$10:$J$275,3,FALSE)</f>
        <v>20</v>
      </c>
      <c r="N169" s="1139">
        <f t="shared" si="15"/>
        <v>20</v>
      </c>
      <c r="O169" s="1155"/>
      <c r="P169" s="1141">
        <f t="shared" si="16"/>
        <v>4668300</v>
      </c>
      <c r="Q169" s="1646">
        <f t="shared" si="19"/>
        <v>1.9950000000000001</v>
      </c>
      <c r="R169" s="1580">
        <v>2340000</v>
      </c>
      <c r="S169" s="1647">
        <f t="shared" si="20"/>
        <v>4668300</v>
      </c>
      <c r="T169" s="1142">
        <f t="shared" si="21"/>
        <v>145</v>
      </c>
      <c r="U169" s="1143">
        <f>IFERROR(INDEX('[26]CN BC'!$M$10:$M$276,MATCH(B169,'[26]CN BC'!$H$10:$H$276,0)),"")</f>
        <v>0</v>
      </c>
      <c r="V169" s="1189" t="str">
        <f>VLOOKUP(B169,TH.T4!B164:AC494,28,FALSE)</f>
        <v>LLCT</v>
      </c>
      <c r="W169" s="1171"/>
      <c r="Y169" s="1158"/>
    </row>
    <row r="170" spans="1:31" s="1148" customFormat="1" ht="28.5" customHeight="1">
      <c r="A170" s="1132">
        <f>_xlfn.AGGREGATE(4,7,A$24:A169)+1</f>
        <v>146</v>
      </c>
      <c r="B170" s="1133" t="s">
        <v>1878</v>
      </c>
      <c r="C170" s="1153" t="s">
        <v>1731</v>
      </c>
      <c r="D170" s="1154" t="s">
        <v>1314</v>
      </c>
      <c r="E170" s="383" t="str">
        <f>VLOOKUP(B170,TH.Q2!B70:E401,4,FALSE)</f>
        <v>Giảng viên khoa LLCT</v>
      </c>
      <c r="F170" s="1136">
        <v>4.6500000000000004</v>
      </c>
      <c r="G170" s="1137"/>
      <c r="H170" s="1400">
        <f t="shared" si="17"/>
        <v>0</v>
      </c>
      <c r="I170" s="1138"/>
      <c r="J170" s="1138" t="str">
        <f>VLOOKUP(B170,'[25]Gui chi Quynh'!$B$11:$E$396,4,FALSE)</f>
        <v>A4</v>
      </c>
      <c r="K170" s="1138">
        <f t="shared" si="18"/>
        <v>0.5</v>
      </c>
      <c r="L170" s="1139">
        <v>20</v>
      </c>
      <c r="M170" s="1139">
        <f>VLOOKUP(B170,'[26]CN BC'!$H$10:$J$275,3,FALSE)</f>
        <v>20</v>
      </c>
      <c r="N170" s="1139">
        <f t="shared" si="15"/>
        <v>20</v>
      </c>
      <c r="O170" s="1155"/>
      <c r="P170" s="1141">
        <f t="shared" si="16"/>
        <v>5440500</v>
      </c>
      <c r="Q170" s="1646">
        <f t="shared" si="19"/>
        <v>2.3250000000000002</v>
      </c>
      <c r="R170" s="1580">
        <v>2340000</v>
      </c>
      <c r="S170" s="1647">
        <f t="shared" si="20"/>
        <v>5440500</v>
      </c>
      <c r="T170" s="1142">
        <f t="shared" si="21"/>
        <v>146</v>
      </c>
      <c r="U170" s="1143">
        <f>IFERROR(INDEX('[26]CN BC'!$M$10:$M$276,MATCH(B170,'[26]CN BC'!$H$10:$H$276,0)),"")</f>
        <v>0</v>
      </c>
      <c r="V170" s="1189" t="str">
        <f>VLOOKUP(B170,TH.T4!B165:AC495,28,FALSE)</f>
        <v>LLCT</v>
      </c>
      <c r="W170" s="1171"/>
      <c r="Y170" s="1158"/>
    </row>
    <row r="171" spans="1:31" s="1148" customFormat="1" ht="28.5" customHeight="1">
      <c r="A171" s="1132">
        <f>_xlfn.AGGREGATE(4,7,A$24:A170)+1</f>
        <v>147</v>
      </c>
      <c r="B171" s="1133" t="s">
        <v>1879</v>
      </c>
      <c r="C171" s="1153" t="s">
        <v>1732</v>
      </c>
      <c r="D171" s="1154" t="s">
        <v>1315</v>
      </c>
      <c r="E171" s="1058" t="str">
        <f>VLOOKUP(B171,TH.Q2!B71:E402,4,FALSE)</f>
        <v>Giảng viên khoa LLCT</v>
      </c>
      <c r="F171" s="1160">
        <v>4.32</v>
      </c>
      <c r="G171" s="1137"/>
      <c r="H171" s="1393">
        <f t="shared" si="17"/>
        <v>0</v>
      </c>
      <c r="I171" s="1138"/>
      <c r="J171" s="1138" t="str">
        <f>VLOOKUP(B171,'[25]Gui chi Quynh'!$B$11:$E$396,4,FALSE)</f>
        <v>A3</v>
      </c>
      <c r="K171" s="1138">
        <f t="shared" si="18"/>
        <v>0.6</v>
      </c>
      <c r="L171" s="1139">
        <v>20</v>
      </c>
      <c r="M171" s="1139">
        <f>VLOOKUP(B171,'[26]CN BC'!$H$10:$J$275,3,FALSE)</f>
        <v>21</v>
      </c>
      <c r="N171" s="1139">
        <f t="shared" si="15"/>
        <v>20</v>
      </c>
      <c r="O171" s="1140"/>
      <c r="P171" s="1141">
        <f t="shared" si="16"/>
        <v>6065280</v>
      </c>
      <c r="Q171" s="1646">
        <f t="shared" si="19"/>
        <v>2.5920000000000001</v>
      </c>
      <c r="R171" s="1580">
        <v>2340000</v>
      </c>
      <c r="S171" s="1647">
        <f t="shared" si="20"/>
        <v>6065280</v>
      </c>
      <c r="T171" s="1142">
        <f t="shared" si="21"/>
        <v>147</v>
      </c>
      <c r="U171" s="1143">
        <f>IFERROR(INDEX('[26]CN BC'!$M$10:$M$276,MATCH(B171,'[26]CN BC'!$H$10:$H$276,0)),"")</f>
        <v>0</v>
      </c>
      <c r="V171" s="1144" t="str">
        <f>VLOOKUP(B171,TH.T4!B166:AC496,28,FALSE)</f>
        <v>LLCT</v>
      </c>
      <c r="W171" s="1130"/>
      <c r="X171" s="1146"/>
      <c r="Y171" s="1147"/>
      <c r="Z171" s="1146"/>
      <c r="AA171" s="1146"/>
      <c r="AB171" s="1146"/>
      <c r="AC171" s="1146"/>
      <c r="AD171" s="1146"/>
      <c r="AE171" s="1146"/>
    </row>
    <row r="172" spans="1:31" s="1148" customFormat="1" ht="28.5" customHeight="1">
      <c r="A172" s="1132">
        <f>_xlfn.AGGREGATE(4,7,A$24:A171)+1</f>
        <v>148</v>
      </c>
      <c r="B172" s="1133" t="s">
        <v>1502</v>
      </c>
      <c r="C172" s="1153" t="s">
        <v>1733</v>
      </c>
      <c r="D172" s="1154" t="s">
        <v>1318</v>
      </c>
      <c r="E172" s="383" t="str">
        <f>VLOOKUP(B172,TH.Q2!B72:E403,4,FALSE)</f>
        <v>Giảng viên khoa LLCT</v>
      </c>
      <c r="F172" s="1160">
        <v>3.99</v>
      </c>
      <c r="G172" s="1137"/>
      <c r="H172" s="1400">
        <f t="shared" si="17"/>
        <v>0</v>
      </c>
      <c r="I172" s="1138"/>
      <c r="J172" s="1138" t="str">
        <f>VLOOKUP(B172,'[25]Gui chi Quynh'!$B$11:$E$396,4,FALSE)</f>
        <v>A2</v>
      </c>
      <c r="K172" s="1138">
        <f t="shared" si="18"/>
        <v>0.7</v>
      </c>
      <c r="L172" s="1139">
        <v>20</v>
      </c>
      <c r="M172" s="1139">
        <f>VLOOKUP(B172,'[26]CN BC'!$H$10:$J$275,3,FALSE)</f>
        <v>21</v>
      </c>
      <c r="N172" s="1139">
        <f t="shared" si="15"/>
        <v>20</v>
      </c>
      <c r="O172" s="1155"/>
      <c r="P172" s="1141">
        <f t="shared" si="16"/>
        <v>6535620</v>
      </c>
      <c r="Q172" s="1646">
        <f t="shared" si="19"/>
        <v>2.7930000000000001</v>
      </c>
      <c r="R172" s="1580">
        <v>2340000</v>
      </c>
      <c r="S172" s="1647">
        <f t="shared" si="20"/>
        <v>6535620</v>
      </c>
      <c r="T172" s="1142">
        <f t="shared" si="21"/>
        <v>148</v>
      </c>
      <c r="U172" s="1143">
        <f>IFERROR(INDEX('[26]CN BC'!$M$10:$M$276,MATCH(B172,'[26]CN BC'!$H$10:$H$276,0)),"")</f>
        <v>0</v>
      </c>
      <c r="V172" s="1189" t="str">
        <f>VLOOKUP(B172,TH.T4!B167:AC497,28,FALSE)</f>
        <v>LLCT</v>
      </c>
      <c r="W172" s="1171"/>
      <c r="Y172" s="1158"/>
    </row>
    <row r="173" spans="1:31" s="1148" customFormat="1" ht="28.5" customHeight="1">
      <c r="A173" s="1132">
        <f>_xlfn.AGGREGATE(4,7,A$24:A172)+1</f>
        <v>149</v>
      </c>
      <c r="B173" s="1133" t="s">
        <v>1880</v>
      </c>
      <c r="C173" s="1153" t="s">
        <v>1734</v>
      </c>
      <c r="D173" s="1154" t="s">
        <v>375</v>
      </c>
      <c r="E173" s="383" t="str">
        <f>VLOOKUP(B173,TH.Q2!B73:E404,4,FALSE)</f>
        <v>Giảng viên khoa LLCT</v>
      </c>
      <c r="F173" s="1160">
        <v>3.99</v>
      </c>
      <c r="G173" s="1137"/>
      <c r="H173" s="1400">
        <f t="shared" si="17"/>
        <v>0</v>
      </c>
      <c r="I173" s="1138"/>
      <c r="J173" s="1138" t="str">
        <f>VLOOKUP(B173,'[25]Gui chi Quynh'!$B$11:$E$396,4,FALSE)</f>
        <v>A4</v>
      </c>
      <c r="K173" s="1138">
        <f t="shared" si="18"/>
        <v>0.5</v>
      </c>
      <c r="L173" s="1139">
        <v>20</v>
      </c>
      <c r="M173" s="1139">
        <f>VLOOKUP(B173,'[26]CN BC'!$H$10:$J$275,3,FALSE)</f>
        <v>21</v>
      </c>
      <c r="N173" s="1139">
        <f t="shared" si="15"/>
        <v>20</v>
      </c>
      <c r="O173" s="1155"/>
      <c r="P173" s="1141">
        <f t="shared" si="16"/>
        <v>4668300</v>
      </c>
      <c r="Q173" s="1646">
        <f t="shared" si="19"/>
        <v>1.9950000000000001</v>
      </c>
      <c r="R173" s="1580">
        <v>2340000</v>
      </c>
      <c r="S173" s="1647">
        <f t="shared" si="20"/>
        <v>4668300</v>
      </c>
      <c r="T173" s="1142">
        <f t="shared" si="21"/>
        <v>149</v>
      </c>
      <c r="U173" s="1143">
        <f>IFERROR(INDEX('[26]CN BC'!$M$10:$M$276,MATCH(B173,'[26]CN BC'!$H$10:$H$276,0)),"")</f>
        <v>0</v>
      </c>
      <c r="V173" s="1189" t="str">
        <f>VLOOKUP(B173,TH.T4!B168:AC498,28,FALSE)</f>
        <v>LLCT</v>
      </c>
      <c r="W173" s="1171"/>
      <c r="Y173" s="1158"/>
    </row>
    <row r="174" spans="1:31" s="1148" customFormat="1" ht="28.5" customHeight="1">
      <c r="A174" s="1132">
        <f>_xlfn.AGGREGATE(4,7,A$24:A173)+1</f>
        <v>150</v>
      </c>
      <c r="B174" s="1133" t="s">
        <v>1503</v>
      </c>
      <c r="C174" s="1153" t="s">
        <v>1735</v>
      </c>
      <c r="D174" s="1154" t="s">
        <v>376</v>
      </c>
      <c r="E174" s="383" t="str">
        <f>VLOOKUP(B174,TH.Q2!B74:E405,4,FALSE)</f>
        <v>Giảng viên khoa LLCT</v>
      </c>
      <c r="F174" s="1160">
        <v>3.99</v>
      </c>
      <c r="G174" s="1137"/>
      <c r="H174" s="1400">
        <f t="shared" si="17"/>
        <v>0</v>
      </c>
      <c r="I174" s="1138"/>
      <c r="J174" s="1138" t="str">
        <f>VLOOKUP(B174,'[25]Gui chi Quynh'!$B$11:$E$396,4,FALSE)</f>
        <v>A4</v>
      </c>
      <c r="K174" s="1138">
        <f t="shared" si="18"/>
        <v>0.5</v>
      </c>
      <c r="L174" s="1139">
        <v>20</v>
      </c>
      <c r="M174" s="1139">
        <f>VLOOKUP(B174,'[26]CN BC'!$H$10:$J$275,3,FALSE)</f>
        <v>21</v>
      </c>
      <c r="N174" s="1139">
        <f t="shared" si="15"/>
        <v>20</v>
      </c>
      <c r="O174" s="1155"/>
      <c r="P174" s="1141">
        <f t="shared" si="16"/>
        <v>4668300</v>
      </c>
      <c r="Q174" s="1646">
        <f t="shared" si="19"/>
        <v>1.9950000000000001</v>
      </c>
      <c r="R174" s="1580">
        <v>2340000</v>
      </c>
      <c r="S174" s="1647">
        <f t="shared" si="20"/>
        <v>4668300</v>
      </c>
      <c r="T174" s="1142">
        <f t="shared" si="21"/>
        <v>150</v>
      </c>
      <c r="U174" s="1143">
        <f>IFERROR(INDEX('[26]CN BC'!$M$10:$M$276,MATCH(B174,'[26]CN BC'!$H$10:$H$276,0)),"")</f>
        <v>0</v>
      </c>
      <c r="V174" s="1189" t="str">
        <f>VLOOKUP(B174,TH.T4!B169:AC499,28,FALSE)</f>
        <v>LLCT</v>
      </c>
      <c r="W174" s="1171"/>
      <c r="Y174" s="1158"/>
    </row>
    <row r="175" spans="1:31" s="1148" customFormat="1" ht="26.25" customHeight="1">
      <c r="A175" s="1132">
        <f>_xlfn.AGGREGATE(4,7,A$24:A174)+1</f>
        <v>151</v>
      </c>
      <c r="B175" s="1133" t="s">
        <v>1504</v>
      </c>
      <c r="C175" s="1153" t="s">
        <v>1736</v>
      </c>
      <c r="D175" s="1153" t="s">
        <v>503</v>
      </c>
      <c r="E175" s="1058" t="str">
        <f>VLOOKUP(B175,TH.Q2!B75:E406,4,FALSE)</f>
        <v>Giảng viên khoa LLCT</v>
      </c>
      <c r="F175" s="1160">
        <v>4.32</v>
      </c>
      <c r="G175" s="1137"/>
      <c r="H175" s="1393">
        <f t="shared" si="17"/>
        <v>0</v>
      </c>
      <c r="I175" s="1138"/>
      <c r="J175" s="1138" t="str">
        <f>VLOOKUP(B175,'[25]Gui chi Quynh'!$B$11:$E$396,4,FALSE)</f>
        <v>A3</v>
      </c>
      <c r="K175" s="1138">
        <f t="shared" si="18"/>
        <v>0.6</v>
      </c>
      <c r="L175" s="1139">
        <v>20</v>
      </c>
      <c r="M175" s="1139">
        <f>VLOOKUP(B175,'[26]CN BC'!$H$10:$J$275,3,FALSE)</f>
        <v>21</v>
      </c>
      <c r="N175" s="1139">
        <f t="shared" si="15"/>
        <v>20</v>
      </c>
      <c r="O175" s="1140"/>
      <c r="P175" s="1141">
        <f t="shared" si="16"/>
        <v>6065280</v>
      </c>
      <c r="Q175" s="1646">
        <f t="shared" si="19"/>
        <v>2.5920000000000001</v>
      </c>
      <c r="R175" s="1580">
        <v>2340000</v>
      </c>
      <c r="S175" s="1647">
        <f t="shared" si="20"/>
        <v>6065280</v>
      </c>
      <c r="T175" s="1142">
        <f t="shared" si="21"/>
        <v>151</v>
      </c>
      <c r="U175" s="1143">
        <f>IFERROR(INDEX('[26]CN BC'!$M$10:$M$276,MATCH(B175,'[26]CN BC'!$H$10:$H$276,0)),"")</f>
        <v>0</v>
      </c>
      <c r="V175" s="1144" t="str">
        <f>VLOOKUP(B175,TH.T4!B170:AC500,28,FALSE)</f>
        <v>LLCT</v>
      </c>
      <c r="W175" s="1130"/>
      <c r="X175" s="1146"/>
      <c r="Y175" s="1147"/>
      <c r="Z175" s="1146"/>
      <c r="AA175" s="1146"/>
      <c r="AB175" s="1146"/>
      <c r="AC175" s="1146"/>
      <c r="AD175" s="1146"/>
      <c r="AE175" s="1146"/>
    </row>
    <row r="176" spans="1:31" s="1148" customFormat="1" ht="27" customHeight="1">
      <c r="A176" s="1132">
        <f>_xlfn.AGGREGATE(4,7,A$24:A175)+1</f>
        <v>152</v>
      </c>
      <c r="B176" s="1133" t="s">
        <v>1505</v>
      </c>
      <c r="C176" s="1153" t="s">
        <v>1737</v>
      </c>
      <c r="D176" s="1150" t="s">
        <v>1592</v>
      </c>
      <c r="E176" s="383" t="str">
        <f>VLOOKUP(B176,TH.Q2!B76:E407,4,FALSE)</f>
        <v>Giảng viên khoa LLCT</v>
      </c>
      <c r="F176" s="1160">
        <v>3.66</v>
      </c>
      <c r="G176" s="1137"/>
      <c r="H176" s="1400">
        <f t="shared" si="17"/>
        <v>0</v>
      </c>
      <c r="I176" s="1138"/>
      <c r="J176" s="1138" t="str">
        <f>VLOOKUP(B176,'[25]Gui chi Quynh'!$B$11:$E$396,4,FALSE)</f>
        <v>A1</v>
      </c>
      <c r="K176" s="1138">
        <f t="shared" si="18"/>
        <v>0.8</v>
      </c>
      <c r="L176" s="1139">
        <v>20</v>
      </c>
      <c r="M176" s="1139">
        <f>VLOOKUP(B176,'[26]CN BC'!$H$10:$J$275,3,FALSE)</f>
        <v>21</v>
      </c>
      <c r="N176" s="1139">
        <f t="shared" si="15"/>
        <v>20</v>
      </c>
      <c r="O176" s="1155"/>
      <c r="P176" s="1141">
        <f t="shared" si="16"/>
        <v>6851520</v>
      </c>
      <c r="Q176" s="1646">
        <f t="shared" si="19"/>
        <v>2.9279999999999999</v>
      </c>
      <c r="R176" s="1580">
        <v>2340000</v>
      </c>
      <c r="S176" s="1647">
        <f t="shared" si="20"/>
        <v>6851520</v>
      </c>
      <c r="T176" s="1142">
        <f t="shared" si="21"/>
        <v>152</v>
      </c>
      <c r="U176" s="1143">
        <f>IFERROR(INDEX('[26]CN BC'!$M$10:$M$276,MATCH(B176,'[26]CN BC'!$H$10:$H$276,0)),"")</f>
        <v>0</v>
      </c>
      <c r="V176" s="1189" t="str">
        <f>VLOOKUP(B176,TH.T4!B171:AC501,28,FALSE)</f>
        <v>LLCT</v>
      </c>
      <c r="W176" s="1171"/>
      <c r="Y176" s="1158"/>
    </row>
    <row r="177" spans="1:35" s="1148" customFormat="1" ht="28.15" customHeight="1">
      <c r="A177" s="1132">
        <f>_xlfn.AGGREGATE(4,7,A$24:A176)+1</f>
        <v>153</v>
      </c>
      <c r="B177" s="1133" t="s">
        <v>1881</v>
      </c>
      <c r="C177" s="1153" t="s">
        <v>1738</v>
      </c>
      <c r="D177" s="1154" t="s">
        <v>379</v>
      </c>
      <c r="E177" s="1058" t="str">
        <f>VLOOKUP(B177,TH.Q2!B77:E408,4,FALSE)</f>
        <v>Giảng viên khoa LLCT</v>
      </c>
      <c r="F177" s="1160">
        <v>3.66</v>
      </c>
      <c r="G177" s="1137"/>
      <c r="H177" s="1393">
        <f t="shared" si="17"/>
        <v>0</v>
      </c>
      <c r="I177" s="1138"/>
      <c r="J177" s="1138" t="str">
        <f>VLOOKUP(B177,'[25]Gui chi Quynh'!$B$11:$E$396,4,FALSE)</f>
        <v>A3</v>
      </c>
      <c r="K177" s="1138">
        <f t="shared" si="18"/>
        <v>0.6</v>
      </c>
      <c r="L177" s="1139">
        <v>20</v>
      </c>
      <c r="M177" s="1139">
        <f>VLOOKUP(B177,'[26]CN BC'!$H$10:$J$275,3,FALSE)</f>
        <v>20</v>
      </c>
      <c r="N177" s="1139">
        <f t="shared" si="15"/>
        <v>20</v>
      </c>
      <c r="O177" s="1140"/>
      <c r="P177" s="1141">
        <f t="shared" si="16"/>
        <v>5138640</v>
      </c>
      <c r="Q177" s="1646">
        <f t="shared" si="19"/>
        <v>2.1960000000000002</v>
      </c>
      <c r="R177" s="1580">
        <v>2340000</v>
      </c>
      <c r="S177" s="1647">
        <f t="shared" si="20"/>
        <v>5138640</v>
      </c>
      <c r="T177" s="1142">
        <f t="shared" si="21"/>
        <v>153</v>
      </c>
      <c r="U177" s="1143">
        <f>IFERROR(INDEX('[26]CN BC'!$M$10:$M$276,MATCH(B177,'[26]CN BC'!$H$10:$H$276,0)),"")</f>
        <v>0</v>
      </c>
      <c r="V177" s="1144" t="str">
        <f>VLOOKUP(B177,TH.T4!B172:AC502,28,FALSE)</f>
        <v>LLCT</v>
      </c>
      <c r="W177" s="1130"/>
      <c r="X177" s="1146"/>
      <c r="Y177" s="1147"/>
      <c r="Z177" s="1146"/>
      <c r="AA177" s="1146"/>
      <c r="AB177" s="1146"/>
      <c r="AC177" s="1146"/>
      <c r="AD177" s="1146"/>
      <c r="AE177" s="1146"/>
    </row>
    <row r="178" spans="1:35" s="1148" customFormat="1" ht="27.75" customHeight="1">
      <c r="A178" s="1132">
        <f>_xlfn.AGGREGATE(4,7,A$24:A177)+1</f>
        <v>154</v>
      </c>
      <c r="B178" s="1223" t="s">
        <v>1506</v>
      </c>
      <c r="C178" s="1153" t="s">
        <v>1739</v>
      </c>
      <c r="D178" s="1150" t="s">
        <v>1427</v>
      </c>
      <c r="E178" s="1058" t="str">
        <f>VLOOKUP(B178,TH.Q2!B78:E409,4,FALSE)</f>
        <v>Giảng viên khoa LLCT</v>
      </c>
      <c r="F178" s="1160">
        <v>3.33</v>
      </c>
      <c r="G178" s="1137"/>
      <c r="H178" s="1393">
        <f t="shared" si="17"/>
        <v>0</v>
      </c>
      <c r="I178" s="1138"/>
      <c r="J178" s="1138" t="str">
        <f>VLOOKUP(B178,'[25]Gui chi Quynh'!$B$11:$E$396,4,FALSE)</f>
        <v>A4</v>
      </c>
      <c r="K178" s="1138">
        <f t="shared" si="18"/>
        <v>0.5</v>
      </c>
      <c r="L178" s="1139">
        <v>20</v>
      </c>
      <c r="M178" s="1139">
        <f>VLOOKUP(B178,'[26]CN BC'!$H$10:$J$275,3,FALSE)</f>
        <v>20</v>
      </c>
      <c r="N178" s="1139">
        <f t="shared" si="15"/>
        <v>20</v>
      </c>
      <c r="O178" s="1140"/>
      <c r="P178" s="1141">
        <f t="shared" si="16"/>
        <v>3896100</v>
      </c>
      <c r="Q178" s="1646">
        <f t="shared" si="19"/>
        <v>1.665</v>
      </c>
      <c r="R178" s="1580">
        <v>2340000</v>
      </c>
      <c r="S178" s="1647">
        <f t="shared" si="20"/>
        <v>3896100</v>
      </c>
      <c r="T178" s="1142">
        <f t="shared" si="21"/>
        <v>154</v>
      </c>
      <c r="U178" s="1143">
        <f>IFERROR(INDEX('[26]CN BC'!$M$10:$M$276,MATCH(B178,'[26]CN BC'!$H$10:$H$276,0)),"")</f>
        <v>0</v>
      </c>
      <c r="V178" s="1144" t="str">
        <f>VLOOKUP(B178,TH.T4!B173:AC503,28,FALSE)</f>
        <v>LLCT</v>
      </c>
      <c r="W178" s="1130"/>
      <c r="X178" s="1146"/>
      <c r="Y178" s="1147"/>
    </row>
    <row r="179" spans="1:35" s="1148" customFormat="1" ht="27" customHeight="1">
      <c r="A179" s="1132">
        <f>_xlfn.AGGREGATE(4,7,A$24:A178)+1</f>
        <v>155</v>
      </c>
      <c r="B179" s="1133" t="s">
        <v>1882</v>
      </c>
      <c r="C179" s="1153" t="s">
        <v>1741</v>
      </c>
      <c r="D179" s="1154" t="s">
        <v>1341</v>
      </c>
      <c r="E179" s="1058" t="str">
        <f>VLOOKUP(B179,TH.Q2!B79:E410,4,FALSE)</f>
        <v>Giảng viên khoa CNTT</v>
      </c>
      <c r="F179" s="1160">
        <v>4.32</v>
      </c>
      <c r="G179" s="1137"/>
      <c r="H179" s="1393">
        <f t="shared" si="17"/>
        <v>0</v>
      </c>
      <c r="I179" s="1138"/>
      <c r="J179" s="1138" t="str">
        <f>VLOOKUP(B179,'[25]Gui chi Quynh'!$B$11:$E$396,4,FALSE)</f>
        <v>A4</v>
      </c>
      <c r="K179" s="1138">
        <f t="shared" si="18"/>
        <v>0.5</v>
      </c>
      <c r="L179" s="1139">
        <v>20</v>
      </c>
      <c r="M179" s="1139">
        <f>VLOOKUP(B179,'[26]CN BC'!$H$10:$J$275,3,FALSE)</f>
        <v>20</v>
      </c>
      <c r="N179" s="1139">
        <f t="shared" si="15"/>
        <v>20</v>
      </c>
      <c r="O179" s="1140"/>
      <c r="P179" s="1141">
        <f t="shared" si="16"/>
        <v>5054400</v>
      </c>
      <c r="Q179" s="1646">
        <f t="shared" si="19"/>
        <v>2.16</v>
      </c>
      <c r="R179" s="1580">
        <v>2340000</v>
      </c>
      <c r="S179" s="1647">
        <f t="shared" si="20"/>
        <v>5054400</v>
      </c>
      <c r="T179" s="1142">
        <f t="shared" si="21"/>
        <v>155</v>
      </c>
      <c r="U179" s="1143">
        <f>IFERROR(INDEX('[26]CN BC'!$M$10:$M$276,MATCH(B179,'[26]CN BC'!$H$10:$H$276,0)),"")</f>
        <v>0</v>
      </c>
      <c r="V179" s="1144" t="str">
        <f>VLOOKUP(B179,TH.T4!B174:AC504,28,FALSE)</f>
        <v>CNTT</v>
      </c>
      <c r="W179" s="1130"/>
      <c r="X179" s="1146"/>
      <c r="Y179" s="1147"/>
    </row>
    <row r="180" spans="1:35" s="1146" customFormat="1" ht="28.5" customHeight="1">
      <c r="A180" s="1132">
        <f>_xlfn.AGGREGATE(4,7,A$24:A179)+1</f>
        <v>156</v>
      </c>
      <c r="B180" s="1172" t="s">
        <v>1508</v>
      </c>
      <c r="C180" s="1149" t="s">
        <v>1742</v>
      </c>
      <c r="D180" s="1173" t="s">
        <v>1342</v>
      </c>
      <c r="E180" s="1058" t="str">
        <f>VLOOKUP(B180,TH.Q2!B80:E411,4,FALSE)</f>
        <v>Giảng viên khoa CNTT</v>
      </c>
      <c r="F180" s="1178">
        <v>3.99</v>
      </c>
      <c r="G180" s="1175"/>
      <c r="H180" s="1393">
        <f t="shared" si="17"/>
        <v>0</v>
      </c>
      <c r="I180" s="1176"/>
      <c r="J180" s="1138" t="str">
        <f>VLOOKUP(B180,'[25]Gui chi Quynh'!$B$11:$E$396,4,FALSE)</f>
        <v>A3</v>
      </c>
      <c r="K180" s="1138">
        <f t="shared" si="18"/>
        <v>0.6</v>
      </c>
      <c r="L180" s="1139">
        <v>20</v>
      </c>
      <c r="M180" s="1139">
        <f>VLOOKUP(B180,'[26]CN BC'!$H$10:$J$275,3,FALSE)</f>
        <v>20</v>
      </c>
      <c r="N180" s="1139">
        <f t="shared" si="15"/>
        <v>20</v>
      </c>
      <c r="O180" s="1140"/>
      <c r="P180" s="1141">
        <f t="shared" si="16"/>
        <v>5601960</v>
      </c>
      <c r="Q180" s="1646">
        <f t="shared" si="19"/>
        <v>2.3940000000000001</v>
      </c>
      <c r="R180" s="1580">
        <v>2340000</v>
      </c>
      <c r="S180" s="1647">
        <f t="shared" si="20"/>
        <v>5601960</v>
      </c>
      <c r="T180" s="1142">
        <f t="shared" si="21"/>
        <v>156</v>
      </c>
      <c r="U180" s="1143">
        <f>IFERROR(INDEX('[26]CN BC'!$M$10:$M$276,MATCH(B180,'[26]CN BC'!$H$10:$H$276,0)),"")</f>
        <v>0</v>
      </c>
      <c r="V180" s="1144" t="str">
        <f>VLOOKUP(B180,TH.T4!B175:AC505,28,FALSE)</f>
        <v>CNTT</v>
      </c>
      <c r="W180" s="1130"/>
      <c r="Y180" s="1147"/>
    </row>
    <row r="181" spans="1:35" s="1146" customFormat="1" ht="26.25" customHeight="1">
      <c r="A181" s="1132">
        <f>_xlfn.AGGREGATE(4,7,A$24:A180)+1</f>
        <v>157</v>
      </c>
      <c r="B181" s="1172" t="s">
        <v>1509</v>
      </c>
      <c r="C181" s="1149" t="s">
        <v>1743</v>
      </c>
      <c r="D181" s="1173" t="s">
        <v>1344</v>
      </c>
      <c r="E181" s="1058" t="str">
        <f>VLOOKUP(B181,TH.Q2!B81:E412,4,FALSE)</f>
        <v>Giảng viên khoa CNTT</v>
      </c>
      <c r="F181" s="1174">
        <v>3.99</v>
      </c>
      <c r="G181" s="1175"/>
      <c r="H181" s="1393">
        <f t="shared" si="17"/>
        <v>0</v>
      </c>
      <c r="I181" s="1176"/>
      <c r="J181" s="1138" t="str">
        <f>VLOOKUP(B181,'[25]Gui chi Quynh'!$B$11:$E$396,4,FALSE)</f>
        <v>A3</v>
      </c>
      <c r="K181" s="1138">
        <f t="shared" si="18"/>
        <v>0.6</v>
      </c>
      <c r="L181" s="1139">
        <v>20</v>
      </c>
      <c r="M181" s="1139">
        <f>VLOOKUP(B181,'[26]CN BC'!$H$10:$J$275,3,FALSE)</f>
        <v>20</v>
      </c>
      <c r="N181" s="1139">
        <f t="shared" si="15"/>
        <v>20</v>
      </c>
      <c r="O181" s="1140"/>
      <c r="P181" s="1141">
        <f t="shared" si="16"/>
        <v>5601960</v>
      </c>
      <c r="Q181" s="1646">
        <f t="shared" si="19"/>
        <v>2.3940000000000001</v>
      </c>
      <c r="R181" s="1580">
        <v>2340000</v>
      </c>
      <c r="S181" s="1647">
        <f t="shared" si="20"/>
        <v>5601960</v>
      </c>
      <c r="T181" s="1142">
        <f t="shared" si="21"/>
        <v>157</v>
      </c>
      <c r="U181" s="1143">
        <f>IFERROR(INDEX('[26]CN BC'!$M$10:$M$276,MATCH(B181,'[26]CN BC'!$H$10:$H$276,0)),"")</f>
        <v>0</v>
      </c>
      <c r="V181" s="1144" t="str">
        <f>VLOOKUP(B181,TH.T4!B176:AC506,28,FALSE)</f>
        <v>CNTT</v>
      </c>
      <c r="W181" s="1130"/>
      <c r="Y181" s="1147"/>
    </row>
    <row r="182" spans="1:35" s="1148" customFormat="1" ht="27" customHeight="1">
      <c r="A182" s="1132">
        <f>_xlfn.AGGREGATE(4,7,A$24:A181)+1</f>
        <v>158</v>
      </c>
      <c r="B182" s="1223" t="s">
        <v>1511</v>
      </c>
      <c r="C182" s="1153" t="s">
        <v>1745</v>
      </c>
      <c r="D182" s="1154" t="s">
        <v>1349</v>
      </c>
      <c r="E182" s="1058" t="str">
        <f>VLOOKUP(B182,TH.Q2!B83:E414,4,FALSE)</f>
        <v>Giảng viên khoa CNTT</v>
      </c>
      <c r="F182" s="1160">
        <v>3.99</v>
      </c>
      <c r="G182" s="1137"/>
      <c r="H182" s="1393">
        <f t="shared" si="17"/>
        <v>0</v>
      </c>
      <c r="I182" s="1138"/>
      <c r="J182" s="1138" t="str">
        <f>VLOOKUP(B182,'[25]Gui chi Quynh'!$B$11:$E$396,4,FALSE)</f>
        <v>A3</v>
      </c>
      <c r="K182" s="1138">
        <f t="shared" si="18"/>
        <v>0.6</v>
      </c>
      <c r="L182" s="1139">
        <v>20</v>
      </c>
      <c r="M182" s="1139">
        <f>VLOOKUP(B182,'[26]CN BC'!$H$10:$J$275,3,FALSE)</f>
        <v>20</v>
      </c>
      <c r="N182" s="1139">
        <f t="shared" si="15"/>
        <v>20</v>
      </c>
      <c r="O182" s="1140"/>
      <c r="P182" s="1141">
        <f t="shared" si="16"/>
        <v>5601960</v>
      </c>
      <c r="Q182" s="1646">
        <f t="shared" si="19"/>
        <v>2.3940000000000001</v>
      </c>
      <c r="R182" s="1580">
        <v>2340000</v>
      </c>
      <c r="S182" s="1647">
        <f t="shared" si="20"/>
        <v>5601960</v>
      </c>
      <c r="T182" s="1142">
        <f t="shared" si="21"/>
        <v>158</v>
      </c>
      <c r="U182" s="1143">
        <f>IFERROR(INDEX('[26]CN BC'!$M$10:$M$276,MATCH(B182,'[26]CN BC'!$H$10:$H$276,0)),"")</f>
        <v>0</v>
      </c>
      <c r="V182" s="1144" t="str">
        <f>VLOOKUP(B182,TH.T4!B178:AC508,28,FALSE)</f>
        <v>CNTT</v>
      </c>
      <c r="W182" s="1130"/>
      <c r="X182" s="1146"/>
      <c r="Y182" s="1147"/>
      <c r="Z182" s="1146"/>
      <c r="AA182" s="1146"/>
      <c r="AB182" s="1146"/>
      <c r="AC182" s="1146"/>
      <c r="AD182" s="1146"/>
      <c r="AE182" s="1146"/>
    </row>
    <row r="183" spans="1:35" s="1148" customFormat="1" ht="30.75" customHeight="1">
      <c r="A183" s="1132">
        <f>_xlfn.AGGREGATE(4,7,A$24:A182)+1</f>
        <v>159</v>
      </c>
      <c r="B183" s="1133" t="s">
        <v>1512</v>
      </c>
      <c r="C183" s="1153" t="s">
        <v>1746</v>
      </c>
      <c r="D183" s="1154" t="s">
        <v>1350</v>
      </c>
      <c r="E183" s="383" t="str">
        <f>VLOOKUP(B183,TH.Q2!B84:E415,4,FALSE)</f>
        <v>Giảng viên khoa CNTT</v>
      </c>
      <c r="F183" s="1160">
        <v>3.99</v>
      </c>
      <c r="G183" s="1137"/>
      <c r="H183" s="1400">
        <f t="shared" si="17"/>
        <v>0</v>
      </c>
      <c r="I183" s="1138"/>
      <c r="J183" s="1138" t="str">
        <f>VLOOKUP(B183,'[25]Gui chi Quynh'!$B$11:$E$396,4,FALSE)</f>
        <v>A4</v>
      </c>
      <c r="K183" s="1138">
        <f t="shared" si="18"/>
        <v>0.5</v>
      </c>
      <c r="L183" s="1139">
        <v>20</v>
      </c>
      <c r="M183" s="1139">
        <f>VLOOKUP(B183,'[26]CN BC'!$H$10:$J$275,3,FALSE)</f>
        <v>20</v>
      </c>
      <c r="N183" s="1139">
        <f t="shared" si="15"/>
        <v>20</v>
      </c>
      <c r="O183" s="1155"/>
      <c r="P183" s="1141">
        <f t="shared" si="16"/>
        <v>4668300</v>
      </c>
      <c r="Q183" s="1646">
        <f t="shared" si="19"/>
        <v>1.9950000000000001</v>
      </c>
      <c r="R183" s="1580">
        <v>2340000</v>
      </c>
      <c r="S183" s="1647">
        <f t="shared" si="20"/>
        <v>4668300</v>
      </c>
      <c r="T183" s="1142">
        <f t="shared" si="21"/>
        <v>159</v>
      </c>
      <c r="U183" s="1143">
        <f>IFERROR(INDEX('[26]CN BC'!$M$10:$M$276,MATCH(B183,'[26]CN BC'!$H$10:$H$276,0)),"")</f>
        <v>0</v>
      </c>
      <c r="V183" s="1189" t="str">
        <f>VLOOKUP(B183,TH.T4!B179:AC509,28,FALSE)</f>
        <v>CNTT</v>
      </c>
      <c r="W183" s="1171"/>
      <c r="Y183" s="1158"/>
    </row>
    <row r="184" spans="1:35" s="1146" customFormat="1" ht="27" customHeight="1">
      <c r="A184" s="1132">
        <f>_xlfn.AGGREGATE(4,7,A$24:A183)+1</f>
        <v>160</v>
      </c>
      <c r="B184" s="1172" t="s">
        <v>1513</v>
      </c>
      <c r="C184" s="1149" t="s">
        <v>1747</v>
      </c>
      <c r="D184" s="1173" t="s">
        <v>1353</v>
      </c>
      <c r="E184" s="1058" t="str">
        <f>VLOOKUP(B184,TH.Q2!B85:E416,4,FALSE)</f>
        <v>Trưởng BM khoa CNTT</v>
      </c>
      <c r="F184" s="1160">
        <v>3.99</v>
      </c>
      <c r="G184" s="1137"/>
      <c r="H184" s="1400">
        <f t="shared" si="17"/>
        <v>0</v>
      </c>
      <c r="I184" s="1138">
        <v>0.45</v>
      </c>
      <c r="J184" s="1138" t="str">
        <f>VLOOKUP(B184,'[25]Gui chi Quynh'!$B$11:$E$396,4,FALSE)</f>
        <v>A2</v>
      </c>
      <c r="K184" s="1138">
        <f t="shared" si="18"/>
        <v>0.7</v>
      </c>
      <c r="L184" s="1139">
        <v>20</v>
      </c>
      <c r="M184" s="1139">
        <f>VLOOKUP(B184,'[26]CN BC'!$H$10:$J$275,3,FALSE)</f>
        <v>20</v>
      </c>
      <c r="N184" s="1139">
        <f t="shared" si="15"/>
        <v>20</v>
      </c>
      <c r="O184" s="1140"/>
      <c r="P184" s="1141">
        <f t="shared" si="16"/>
        <v>7272720</v>
      </c>
      <c r="Q184" s="1646">
        <f t="shared" si="19"/>
        <v>3.1080000000000001</v>
      </c>
      <c r="R184" s="1580">
        <v>2340000</v>
      </c>
      <c r="S184" s="1647">
        <f t="shared" si="20"/>
        <v>7272720</v>
      </c>
      <c r="T184" s="1142">
        <f t="shared" si="21"/>
        <v>160</v>
      </c>
      <c r="U184" s="1143">
        <f>IFERROR(INDEX('[26]CN BC'!$M$10:$M$276,MATCH(B184,'[26]CN BC'!$H$10:$H$276,0)),"")</f>
        <v>0</v>
      </c>
      <c r="V184" s="1144" t="str">
        <f>VLOOKUP(B184,TH.T4!B180:AC510,28,FALSE)</f>
        <v>CNTT</v>
      </c>
      <c r="W184" s="1130"/>
      <c r="Y184" s="1147"/>
    </row>
    <row r="185" spans="1:35" s="1148" customFormat="1" ht="30" customHeight="1">
      <c r="A185" s="1132">
        <f>_xlfn.AGGREGATE(4,7,A$24:A184)+1</f>
        <v>161</v>
      </c>
      <c r="B185" s="1133" t="s">
        <v>1514</v>
      </c>
      <c r="C185" s="1153" t="s">
        <v>1748</v>
      </c>
      <c r="D185" s="1154" t="s">
        <v>1354</v>
      </c>
      <c r="E185" s="383" t="str">
        <f>VLOOKUP(B185,TH.Q2!B86:E417,4,FALSE)</f>
        <v>Giảng viên khoa CNTT</v>
      </c>
      <c r="F185" s="1160">
        <v>3.99</v>
      </c>
      <c r="G185" s="1137"/>
      <c r="H185" s="1400">
        <f t="shared" si="17"/>
        <v>0</v>
      </c>
      <c r="I185" s="1138"/>
      <c r="J185" s="1138" t="str">
        <f>VLOOKUP(B185,'[25]Gui chi Quynh'!$B$11:$E$396,4,FALSE)</f>
        <v>A3</v>
      </c>
      <c r="K185" s="1138">
        <f t="shared" si="18"/>
        <v>0.6</v>
      </c>
      <c r="L185" s="1139">
        <v>20</v>
      </c>
      <c r="M185" s="1139">
        <f>VLOOKUP(B185,'[26]CN BC'!$H$10:$J$275,3,FALSE)</f>
        <v>20</v>
      </c>
      <c r="N185" s="1139">
        <f t="shared" si="15"/>
        <v>20</v>
      </c>
      <c r="O185" s="1155"/>
      <c r="P185" s="1141">
        <f t="shared" si="16"/>
        <v>5601960</v>
      </c>
      <c r="Q185" s="1646">
        <f t="shared" si="19"/>
        <v>2.3940000000000001</v>
      </c>
      <c r="R185" s="1580">
        <v>2340000</v>
      </c>
      <c r="S185" s="1647">
        <f t="shared" si="20"/>
        <v>5601960</v>
      </c>
      <c r="T185" s="1142">
        <f t="shared" si="21"/>
        <v>161</v>
      </c>
      <c r="U185" s="1143">
        <f>IFERROR(INDEX('[26]CN BC'!$M$10:$M$276,MATCH(B185,'[26]CN BC'!$H$10:$H$276,0)),"")</f>
        <v>0</v>
      </c>
      <c r="V185" s="1189" t="str">
        <f>VLOOKUP(B185,TH.T4!B181:AC511,28,FALSE)</f>
        <v>CNTT</v>
      </c>
      <c r="W185" s="1171"/>
      <c r="Y185" s="1158"/>
    </row>
    <row r="186" spans="1:35" s="1148" customFormat="1" ht="24.75" customHeight="1">
      <c r="A186" s="1132">
        <f>_xlfn.AGGREGATE(4,7,A$24:A185)+1</f>
        <v>162</v>
      </c>
      <c r="B186" s="1133" t="s">
        <v>1515</v>
      </c>
      <c r="C186" s="1153" t="s">
        <v>1749</v>
      </c>
      <c r="D186" s="1154" t="s">
        <v>1355</v>
      </c>
      <c r="E186" s="383" t="str">
        <f>VLOOKUP(B186,TH.Q2!B87:E418,4,FALSE)</f>
        <v>Giảng viên khoa CNTT</v>
      </c>
      <c r="F186" s="1160">
        <v>3.99</v>
      </c>
      <c r="G186" s="1137"/>
      <c r="H186" s="1400">
        <f t="shared" si="17"/>
        <v>0</v>
      </c>
      <c r="I186" s="1138"/>
      <c r="J186" s="1138" t="str">
        <f>VLOOKUP(B186,'[25]Gui chi Quynh'!$B$11:$E$396,4,FALSE)</f>
        <v>A3</v>
      </c>
      <c r="K186" s="1138">
        <f t="shared" si="18"/>
        <v>0.6</v>
      </c>
      <c r="L186" s="1139">
        <v>20</v>
      </c>
      <c r="M186" s="1139">
        <f>VLOOKUP(B186,'[26]CN BC'!$H$10:$J$275,3,FALSE)</f>
        <v>20</v>
      </c>
      <c r="N186" s="1139">
        <f t="shared" si="15"/>
        <v>20</v>
      </c>
      <c r="O186" s="1155"/>
      <c r="P186" s="1141">
        <f t="shared" si="16"/>
        <v>5601960</v>
      </c>
      <c r="Q186" s="1646">
        <f t="shared" si="19"/>
        <v>2.3940000000000001</v>
      </c>
      <c r="R186" s="1580">
        <v>2340000</v>
      </c>
      <c r="S186" s="1647">
        <f t="shared" si="20"/>
        <v>5601960</v>
      </c>
      <c r="T186" s="1142">
        <f t="shared" si="21"/>
        <v>162</v>
      </c>
      <c r="U186" s="1143">
        <f>IFERROR(INDEX('[26]CN BC'!$M$10:$M$276,MATCH(B186,'[26]CN BC'!$H$10:$H$276,0)),"")</f>
        <v>0</v>
      </c>
      <c r="V186" s="1189" t="str">
        <f>VLOOKUP(B186,TH.T4!B182:AC512,28,FALSE)</f>
        <v>CNTT</v>
      </c>
      <c r="W186" s="1171"/>
      <c r="Y186" s="1158"/>
    </row>
    <row r="187" spans="1:35" s="1146" customFormat="1" ht="24.75" customHeight="1">
      <c r="A187" s="1132">
        <f>_xlfn.AGGREGATE(4,7,A$24:A186)+1</f>
        <v>163</v>
      </c>
      <c r="B187" s="1172" t="s">
        <v>1516</v>
      </c>
      <c r="C187" s="1149" t="s">
        <v>1750</v>
      </c>
      <c r="D187" s="1173" t="s">
        <v>1356</v>
      </c>
      <c r="E187" s="1058" t="str">
        <f>VLOOKUP(B187,TH.Q2!B88:E419,4,FALSE)</f>
        <v>Giảng viên khoa CNTT</v>
      </c>
      <c r="F187" s="1160">
        <v>3.99</v>
      </c>
      <c r="G187" s="1175"/>
      <c r="H187" s="1393">
        <f t="shared" si="17"/>
        <v>0</v>
      </c>
      <c r="I187" s="1176"/>
      <c r="J187" s="1138" t="str">
        <f>VLOOKUP(B187,'[25]Gui chi Quynh'!$B$11:$E$396,4,FALSE)</f>
        <v>A3</v>
      </c>
      <c r="K187" s="1138">
        <f t="shared" si="18"/>
        <v>0.6</v>
      </c>
      <c r="L187" s="1139">
        <v>20</v>
      </c>
      <c r="M187" s="1139">
        <f>VLOOKUP(B187,'[26]CN BC'!$H$10:$J$275,3,FALSE)</f>
        <v>20</v>
      </c>
      <c r="N187" s="1139">
        <f t="shared" si="15"/>
        <v>20</v>
      </c>
      <c r="O187" s="1140"/>
      <c r="P187" s="1141">
        <f t="shared" si="16"/>
        <v>5601960</v>
      </c>
      <c r="Q187" s="1646">
        <f t="shared" si="19"/>
        <v>2.3940000000000001</v>
      </c>
      <c r="R187" s="1580">
        <v>2340000</v>
      </c>
      <c r="S187" s="1647">
        <f t="shared" si="20"/>
        <v>5601960</v>
      </c>
      <c r="T187" s="1142">
        <f t="shared" si="21"/>
        <v>163</v>
      </c>
      <c r="U187" s="1143">
        <f>IFERROR(INDEX('[26]CN BC'!$M$10:$M$276,MATCH(B187,'[26]CN BC'!$H$10:$H$276,0)),"")</f>
        <v>0</v>
      </c>
      <c r="V187" s="1144" t="str">
        <f>VLOOKUP(B187,TH.T4!B183:AC513,28,FALSE)</f>
        <v>CNTT</v>
      </c>
      <c r="W187" s="1130"/>
      <c r="Y187" s="1147"/>
    </row>
    <row r="188" spans="1:35" s="1146" customFormat="1" ht="26.25" customHeight="1">
      <c r="A188" s="1132">
        <f>_xlfn.AGGREGATE(4,7,A$24:A187)+1</f>
        <v>164</v>
      </c>
      <c r="B188" s="1172" t="s">
        <v>1883</v>
      </c>
      <c r="C188" s="1149" t="s">
        <v>1751</v>
      </c>
      <c r="D188" s="1173" t="s">
        <v>381</v>
      </c>
      <c r="E188" s="1058" t="str">
        <f>VLOOKUP(B188,TH.Q2!B89:E420,4,FALSE)</f>
        <v>Phó Trưởng khoa CNTT</v>
      </c>
      <c r="F188" s="1178">
        <v>3.99</v>
      </c>
      <c r="G188" s="1175"/>
      <c r="H188" s="1393">
        <f t="shared" si="17"/>
        <v>0</v>
      </c>
      <c r="I188" s="1176">
        <v>0.35</v>
      </c>
      <c r="J188" s="1138" t="str">
        <f>VLOOKUP(B188,'[25]Gui chi Quynh'!$B$11:$E$396,4,FALSE)</f>
        <v>A3</v>
      </c>
      <c r="K188" s="1138">
        <f t="shared" si="18"/>
        <v>0.6</v>
      </c>
      <c r="L188" s="1139">
        <v>20</v>
      </c>
      <c r="M188" s="1139">
        <f>VLOOKUP(B188,'[26]CN BC'!$H$10:$J$275,3,FALSE)</f>
        <v>20</v>
      </c>
      <c r="N188" s="1139">
        <f t="shared" si="15"/>
        <v>20</v>
      </c>
      <c r="O188" s="1140"/>
      <c r="P188" s="1141">
        <f t="shared" si="16"/>
        <v>6093360</v>
      </c>
      <c r="Q188" s="1646">
        <f t="shared" si="19"/>
        <v>2.6040000000000001</v>
      </c>
      <c r="R188" s="1580">
        <v>2340000</v>
      </c>
      <c r="S188" s="1647">
        <f t="shared" si="20"/>
        <v>6093360</v>
      </c>
      <c r="T188" s="1142">
        <f t="shared" si="21"/>
        <v>164</v>
      </c>
      <c r="U188" s="1143">
        <f>IFERROR(INDEX('[26]CN BC'!$M$10:$M$276,MATCH(B188,'[26]CN BC'!$H$10:$H$276,0)),"")</f>
        <v>0</v>
      </c>
      <c r="V188" s="1144" t="str">
        <f>VLOOKUP(B188,TH.T4!B184:AC514,28,FALSE)</f>
        <v>CNTT</v>
      </c>
      <c r="W188" s="1130"/>
      <c r="Y188" s="1147"/>
    </row>
    <row r="189" spans="1:35" s="1148" customFormat="1" ht="23.25" customHeight="1">
      <c r="A189" s="1132">
        <f>_xlfn.AGGREGATE(4,7,A$24:A188)+1</f>
        <v>165</v>
      </c>
      <c r="B189" s="1133" t="s">
        <v>1833</v>
      </c>
      <c r="C189" s="1153" t="s">
        <v>1966</v>
      </c>
      <c r="D189" s="1225">
        <v>1603215005649</v>
      </c>
      <c r="E189" s="1058" t="str">
        <f>VLOOKUP(B189,TH.Q2!B90:E421,4,FALSE)</f>
        <v>Giảng viên khoa CNTT</v>
      </c>
      <c r="F189" s="1160">
        <v>3.66</v>
      </c>
      <c r="G189" s="1137"/>
      <c r="H189" s="1393">
        <f t="shared" si="17"/>
        <v>0</v>
      </c>
      <c r="I189" s="1138"/>
      <c r="J189" s="1138" t="str">
        <f>VLOOKUP(B189,'[25]Gui chi Quynh'!$B$11:$E$396,4,FALSE)</f>
        <v>A3</v>
      </c>
      <c r="K189" s="1138">
        <f t="shared" si="18"/>
        <v>0.6</v>
      </c>
      <c r="L189" s="1139">
        <v>20</v>
      </c>
      <c r="M189" s="1139">
        <f>VLOOKUP(B189,'[26]CN BC'!$H$10:$J$275,3,FALSE)</f>
        <v>20</v>
      </c>
      <c r="N189" s="1139">
        <f t="shared" si="15"/>
        <v>20</v>
      </c>
      <c r="O189" s="1140"/>
      <c r="P189" s="1141">
        <f t="shared" si="16"/>
        <v>5138640</v>
      </c>
      <c r="Q189" s="1646">
        <f t="shared" si="19"/>
        <v>2.1960000000000002</v>
      </c>
      <c r="R189" s="1580">
        <v>2340000</v>
      </c>
      <c r="S189" s="1647">
        <f t="shared" si="20"/>
        <v>5138640</v>
      </c>
      <c r="T189" s="1142">
        <f t="shared" si="21"/>
        <v>165</v>
      </c>
      <c r="U189" s="1143">
        <f>IFERROR(INDEX('[26]CN BC'!$M$10:$M$276,MATCH(B189,'[26]CN BC'!$H$10:$H$276,0)),"")</f>
        <v>0</v>
      </c>
      <c r="V189" s="1144" t="str">
        <f>VLOOKUP(B189,TH.T4!B185:AC515,28,FALSE)</f>
        <v>CNTT</v>
      </c>
      <c r="W189" s="1130"/>
      <c r="X189" s="1146"/>
      <c r="Y189" s="1147"/>
    </row>
    <row r="190" spans="1:35" s="1148" customFormat="1" ht="29.25" customHeight="1">
      <c r="A190" s="1132">
        <f>_xlfn.AGGREGATE(4,7,A$24:A189)+1</f>
        <v>166</v>
      </c>
      <c r="B190" s="1133" t="s">
        <v>1884</v>
      </c>
      <c r="C190" s="1149" t="s">
        <v>1752</v>
      </c>
      <c r="D190" s="1154" t="s">
        <v>1345</v>
      </c>
      <c r="E190" s="1058" t="str">
        <f>VLOOKUP(B190,TH.Q2!B91:E422,4,FALSE)</f>
        <v>Giảng viên khoa CNTT</v>
      </c>
      <c r="F190" s="1160">
        <v>4.32</v>
      </c>
      <c r="G190" s="1137"/>
      <c r="H190" s="1393">
        <f t="shared" si="17"/>
        <v>0</v>
      </c>
      <c r="I190" s="1138">
        <v>0.25</v>
      </c>
      <c r="J190" s="1138" t="str">
        <f>VLOOKUP(B190,'[25]Gui chi Quynh'!$B$11:$E$396,4,FALSE)</f>
        <v>A3</v>
      </c>
      <c r="K190" s="1138">
        <f t="shared" si="18"/>
        <v>0.6</v>
      </c>
      <c r="L190" s="1139">
        <v>20</v>
      </c>
      <c r="M190" s="1139">
        <f>VLOOKUP(B190,'[26]CN BC'!$H$10:$J$275,3,FALSE)</f>
        <v>20</v>
      </c>
      <c r="N190" s="1139">
        <f t="shared" si="15"/>
        <v>20</v>
      </c>
      <c r="O190" s="1140"/>
      <c r="P190" s="1141">
        <f t="shared" si="16"/>
        <v>6416280</v>
      </c>
      <c r="Q190" s="1646">
        <f t="shared" si="19"/>
        <v>2.742</v>
      </c>
      <c r="R190" s="1580">
        <v>2340000</v>
      </c>
      <c r="S190" s="1647">
        <f t="shared" si="20"/>
        <v>6416280</v>
      </c>
      <c r="T190" s="1142">
        <f t="shared" si="21"/>
        <v>166</v>
      </c>
      <c r="U190" s="1143">
        <f>IFERROR(INDEX('[26]CN BC'!$M$10:$M$276,MATCH(B190,'[26]CN BC'!$H$10:$H$276,0)),"")</f>
        <v>0</v>
      </c>
      <c r="V190" s="1144" t="str">
        <f>VLOOKUP(B190,TH.T4!B186:AC516,28,FALSE)</f>
        <v>CNTT</v>
      </c>
      <c r="W190" s="1130"/>
      <c r="X190" s="1146"/>
      <c r="Y190" s="1147"/>
      <c r="Z190" s="1146"/>
      <c r="AA190" s="1146"/>
      <c r="AB190" s="1146"/>
      <c r="AC190" s="1146"/>
      <c r="AD190" s="1146"/>
      <c r="AE190" s="1146"/>
      <c r="AF190" s="1146"/>
      <c r="AG190" s="1146"/>
      <c r="AH190" s="1146"/>
      <c r="AI190" s="1146"/>
    </row>
    <row r="191" spans="1:35" s="1148" customFormat="1" ht="29.25" customHeight="1">
      <c r="A191" s="1132">
        <f>_xlfn.AGGREGATE(4,7,A$24:A190)+1</f>
        <v>167</v>
      </c>
      <c r="B191" s="1133" t="s">
        <v>1517</v>
      </c>
      <c r="C191" s="1153" t="s">
        <v>1753</v>
      </c>
      <c r="D191" s="1166">
        <v>1603205286594</v>
      </c>
      <c r="E191" s="383" t="str">
        <f>VLOOKUP(B191,TH.Q2!B92:E423,4,FALSE)</f>
        <v>Giảng viên khoa CNTT</v>
      </c>
      <c r="F191" s="1160">
        <v>3.66</v>
      </c>
      <c r="G191" s="1137"/>
      <c r="H191" s="1400">
        <f t="shared" si="17"/>
        <v>0</v>
      </c>
      <c r="I191" s="1138"/>
      <c r="J191" s="1138" t="str">
        <f>VLOOKUP(B191,'[25]Gui chi Quynh'!$B$11:$E$396,4,FALSE)</f>
        <v>A4</v>
      </c>
      <c r="K191" s="1138">
        <f t="shared" si="18"/>
        <v>0.5</v>
      </c>
      <c r="L191" s="1139">
        <v>20</v>
      </c>
      <c r="M191" s="1139">
        <f>VLOOKUP(B191,'[26]CN BC'!$H$10:$J$275,3,FALSE)</f>
        <v>20</v>
      </c>
      <c r="N191" s="1139">
        <f t="shared" si="15"/>
        <v>20</v>
      </c>
      <c r="O191" s="1155"/>
      <c r="P191" s="1141">
        <f t="shared" si="16"/>
        <v>4282200</v>
      </c>
      <c r="Q191" s="1646">
        <f t="shared" si="19"/>
        <v>1.83</v>
      </c>
      <c r="R191" s="1580">
        <v>2340000</v>
      </c>
      <c r="S191" s="1647">
        <f t="shared" si="20"/>
        <v>4282200</v>
      </c>
      <c r="T191" s="1142">
        <f t="shared" si="21"/>
        <v>167</v>
      </c>
      <c r="U191" s="1143">
        <f>IFERROR(INDEX('[26]CN BC'!$M$10:$M$276,MATCH(B191,'[26]CN BC'!$H$10:$H$276,0)),"")</f>
        <v>0</v>
      </c>
      <c r="V191" s="1189" t="str">
        <f>VLOOKUP(B191,TH.T4!B187:AC517,28,FALSE)</f>
        <v>CNTT</v>
      </c>
      <c r="W191" s="1171"/>
      <c r="Y191" s="1158"/>
    </row>
    <row r="192" spans="1:35" s="1148" customFormat="1" ht="28.5" customHeight="1">
      <c r="A192" s="1132">
        <f>_xlfn.AGGREGATE(4,7,A$24:A191)+1</f>
        <v>168</v>
      </c>
      <c r="B192" s="1133" t="s">
        <v>1518</v>
      </c>
      <c r="C192" s="1153" t="s">
        <v>1754</v>
      </c>
      <c r="D192" s="1154" t="s">
        <v>1346</v>
      </c>
      <c r="E192" s="383" t="str">
        <f>VLOOKUP(B192,TH.Q2!B93:E424,4,FALSE)</f>
        <v>Giảng viên khoa CNTT</v>
      </c>
      <c r="F192" s="1136">
        <v>4.32</v>
      </c>
      <c r="G192" s="1137"/>
      <c r="H192" s="1400">
        <f t="shared" si="17"/>
        <v>0</v>
      </c>
      <c r="I192" s="1138"/>
      <c r="J192" s="1138" t="str">
        <f>VLOOKUP(B192,'[25]Gui chi Quynh'!$B$11:$E$396,4,FALSE)</f>
        <v>A4</v>
      </c>
      <c r="K192" s="1138">
        <f t="shared" si="18"/>
        <v>0.5</v>
      </c>
      <c r="L192" s="1139">
        <v>20</v>
      </c>
      <c r="M192" s="1139">
        <f>VLOOKUP(B192,'[26]CN BC'!$H$10:$J$275,3,FALSE)</f>
        <v>20</v>
      </c>
      <c r="N192" s="1139">
        <f t="shared" si="15"/>
        <v>20</v>
      </c>
      <c r="O192" s="1155"/>
      <c r="P192" s="1141">
        <f t="shared" si="16"/>
        <v>5054400</v>
      </c>
      <c r="Q192" s="1646">
        <f t="shared" si="19"/>
        <v>2.16</v>
      </c>
      <c r="R192" s="1580">
        <v>2340000</v>
      </c>
      <c r="S192" s="1647">
        <f t="shared" si="20"/>
        <v>5054400</v>
      </c>
      <c r="T192" s="1142">
        <f t="shared" si="21"/>
        <v>168</v>
      </c>
      <c r="U192" s="1143">
        <f>IFERROR(INDEX('[26]CN BC'!$M$10:$M$276,MATCH(B192,'[26]CN BC'!$H$10:$H$276,0)),"")</f>
        <v>0</v>
      </c>
      <c r="V192" s="1189" t="str">
        <f>VLOOKUP(B192,TH.T4!B188:AC518,28,FALSE)</f>
        <v>CNTT</v>
      </c>
      <c r="W192" s="1171"/>
      <c r="Y192" s="1158"/>
    </row>
    <row r="193" spans="1:31" s="1148" customFormat="1" ht="28.5" customHeight="1">
      <c r="A193" s="1132">
        <f>_xlfn.AGGREGATE(4,7,A$24:A192)+1</f>
        <v>169</v>
      </c>
      <c r="B193" s="1133" t="s">
        <v>1519</v>
      </c>
      <c r="C193" s="1153" t="s">
        <v>1755</v>
      </c>
      <c r="D193" s="1154" t="s">
        <v>771</v>
      </c>
      <c r="E193" s="383" t="str">
        <f>VLOOKUP(B193,TH.Q2!B94:E425,4,FALSE)</f>
        <v>Giảng viên khoa CNTT</v>
      </c>
      <c r="F193" s="1160">
        <v>3.99</v>
      </c>
      <c r="G193" s="1137"/>
      <c r="H193" s="1400">
        <f t="shared" si="17"/>
        <v>0</v>
      </c>
      <c r="I193" s="1138"/>
      <c r="J193" s="1138" t="str">
        <f>VLOOKUP(B193,'[25]Gui chi Quynh'!$B$11:$E$396,4,FALSE)</f>
        <v>A3</v>
      </c>
      <c r="K193" s="1138">
        <f t="shared" si="18"/>
        <v>0.6</v>
      </c>
      <c r="L193" s="1139">
        <v>20</v>
      </c>
      <c r="M193" s="1139">
        <f>VLOOKUP(B193,'[26]CN BC'!$H$10:$J$275,3,FALSE)</f>
        <v>20</v>
      </c>
      <c r="N193" s="1139">
        <f t="shared" si="15"/>
        <v>20</v>
      </c>
      <c r="O193" s="1155"/>
      <c r="P193" s="1141">
        <f t="shared" si="16"/>
        <v>5601960</v>
      </c>
      <c r="Q193" s="1646">
        <f t="shared" si="19"/>
        <v>2.3940000000000001</v>
      </c>
      <c r="R193" s="1580">
        <v>2340000</v>
      </c>
      <c r="S193" s="1647">
        <f t="shared" si="20"/>
        <v>5601960</v>
      </c>
      <c r="T193" s="1142">
        <f t="shared" si="21"/>
        <v>169</v>
      </c>
      <c r="U193" s="1143">
        <f>IFERROR(INDEX('[26]CN BC'!$M$10:$M$276,MATCH(B193,'[26]CN BC'!$H$10:$H$276,0)),"")</f>
        <v>0</v>
      </c>
      <c r="V193" s="1189" t="str">
        <f>VLOOKUP(B193,TH.T4!B189:AC519,28,FALSE)</f>
        <v>CNTT</v>
      </c>
      <c r="W193" s="1171"/>
      <c r="Y193" s="1158"/>
    </row>
    <row r="194" spans="1:31" s="1148" customFormat="1" ht="25.5" customHeight="1">
      <c r="A194" s="1132">
        <f>_xlfn.AGGREGATE(4,7,A$24:A193)+1</f>
        <v>170</v>
      </c>
      <c r="B194" s="1133" t="s">
        <v>1520</v>
      </c>
      <c r="C194" s="1153" t="s">
        <v>1756</v>
      </c>
      <c r="D194" s="1226" t="s">
        <v>1593</v>
      </c>
      <c r="E194" s="1058" t="str">
        <f>VLOOKUP(B194,TH.Q2!B95:E426,4,FALSE)</f>
        <v>Giảng viên khoa CNTT</v>
      </c>
      <c r="F194" s="1160">
        <v>3.99</v>
      </c>
      <c r="G194" s="1137"/>
      <c r="H194" s="1393">
        <f t="shared" si="17"/>
        <v>0</v>
      </c>
      <c r="I194" s="1138">
        <v>0.25</v>
      </c>
      <c r="J194" s="1138" t="str">
        <f>VLOOKUP(B194,'[25]Gui chi Quynh'!$B$11:$E$396,4,FALSE)</f>
        <v>A3</v>
      </c>
      <c r="K194" s="1138">
        <f t="shared" si="18"/>
        <v>0.6</v>
      </c>
      <c r="L194" s="1139">
        <v>20</v>
      </c>
      <c r="M194" s="1139">
        <f>VLOOKUP(B194,'[26]CN BC'!$H$10:$J$275,3,FALSE)</f>
        <v>20</v>
      </c>
      <c r="N194" s="1139">
        <f t="shared" si="15"/>
        <v>20</v>
      </c>
      <c r="O194" s="1140"/>
      <c r="P194" s="1141">
        <f t="shared" si="16"/>
        <v>5952960</v>
      </c>
      <c r="Q194" s="1646">
        <f t="shared" si="19"/>
        <v>2.544</v>
      </c>
      <c r="R194" s="1580">
        <v>2340000</v>
      </c>
      <c r="S194" s="1647">
        <f t="shared" si="20"/>
        <v>5952960</v>
      </c>
      <c r="T194" s="1142">
        <f t="shared" si="21"/>
        <v>170</v>
      </c>
      <c r="U194" s="1143">
        <f>IFERROR(INDEX('[26]CN BC'!$M$10:$M$276,MATCH(B194,'[26]CN BC'!$H$10:$H$276,0)),"")</f>
        <v>0</v>
      </c>
      <c r="V194" s="1144" t="str">
        <f>VLOOKUP(B194,TH.T4!B190:AC520,28,FALSE)</f>
        <v>CNTT</v>
      </c>
      <c r="W194" s="1171"/>
      <c r="Y194" s="1158"/>
    </row>
    <row r="195" spans="1:31" s="1148" customFormat="1" ht="28.5" customHeight="1">
      <c r="A195" s="1132">
        <f>_xlfn.AGGREGATE(4,7,A$24:A194)+1</f>
        <v>171</v>
      </c>
      <c r="B195" s="1133" t="s">
        <v>1467</v>
      </c>
      <c r="C195" s="1153" t="s">
        <v>1674</v>
      </c>
      <c r="D195" s="1154" t="s">
        <v>1343</v>
      </c>
      <c r="E195" s="1058" t="str">
        <f>VLOOKUP(B195,TH.Q2!B96:E427,4,FALSE)</f>
        <v>Giảng viên khoa CNTT</v>
      </c>
      <c r="F195" s="1136">
        <v>4.32</v>
      </c>
      <c r="G195" s="1137"/>
      <c r="H195" s="1393">
        <f t="shared" si="17"/>
        <v>0</v>
      </c>
      <c r="I195" s="1138"/>
      <c r="J195" s="1138" t="str">
        <f>VLOOKUP(B195,'[25]Gui chi Quynh'!$B$11:$E$396,4,FALSE)</f>
        <v>A3</v>
      </c>
      <c r="K195" s="1138">
        <f t="shared" si="18"/>
        <v>0.6</v>
      </c>
      <c r="L195" s="1139">
        <v>20</v>
      </c>
      <c r="M195" s="1139">
        <f>VLOOKUP(B195,'[26]CN BC'!$H$10:$J$275,3,FALSE)</f>
        <v>20</v>
      </c>
      <c r="N195" s="1139">
        <f t="shared" si="15"/>
        <v>20</v>
      </c>
      <c r="O195" s="1140"/>
      <c r="P195" s="1141">
        <f t="shared" si="16"/>
        <v>6065280</v>
      </c>
      <c r="Q195" s="1646">
        <f t="shared" si="19"/>
        <v>2.5920000000000001</v>
      </c>
      <c r="R195" s="1580">
        <v>2340000</v>
      </c>
      <c r="S195" s="1647">
        <f t="shared" si="20"/>
        <v>6065280</v>
      </c>
      <c r="T195" s="1142">
        <f t="shared" si="21"/>
        <v>171</v>
      </c>
      <c r="U195" s="1143">
        <f>IFERROR(INDEX('[26]CN BC'!$M$10:$M$276,MATCH(B195,'[26]CN BC'!$H$10:$H$276,0)),"")</f>
        <v>0</v>
      </c>
      <c r="V195" s="1144" t="str">
        <f>VLOOKUP(B195,TH.T4!B191:AC521,28,FALSE)</f>
        <v>CNTT</v>
      </c>
      <c r="W195" s="1130"/>
      <c r="X195" s="1146"/>
      <c r="Y195" s="1147">
        <f>3.68*1490000*1.4</f>
        <v>7676479.9999999991</v>
      </c>
      <c r="Z195" s="1146"/>
      <c r="AA195" s="1146"/>
      <c r="AB195" s="1146"/>
      <c r="AC195" s="1146"/>
      <c r="AD195" s="1146"/>
      <c r="AE195" s="1146"/>
    </row>
    <row r="196" spans="1:31" s="1148" customFormat="1" ht="28.5" customHeight="1">
      <c r="A196" s="1132">
        <f>_xlfn.AGGREGATE(4,7,A$24:A195)+1</f>
        <v>172</v>
      </c>
      <c r="B196" s="1133" t="s">
        <v>2011</v>
      </c>
      <c r="C196" s="1153"/>
      <c r="D196" s="1154"/>
      <c r="E196" s="1058" t="str">
        <f>VLOOKUP(B196,TH.Q2!B97:E428,4,FALSE)</f>
        <v>Giảng viên khoa CNTT</v>
      </c>
      <c r="F196" s="1136">
        <v>2.67</v>
      </c>
      <c r="G196" s="1137"/>
      <c r="H196" s="1393">
        <f t="shared" si="17"/>
        <v>0</v>
      </c>
      <c r="I196" s="1138"/>
      <c r="J196" s="1138" t="str">
        <f>VLOOKUP(B196,'[25]Gui chi Quynh'!$B$11:$E$396,4,FALSE)</f>
        <v>A3</v>
      </c>
      <c r="K196" s="1138">
        <f t="shared" si="18"/>
        <v>0.6</v>
      </c>
      <c r="L196" s="1139">
        <v>20</v>
      </c>
      <c r="M196" s="1139">
        <f>VLOOKUP(B196,'[26]CN BC'!$H$10:$J$275,3,FALSE)</f>
        <v>20</v>
      </c>
      <c r="N196" s="1139">
        <f t="shared" si="15"/>
        <v>20</v>
      </c>
      <c r="O196" s="1140"/>
      <c r="P196" s="1141">
        <f t="shared" si="16"/>
        <v>3748680</v>
      </c>
      <c r="Q196" s="1646">
        <f t="shared" si="19"/>
        <v>1.6020000000000001</v>
      </c>
      <c r="R196" s="1580">
        <v>2340000</v>
      </c>
      <c r="S196" s="1647">
        <f t="shared" si="20"/>
        <v>3748680</v>
      </c>
      <c r="T196" s="1142">
        <f t="shared" si="21"/>
        <v>172</v>
      </c>
      <c r="U196" s="1143">
        <f>IFERROR(INDEX('[26]CN BC'!$M$10:$M$276,MATCH(B196,'[26]CN BC'!$H$10:$H$276,0)),"")</f>
        <v>0</v>
      </c>
      <c r="V196" s="1144" t="str">
        <f>VLOOKUP(B196,TH.T4!B192:AC522,28,FALSE)</f>
        <v>CNTT</v>
      </c>
      <c r="W196" s="1171"/>
      <c r="Y196" s="1158"/>
    </row>
    <row r="197" spans="1:31" s="1148" customFormat="1" ht="28.5" customHeight="1">
      <c r="A197" s="1132">
        <f>_xlfn.AGGREGATE(4,7,A$24:A196)+1</f>
        <v>173</v>
      </c>
      <c r="B197" s="1590" t="s">
        <v>2017</v>
      </c>
      <c r="C197" s="1591"/>
      <c r="D197" s="1629"/>
      <c r="E197" s="490" t="str">
        <f>VLOOKUP(B197,TH.Q2!B98:E429,4,FALSE)</f>
        <v>Giảng viên khoa CNTT</v>
      </c>
      <c r="F197" s="1593">
        <v>2.34</v>
      </c>
      <c r="G197" s="1204"/>
      <c r="H197" s="1398">
        <f t="shared" si="17"/>
        <v>0</v>
      </c>
      <c r="I197" s="1205"/>
      <c r="J197" s="1138" t="str">
        <f>VLOOKUP(B197,'[25]Gui chi Quynh'!$B$11:$E$396,4,FALSE)</f>
        <v>A3</v>
      </c>
      <c r="K197" s="1205">
        <f t="shared" si="18"/>
        <v>0.6</v>
      </c>
      <c r="L197" s="1139">
        <v>20</v>
      </c>
      <c r="M197" s="1139">
        <f>VLOOKUP(B197,'[26]CN BC'!$H$10:$J$275,3,FALSE)</f>
        <v>20</v>
      </c>
      <c r="N197" s="1338">
        <f t="shared" si="15"/>
        <v>20</v>
      </c>
      <c r="O197" s="1631">
        <f>(0.35*2)*2340000*0.6</f>
        <v>982800</v>
      </c>
      <c r="P197" s="1339">
        <f t="shared" si="16"/>
        <v>4268160</v>
      </c>
      <c r="Q197" s="1646">
        <f t="shared" si="19"/>
        <v>1.8240000000000001</v>
      </c>
      <c r="R197" s="1580">
        <v>2340000</v>
      </c>
      <c r="S197" s="1647">
        <f t="shared" si="20"/>
        <v>4268160</v>
      </c>
      <c r="T197" s="1207">
        <f t="shared" si="21"/>
        <v>173</v>
      </c>
      <c r="U197" s="1340" t="s">
        <v>2406</v>
      </c>
      <c r="V197" s="1144" t="str">
        <f>VLOOKUP(B197,TH.T4!B193:AC523,28,FALSE)</f>
        <v>CNTT</v>
      </c>
      <c r="W197" s="1171"/>
      <c r="Y197" s="1158"/>
    </row>
    <row r="198" spans="1:31" s="1148" customFormat="1" ht="28.5" customHeight="1">
      <c r="A198" s="1132">
        <f>_xlfn.AGGREGATE(4,7,A$24:A197)+1</f>
        <v>174</v>
      </c>
      <c r="B198" s="1133" t="s">
        <v>1885</v>
      </c>
      <c r="C198" s="1153" t="s">
        <v>1757</v>
      </c>
      <c r="D198" s="1154" t="s">
        <v>1368</v>
      </c>
      <c r="E198" s="1058" t="str">
        <f>VLOOKUP(B198,TH.Q2!B99:E430,4,FALSE)</f>
        <v>Trưởng khoa Cơ khí</v>
      </c>
      <c r="F198" s="1136">
        <v>4.6500000000000004</v>
      </c>
      <c r="G198" s="1137"/>
      <c r="H198" s="1393">
        <f t="shared" si="17"/>
        <v>0</v>
      </c>
      <c r="I198" s="1138">
        <v>0.45</v>
      </c>
      <c r="J198" s="1138" t="str">
        <f>VLOOKUP(B198,'[25]Gui chi Quynh'!$B$11:$E$396,4,FALSE)</f>
        <v>A2</v>
      </c>
      <c r="K198" s="1138">
        <f t="shared" si="18"/>
        <v>0.7</v>
      </c>
      <c r="L198" s="1139">
        <v>20</v>
      </c>
      <c r="M198" s="1139">
        <f>VLOOKUP(B198,'[26]CN BC'!$H$10:$J$275,3,FALSE)</f>
        <v>25</v>
      </c>
      <c r="N198" s="1139">
        <f t="shared" si="15"/>
        <v>20</v>
      </c>
      <c r="O198" s="1140"/>
      <c r="P198" s="1141">
        <f t="shared" si="16"/>
        <v>8353800.0000000009</v>
      </c>
      <c r="Q198" s="1646">
        <f t="shared" si="19"/>
        <v>3.5700000000000003</v>
      </c>
      <c r="R198" s="1580">
        <v>2340000</v>
      </c>
      <c r="S198" s="1647">
        <f t="shared" si="20"/>
        <v>8353800.0000000009</v>
      </c>
      <c r="T198" s="1142">
        <f t="shared" si="21"/>
        <v>174</v>
      </c>
      <c r="U198" s="1143">
        <f>IFERROR(INDEX('[26]CN BC'!$M$10:$M$276,MATCH(B198,'[26]CN BC'!$H$10:$H$276,0)),"")</f>
        <v>0</v>
      </c>
      <c r="V198" s="1144" t="str">
        <f>VLOOKUP(B198,TH.T4!B194:AC524,28,FALSE)</f>
        <v>CK</v>
      </c>
      <c r="W198" s="1130"/>
      <c r="X198" s="1146"/>
      <c r="Y198" s="1147"/>
      <c r="Z198" s="1146"/>
      <c r="AA198" s="1146"/>
      <c r="AB198" s="1146"/>
      <c r="AC198" s="1146"/>
      <c r="AD198" s="1146"/>
      <c r="AE198" s="1146"/>
    </row>
    <row r="199" spans="1:31" s="1146" customFormat="1" ht="26.25" customHeight="1">
      <c r="A199" s="1132">
        <f>_xlfn.AGGREGATE(4,7,A$24:A198)+1</f>
        <v>175</v>
      </c>
      <c r="B199" s="1172" t="s">
        <v>1886</v>
      </c>
      <c r="C199" s="1149" t="s">
        <v>1758</v>
      </c>
      <c r="D199" s="1173" t="s">
        <v>1363</v>
      </c>
      <c r="E199" s="1058" t="str">
        <f>VLOOKUP(B199,TH.Q2!B100:E431,4,FALSE)</f>
        <v>Giảng viên khoa Cơ khí</v>
      </c>
      <c r="F199" s="1174">
        <v>4.9800000000000004</v>
      </c>
      <c r="G199" s="1175">
        <v>7.0000000000000007E-2</v>
      </c>
      <c r="H199" s="1393">
        <f t="shared" si="17"/>
        <v>0.34899999999999998</v>
      </c>
      <c r="I199" s="1176"/>
      <c r="J199" s="1138" t="str">
        <f>VLOOKUP(B199,'[25]Gui chi Quynh'!$B$11:$E$396,4,FALSE)</f>
        <v>A3</v>
      </c>
      <c r="K199" s="1138">
        <f t="shared" si="18"/>
        <v>0.6</v>
      </c>
      <c r="L199" s="1139">
        <v>20</v>
      </c>
      <c r="M199" s="1139">
        <f>VLOOKUP(B199,'[26]CN BC'!$H$10:$J$275,3,FALSE)</f>
        <v>22</v>
      </c>
      <c r="N199" s="1139">
        <f t="shared" si="15"/>
        <v>20</v>
      </c>
      <c r="O199" s="1140"/>
      <c r="P199" s="1141">
        <f t="shared" si="16"/>
        <v>7481916.0000000009</v>
      </c>
      <c r="Q199" s="1646">
        <f t="shared" si="19"/>
        <v>3.1974000000000005</v>
      </c>
      <c r="R199" s="1580">
        <v>2340000</v>
      </c>
      <c r="S199" s="1647">
        <f t="shared" si="20"/>
        <v>7481916.0000000009</v>
      </c>
      <c r="T199" s="1142">
        <f t="shared" si="21"/>
        <v>175</v>
      </c>
      <c r="U199" s="1143" t="str">
        <f>IFERROR(INDEX('[26]CN BC'!$M$10:$M$276,MATCH(B199,'[26]CN BC'!$H$10:$H$276,0)),"")</f>
        <v>Cộng 1 ngày tham gia ẩm thực 3 miền 17/11</v>
      </c>
      <c r="V199" s="1144" t="str">
        <f>VLOOKUP(B199,TH.T4!B195:AC525,28,FALSE)</f>
        <v>CK</v>
      </c>
      <c r="W199" s="1130"/>
      <c r="Y199" s="1147"/>
    </row>
    <row r="200" spans="1:31" s="1148" customFormat="1" ht="31.5" customHeight="1">
      <c r="A200" s="1132">
        <f>_xlfn.AGGREGATE(4,7,A$24:A199)+1</f>
        <v>176</v>
      </c>
      <c r="B200" s="1133" t="s">
        <v>1887</v>
      </c>
      <c r="C200" s="1153" t="s">
        <v>1759</v>
      </c>
      <c r="D200" s="1154" t="s">
        <v>1364</v>
      </c>
      <c r="E200" s="383" t="str">
        <f>VLOOKUP(B200,TH.Q2!B101:E432,4,FALSE)</f>
        <v>Giảng viên khoa Cơ khí</v>
      </c>
      <c r="F200" s="1136">
        <v>4.9800000000000004</v>
      </c>
      <c r="G200" s="1137">
        <v>0.08</v>
      </c>
      <c r="H200" s="1400">
        <f t="shared" si="17"/>
        <v>0.39800000000000002</v>
      </c>
      <c r="I200" s="1138"/>
      <c r="J200" s="1138" t="str">
        <f>VLOOKUP(B200,'[25]Gui chi Quynh'!$B$11:$E$396,4,FALSE)</f>
        <v>A1</v>
      </c>
      <c r="K200" s="1138">
        <f t="shared" si="18"/>
        <v>0.8</v>
      </c>
      <c r="L200" s="1139">
        <v>20</v>
      </c>
      <c r="M200" s="1139">
        <f>VLOOKUP(B200,'[26]CN BC'!$H$10:$J$275,3,FALSE)</f>
        <v>20</v>
      </c>
      <c r="N200" s="1139">
        <f t="shared" si="15"/>
        <v>20</v>
      </c>
      <c r="O200" s="1155"/>
      <c r="P200" s="1141">
        <f t="shared" si="16"/>
        <v>10067616</v>
      </c>
      <c r="Q200" s="1646">
        <f t="shared" si="19"/>
        <v>4.3023999999999996</v>
      </c>
      <c r="R200" s="1580">
        <v>2340000</v>
      </c>
      <c r="S200" s="1647">
        <f t="shared" si="20"/>
        <v>10067615.999999998</v>
      </c>
      <c r="T200" s="1142">
        <f t="shared" si="21"/>
        <v>176</v>
      </c>
      <c r="U200" s="1143">
        <f>IFERROR(INDEX('[26]CN BC'!$M$10:$M$276,MATCH(B200,'[26]CN BC'!$H$10:$H$276,0)),"")</f>
        <v>0</v>
      </c>
      <c r="V200" s="1189" t="str">
        <f>VLOOKUP(B200,TH.T4!B196:AC526,28,FALSE)</f>
        <v>CK</v>
      </c>
      <c r="W200" s="1171"/>
      <c r="Y200" s="1158"/>
    </row>
    <row r="201" spans="1:31" s="1148" customFormat="1" ht="25.5" customHeight="1">
      <c r="A201" s="1132">
        <f>_xlfn.AGGREGATE(4,7,A$24:A200)+1</f>
        <v>177</v>
      </c>
      <c r="B201" s="1133" t="s">
        <v>1888</v>
      </c>
      <c r="C201" s="1153" t="s">
        <v>1760</v>
      </c>
      <c r="D201" s="1154" t="s">
        <v>1369</v>
      </c>
      <c r="E201" s="1058" t="str">
        <f>VLOOKUP(B201,TH.Q2!B102:E433,4,FALSE)</f>
        <v>Giảng viên khoa Cơ khí</v>
      </c>
      <c r="F201" s="1136">
        <v>4.32</v>
      </c>
      <c r="G201" s="1137"/>
      <c r="H201" s="1393">
        <f t="shared" si="17"/>
        <v>0</v>
      </c>
      <c r="I201" s="1138"/>
      <c r="J201" s="1138" t="str">
        <f>VLOOKUP(B201,'[25]Gui chi Quynh'!$B$11:$E$396,4,FALSE)</f>
        <v>A4</v>
      </c>
      <c r="K201" s="1138">
        <f t="shared" si="18"/>
        <v>0.5</v>
      </c>
      <c r="L201" s="1139">
        <v>20</v>
      </c>
      <c r="M201" s="1139">
        <f>VLOOKUP(B201,'[26]CN BC'!$H$10:$J$275,3,FALSE)</f>
        <v>20</v>
      </c>
      <c r="N201" s="1139">
        <f t="shared" si="15"/>
        <v>20</v>
      </c>
      <c r="O201" s="1140"/>
      <c r="P201" s="1141">
        <f t="shared" si="16"/>
        <v>5054400</v>
      </c>
      <c r="Q201" s="1646">
        <f t="shared" si="19"/>
        <v>2.16</v>
      </c>
      <c r="R201" s="1580">
        <v>2340000</v>
      </c>
      <c r="S201" s="1647">
        <f t="shared" si="20"/>
        <v>5054400</v>
      </c>
      <c r="T201" s="1142">
        <f t="shared" si="21"/>
        <v>177</v>
      </c>
      <c r="U201" s="1143">
        <f>IFERROR(INDEX('[26]CN BC'!$M$10:$M$276,MATCH(B201,'[26]CN BC'!$H$10:$H$276,0)),"")</f>
        <v>0</v>
      </c>
      <c r="V201" s="1144" t="str">
        <f>VLOOKUP(B201,TH.T4!B197:AC527,28,FALSE)</f>
        <v>CK</v>
      </c>
      <c r="W201" s="1130"/>
      <c r="X201" s="1146"/>
      <c r="Y201" s="1147"/>
      <c r="Z201" s="1146"/>
      <c r="AA201" s="1146"/>
      <c r="AB201" s="1146"/>
      <c r="AC201" s="1146"/>
      <c r="AD201" s="1146"/>
      <c r="AE201" s="1146"/>
    </row>
    <row r="202" spans="1:31" s="1148" customFormat="1" ht="25.5" customHeight="1">
      <c r="A202" s="1132">
        <f>_xlfn.AGGREGATE(4,7,A$24:A201)+1</f>
        <v>178</v>
      </c>
      <c r="B202" s="1133" t="s">
        <v>1889</v>
      </c>
      <c r="C202" s="1153" t="s">
        <v>1761</v>
      </c>
      <c r="D202" s="1154" t="s">
        <v>42</v>
      </c>
      <c r="E202" s="1058" t="str">
        <f>VLOOKUP(B202,TH.Q2!B103:E434,4,FALSE)</f>
        <v>Giảng viên khoa Cơ khí</v>
      </c>
      <c r="F202" s="1136">
        <v>4.9800000000000004</v>
      </c>
      <c r="G202" s="1137">
        <v>0.16</v>
      </c>
      <c r="H202" s="1393">
        <f t="shared" si="17"/>
        <v>0.79700000000000004</v>
      </c>
      <c r="I202" s="1138"/>
      <c r="J202" s="1138" t="str">
        <f>VLOOKUP(B202,'[25]Gui chi Quynh'!$B$11:$E$396,4,FALSE)</f>
        <v>A4</v>
      </c>
      <c r="K202" s="1138">
        <f t="shared" si="18"/>
        <v>0.5</v>
      </c>
      <c r="L202" s="1139">
        <v>20</v>
      </c>
      <c r="M202" s="1139">
        <f>VLOOKUP(B202,'[26]CN BC'!$H$10:$J$275,3,FALSE)</f>
        <v>20</v>
      </c>
      <c r="N202" s="1139">
        <f t="shared" si="15"/>
        <v>20</v>
      </c>
      <c r="O202" s="1140"/>
      <c r="P202" s="1141">
        <f t="shared" si="16"/>
        <v>6759090</v>
      </c>
      <c r="Q202" s="1646">
        <f t="shared" si="19"/>
        <v>2.8885000000000001</v>
      </c>
      <c r="R202" s="1580">
        <v>2340000</v>
      </c>
      <c r="S202" s="1647">
        <f t="shared" si="20"/>
        <v>6759090</v>
      </c>
      <c r="T202" s="1142">
        <f t="shared" si="21"/>
        <v>178</v>
      </c>
      <c r="U202" s="1143">
        <f>IFERROR(INDEX('[26]CN BC'!$M$10:$M$276,MATCH(B202,'[26]CN BC'!$H$10:$H$276,0)),"")</f>
        <v>0</v>
      </c>
      <c r="V202" s="1144" t="str">
        <f>VLOOKUP(B202,TH.T4!B198:AC528,28,FALSE)</f>
        <v>CK</v>
      </c>
      <c r="W202" s="1130"/>
      <c r="X202" s="1146"/>
      <c r="Y202" s="1147"/>
      <c r="Z202" s="1146"/>
      <c r="AA202" s="1146"/>
      <c r="AB202" s="1146"/>
      <c r="AC202" s="1146"/>
      <c r="AD202" s="1146"/>
      <c r="AE202" s="1146"/>
    </row>
    <row r="203" spans="1:31" s="1148" customFormat="1" ht="25.5" customHeight="1">
      <c r="A203" s="1132">
        <f>_xlfn.AGGREGATE(4,7,A$24:A202)+1</f>
        <v>179</v>
      </c>
      <c r="B203" s="1133" t="s">
        <v>1890</v>
      </c>
      <c r="C203" s="1153" t="s">
        <v>1762</v>
      </c>
      <c r="D203" s="1154" t="s">
        <v>1367</v>
      </c>
      <c r="E203" s="1058" t="str">
        <f>VLOOKUP(B203,TH.Q2!B104:E435,4,FALSE)</f>
        <v>Giảng viên khoa Cơ khí</v>
      </c>
      <c r="F203" s="1136">
        <v>4.6500000000000004</v>
      </c>
      <c r="G203" s="1137"/>
      <c r="H203" s="1393">
        <f t="shared" si="17"/>
        <v>0</v>
      </c>
      <c r="I203" s="1138">
        <f>0.25</f>
        <v>0.25</v>
      </c>
      <c r="J203" s="1138" t="str">
        <f>VLOOKUP(B203,'[25]Gui chi Quynh'!$B$11:$E$396,4,FALSE)</f>
        <v>A2</v>
      </c>
      <c r="K203" s="1138">
        <f t="shared" si="18"/>
        <v>0.7</v>
      </c>
      <c r="L203" s="1139">
        <v>20</v>
      </c>
      <c r="M203" s="1139">
        <f>VLOOKUP(B203,'[26]CN BC'!$H$10:$J$275,3,FALSE)</f>
        <v>20</v>
      </c>
      <c r="N203" s="1139">
        <f t="shared" si="15"/>
        <v>20</v>
      </c>
      <c r="O203" s="1140"/>
      <c r="P203" s="1141">
        <f t="shared" si="16"/>
        <v>8026199.9999999991</v>
      </c>
      <c r="Q203" s="1646">
        <f t="shared" si="19"/>
        <v>3.4299999999999997</v>
      </c>
      <c r="R203" s="1580">
        <v>2340000</v>
      </c>
      <c r="S203" s="1647">
        <f t="shared" si="20"/>
        <v>8026199.9999999991</v>
      </c>
      <c r="T203" s="1142">
        <f t="shared" si="21"/>
        <v>179</v>
      </c>
      <c r="U203" s="1143">
        <f>IFERROR(INDEX('[26]CN BC'!$M$10:$M$276,MATCH(B203,'[26]CN BC'!$H$10:$H$276,0)),"")</f>
        <v>0</v>
      </c>
      <c r="V203" s="1144" t="str">
        <f>VLOOKUP(B203,TH.T4!B199:AC529,28,FALSE)</f>
        <v>CK</v>
      </c>
      <c r="W203" s="1130"/>
      <c r="X203" s="1146"/>
      <c r="Y203" s="1147"/>
      <c r="Z203" s="1146"/>
      <c r="AA203" s="1146"/>
      <c r="AB203" s="1146"/>
      <c r="AC203" s="1146"/>
      <c r="AD203" s="1146"/>
      <c r="AE203" s="1146"/>
    </row>
    <row r="204" spans="1:31" s="1148" customFormat="1" ht="25.5" customHeight="1">
      <c r="A204" s="1132">
        <f>_xlfn.AGGREGATE(4,7,A$24:A203)+1</f>
        <v>180</v>
      </c>
      <c r="B204" s="1133" t="s">
        <v>1891</v>
      </c>
      <c r="C204" s="1153" t="s">
        <v>1763</v>
      </c>
      <c r="D204" s="1154" t="s">
        <v>1377</v>
      </c>
      <c r="E204" s="383" t="str">
        <f>VLOOKUP(B204,TH.Q2!B105:E436,4,FALSE)</f>
        <v>Giảng viên khoa Cơ khí</v>
      </c>
      <c r="F204" s="1136">
        <v>4.9800000000000004</v>
      </c>
      <c r="G204" s="1137">
        <v>7.0000000000000007E-2</v>
      </c>
      <c r="H204" s="1400">
        <f t="shared" si="17"/>
        <v>0.34899999999999998</v>
      </c>
      <c r="I204" s="1138">
        <v>0.25</v>
      </c>
      <c r="J204" s="1138" t="str">
        <f>VLOOKUP(B204,'[25]Gui chi Quynh'!$B$11:$E$396,4,FALSE)</f>
        <v>A3</v>
      </c>
      <c r="K204" s="1138">
        <f t="shared" si="18"/>
        <v>0.6</v>
      </c>
      <c r="L204" s="1139">
        <v>20</v>
      </c>
      <c r="M204" s="1139">
        <f>VLOOKUP(B204,'[26]CN BC'!$H$10:$J$275,3,FALSE)</f>
        <v>20</v>
      </c>
      <c r="N204" s="1139">
        <f t="shared" si="15"/>
        <v>20</v>
      </c>
      <c r="O204" s="1155"/>
      <c r="P204" s="1141">
        <f t="shared" si="16"/>
        <v>7832916.0000000009</v>
      </c>
      <c r="Q204" s="1646">
        <f t="shared" si="19"/>
        <v>3.3474000000000004</v>
      </c>
      <c r="R204" s="1580">
        <v>2340000</v>
      </c>
      <c r="S204" s="1647">
        <f t="shared" si="20"/>
        <v>7832916.0000000009</v>
      </c>
      <c r="T204" s="1142">
        <f t="shared" si="21"/>
        <v>180</v>
      </c>
      <c r="U204" s="1143">
        <f>IFERROR(INDEX('[26]CN BC'!$M$10:$M$276,MATCH(B204,'[26]CN BC'!$H$10:$H$276,0)),"")</f>
        <v>0</v>
      </c>
      <c r="V204" s="1189" t="str">
        <f>VLOOKUP(B204,TH.T4!B200:AC530,28,FALSE)</f>
        <v>CK</v>
      </c>
      <c r="W204" s="1171"/>
      <c r="Y204" s="1158"/>
    </row>
    <row r="205" spans="1:31" s="1148" customFormat="1" ht="25.5" customHeight="1">
      <c r="A205" s="1132">
        <f>_xlfn.AGGREGATE(4,7,A$24:A204)+1</f>
        <v>181</v>
      </c>
      <c r="B205" s="1133" t="s">
        <v>1525</v>
      </c>
      <c r="C205" s="1153" t="s">
        <v>1764</v>
      </c>
      <c r="D205" s="1154" t="s">
        <v>1372</v>
      </c>
      <c r="E205" s="1058" t="str">
        <f>VLOOKUP(B205,TH.Q2!B106:E437,4,FALSE)</f>
        <v>Giảng viên khoa Cơ khí</v>
      </c>
      <c r="F205" s="1160">
        <v>3.99</v>
      </c>
      <c r="G205" s="1137"/>
      <c r="H205" s="1393">
        <f t="shared" si="17"/>
        <v>0</v>
      </c>
      <c r="I205" s="1138"/>
      <c r="J205" s="1138" t="str">
        <f>VLOOKUP(B205,'[25]Gui chi Quynh'!$B$11:$E$396,4,FALSE)</f>
        <v>A4</v>
      </c>
      <c r="K205" s="1138">
        <f t="shared" si="18"/>
        <v>0.5</v>
      </c>
      <c r="L205" s="1139">
        <v>20</v>
      </c>
      <c r="M205" s="1139">
        <f>VLOOKUP(B205,'[26]CN BC'!$H$10:$J$275,3,FALSE)</f>
        <v>20</v>
      </c>
      <c r="N205" s="1139">
        <f t="shared" si="15"/>
        <v>20</v>
      </c>
      <c r="O205" s="1140"/>
      <c r="P205" s="1141">
        <f t="shared" si="16"/>
        <v>4668300</v>
      </c>
      <c r="Q205" s="1646">
        <f t="shared" si="19"/>
        <v>1.9950000000000001</v>
      </c>
      <c r="R205" s="1580">
        <v>2340000</v>
      </c>
      <c r="S205" s="1647">
        <f t="shared" si="20"/>
        <v>4668300</v>
      </c>
      <c r="T205" s="1142">
        <f t="shared" si="21"/>
        <v>181</v>
      </c>
      <c r="U205" s="1143">
        <f>IFERROR(INDEX('[26]CN BC'!$M$10:$M$276,MATCH(B205,'[26]CN BC'!$H$10:$H$276,0)),"")</f>
        <v>0</v>
      </c>
      <c r="V205" s="1144" t="str">
        <f>VLOOKUP(B205,TH.T4!B201:AC531,28,FALSE)</f>
        <v>CK</v>
      </c>
      <c r="W205" s="1167"/>
      <c r="X205" s="1146"/>
      <c r="Y205" s="1147"/>
      <c r="Z205" s="1146"/>
      <c r="AA205" s="1146"/>
      <c r="AB205" s="1146"/>
      <c r="AC205" s="1146"/>
      <c r="AD205" s="1146"/>
      <c r="AE205" s="1146"/>
    </row>
    <row r="206" spans="1:31" s="1148" customFormat="1" ht="25.5" customHeight="1">
      <c r="A206" s="1132">
        <f>_xlfn.AGGREGATE(4,7,A$24:A205)+1</f>
        <v>182</v>
      </c>
      <c r="B206" s="1133" t="s">
        <v>1892</v>
      </c>
      <c r="C206" s="1153" t="s">
        <v>1765</v>
      </c>
      <c r="D206" s="1154" t="s">
        <v>1374</v>
      </c>
      <c r="E206" s="383" t="str">
        <f>VLOOKUP(B206,TH.Q2!B107:E438,4,FALSE)</f>
        <v>Giảng viên khoa Cơ khí</v>
      </c>
      <c r="F206" s="1136">
        <v>4.9800000000000004</v>
      </c>
      <c r="G206" s="1137">
        <v>0.06</v>
      </c>
      <c r="H206" s="1400">
        <f t="shared" si="17"/>
        <v>0.29899999999999999</v>
      </c>
      <c r="I206" s="1138"/>
      <c r="J206" s="1138" t="str">
        <f>VLOOKUP(B206,'[25]Gui chi Quynh'!$B$11:$E$396,4,FALSE)</f>
        <v>A4</v>
      </c>
      <c r="K206" s="1138">
        <f t="shared" si="18"/>
        <v>0.5</v>
      </c>
      <c r="L206" s="1139">
        <v>20</v>
      </c>
      <c r="M206" s="1139">
        <f>VLOOKUP(B206,'[26]CN BC'!$H$10:$J$275,3,FALSE)</f>
        <v>20</v>
      </c>
      <c r="N206" s="1139">
        <f t="shared" si="15"/>
        <v>20</v>
      </c>
      <c r="O206" s="1155"/>
      <c r="P206" s="1141">
        <f t="shared" si="16"/>
        <v>6176430.0000000009</v>
      </c>
      <c r="Q206" s="1646">
        <f t="shared" si="19"/>
        <v>2.6395000000000004</v>
      </c>
      <c r="R206" s="1580">
        <v>2340000</v>
      </c>
      <c r="S206" s="1647">
        <f t="shared" si="20"/>
        <v>6176430.0000000009</v>
      </c>
      <c r="T206" s="1142">
        <f t="shared" si="21"/>
        <v>182</v>
      </c>
      <c r="U206" s="1143">
        <f>IFERROR(INDEX('[26]CN BC'!$M$10:$M$276,MATCH(B206,'[26]CN BC'!$H$10:$H$276,0)),"")</f>
        <v>0</v>
      </c>
      <c r="V206" s="1189" t="str">
        <f>VLOOKUP(B206,TH.T4!B202:AC532,28,FALSE)</f>
        <v>CK</v>
      </c>
      <c r="W206" s="1171"/>
      <c r="Y206" s="1158"/>
    </row>
    <row r="207" spans="1:31" s="1148" customFormat="1" ht="25.5" customHeight="1">
      <c r="A207" s="1132">
        <f>_xlfn.AGGREGATE(4,7,A$24:A206)+1</f>
        <v>183</v>
      </c>
      <c r="B207" s="1133" t="s">
        <v>1526</v>
      </c>
      <c r="C207" s="1153" t="s">
        <v>1766</v>
      </c>
      <c r="D207" s="1188" t="s">
        <v>1939</v>
      </c>
      <c r="E207" s="383" t="str">
        <f>VLOOKUP(B207,TH.Q2!B108:E439,4,FALSE)</f>
        <v>Phó Trưởng khoa Cơ khí</v>
      </c>
      <c r="F207" s="1160">
        <v>3.99</v>
      </c>
      <c r="G207" s="1137"/>
      <c r="H207" s="1400">
        <f t="shared" si="17"/>
        <v>0</v>
      </c>
      <c r="I207" s="1138">
        <v>0.35</v>
      </c>
      <c r="J207" s="1138" t="str">
        <f>VLOOKUP(B207,'[25]Gui chi Quynh'!$B$11:$E$396,4,FALSE)</f>
        <v>A2</v>
      </c>
      <c r="K207" s="1138">
        <f t="shared" si="18"/>
        <v>0.7</v>
      </c>
      <c r="L207" s="1139">
        <v>20</v>
      </c>
      <c r="M207" s="1139">
        <f>VLOOKUP(B207,'[26]CN BC'!$H$10:$J$275,3,FALSE)</f>
        <v>20</v>
      </c>
      <c r="N207" s="1139">
        <f t="shared" si="15"/>
        <v>20</v>
      </c>
      <c r="O207" s="1155"/>
      <c r="P207" s="1141">
        <f t="shared" si="16"/>
        <v>7108920</v>
      </c>
      <c r="Q207" s="1646">
        <f t="shared" si="19"/>
        <v>3.0379999999999998</v>
      </c>
      <c r="R207" s="1580">
        <v>2340000</v>
      </c>
      <c r="S207" s="1647">
        <f t="shared" si="20"/>
        <v>7108920</v>
      </c>
      <c r="T207" s="1142">
        <f t="shared" si="21"/>
        <v>183</v>
      </c>
      <c r="U207" s="1143">
        <f>IFERROR(INDEX('[26]CN BC'!$M$10:$M$276,MATCH(B207,'[26]CN BC'!$H$10:$H$276,0)),"")</f>
        <v>0</v>
      </c>
      <c r="V207" s="1189" t="str">
        <f>VLOOKUP(B207,TH.T4!B203:AC533,28,FALSE)</f>
        <v>CK</v>
      </c>
      <c r="W207" s="1171"/>
      <c r="Y207" s="1158"/>
    </row>
    <row r="208" spans="1:31" s="1148" customFormat="1" ht="26.25" customHeight="1">
      <c r="A208" s="1132">
        <f>_xlfn.AGGREGATE(4,7,A$24:A207)+1</f>
        <v>184</v>
      </c>
      <c r="B208" s="1133" t="s">
        <v>1527</v>
      </c>
      <c r="C208" s="1153" t="s">
        <v>1767</v>
      </c>
      <c r="D208" s="1154" t="s">
        <v>1379</v>
      </c>
      <c r="E208" s="383" t="str">
        <f>VLOOKUP(B208,TH.Q2!B109:E440,4,FALSE)</f>
        <v>Giảng viên khoa Cơ khí</v>
      </c>
      <c r="F208" s="1160">
        <v>3.99</v>
      </c>
      <c r="G208" s="1137"/>
      <c r="H208" s="1400">
        <f t="shared" si="17"/>
        <v>0</v>
      </c>
      <c r="I208" s="1138"/>
      <c r="J208" s="1138" t="str">
        <f>VLOOKUP(B208,'[25]Gui chi Quynh'!$B$11:$E$396,4,FALSE)</f>
        <v>A4</v>
      </c>
      <c r="K208" s="1138">
        <f t="shared" si="18"/>
        <v>0.5</v>
      </c>
      <c r="L208" s="1139">
        <v>20</v>
      </c>
      <c r="M208" s="1139">
        <f>VLOOKUP(B208,'[26]CN BC'!$H$10:$J$275,3,FALSE)</f>
        <v>20</v>
      </c>
      <c r="N208" s="1139">
        <f t="shared" si="15"/>
        <v>20</v>
      </c>
      <c r="O208" s="1155"/>
      <c r="P208" s="1141">
        <f t="shared" si="16"/>
        <v>4668300</v>
      </c>
      <c r="Q208" s="1646">
        <f t="shared" si="19"/>
        <v>1.9950000000000001</v>
      </c>
      <c r="R208" s="1580">
        <v>2340000</v>
      </c>
      <c r="S208" s="1647">
        <f t="shared" si="20"/>
        <v>4668300</v>
      </c>
      <c r="T208" s="1142">
        <f t="shared" si="21"/>
        <v>184</v>
      </c>
      <c r="U208" s="1143">
        <f>IFERROR(INDEX('[26]CN BC'!$M$10:$M$276,MATCH(B208,'[26]CN BC'!$H$10:$H$276,0)),"")</f>
        <v>0</v>
      </c>
      <c r="V208" s="1189" t="str">
        <f>VLOOKUP(B208,TH.T4!B204:AC534,28,FALSE)</f>
        <v>CK</v>
      </c>
      <c r="W208" s="1171"/>
      <c r="Y208" s="1158"/>
    </row>
    <row r="209" spans="1:35" s="1148" customFormat="1" ht="27.75" customHeight="1">
      <c r="A209" s="1132">
        <f>_xlfn.AGGREGATE(4,7,A$24:A208)+1</f>
        <v>185</v>
      </c>
      <c r="B209" s="1133" t="s">
        <v>1893</v>
      </c>
      <c r="C209" s="1153" t="s">
        <v>1768</v>
      </c>
      <c r="D209" s="1154" t="s">
        <v>387</v>
      </c>
      <c r="E209" s="1058" t="str">
        <f>VLOOKUP(B209,TH.Q2!B110:E441,4,FALSE)</f>
        <v>Giảng viên khoa Cơ khí</v>
      </c>
      <c r="F209" s="1160">
        <v>3.66</v>
      </c>
      <c r="G209" s="1137"/>
      <c r="H209" s="1393">
        <f t="shared" si="17"/>
        <v>0</v>
      </c>
      <c r="I209" s="1138"/>
      <c r="J209" s="1138" t="str">
        <f>VLOOKUP(B209,'[25]Gui chi Quynh'!$B$11:$E$396,4,FALSE)</f>
        <v>A3</v>
      </c>
      <c r="K209" s="1138">
        <f t="shared" si="18"/>
        <v>0.6</v>
      </c>
      <c r="L209" s="1139">
        <v>20</v>
      </c>
      <c r="M209" s="1139">
        <f>VLOOKUP(B209,'[26]CN BC'!$H$10:$J$275,3,FALSE)</f>
        <v>20</v>
      </c>
      <c r="N209" s="1139">
        <f t="shared" si="15"/>
        <v>20</v>
      </c>
      <c r="O209" s="1140"/>
      <c r="P209" s="1141">
        <f t="shared" si="16"/>
        <v>5138640</v>
      </c>
      <c r="Q209" s="1646">
        <f t="shared" si="19"/>
        <v>2.1960000000000002</v>
      </c>
      <c r="R209" s="1580">
        <v>2340000</v>
      </c>
      <c r="S209" s="1647">
        <f t="shared" si="20"/>
        <v>5138640</v>
      </c>
      <c r="T209" s="1142">
        <f t="shared" si="21"/>
        <v>185</v>
      </c>
      <c r="U209" s="1143">
        <f>IFERROR(INDEX('[26]CN BC'!$M$10:$M$276,MATCH(B209,'[26]CN BC'!$H$10:$H$276,0)),"")</f>
        <v>0</v>
      </c>
      <c r="V209" s="1144" t="str">
        <f>VLOOKUP(B209,TH.T4!B205:AC535,28,FALSE)</f>
        <v>CK</v>
      </c>
      <c r="W209" s="1130"/>
      <c r="X209" s="1146"/>
      <c r="Y209" s="1147"/>
      <c r="Z209" s="1146"/>
      <c r="AA209" s="1146"/>
      <c r="AB209" s="1146"/>
      <c r="AC209" s="1146"/>
      <c r="AD209" s="1146"/>
      <c r="AE209" s="1146"/>
    </row>
    <row r="210" spans="1:35" s="1148" customFormat="1" ht="27.75" customHeight="1">
      <c r="A210" s="1132">
        <f>_xlfn.AGGREGATE(4,7,A$24:A209)+1</f>
        <v>186</v>
      </c>
      <c r="B210" s="1133" t="s">
        <v>1894</v>
      </c>
      <c r="C210" s="1153" t="s">
        <v>1769</v>
      </c>
      <c r="D210" s="1154" t="s">
        <v>388</v>
      </c>
      <c r="E210" s="1058" t="str">
        <f>VLOOKUP(B210,TH.Q2!B111:E442,4,FALSE)</f>
        <v>Giảng viên khoa Cơ khí</v>
      </c>
      <c r="F210" s="1160">
        <v>3.66</v>
      </c>
      <c r="G210" s="1137"/>
      <c r="H210" s="1393">
        <f t="shared" si="17"/>
        <v>0</v>
      </c>
      <c r="I210" s="1138"/>
      <c r="J210" s="1138" t="str">
        <f>VLOOKUP(B210,'[25]Gui chi Quynh'!$B$11:$E$396,4,FALSE)</f>
        <v>A4</v>
      </c>
      <c r="K210" s="1138">
        <f t="shared" si="18"/>
        <v>0.5</v>
      </c>
      <c r="L210" s="1139">
        <v>20</v>
      </c>
      <c r="M210" s="1139">
        <f>VLOOKUP(B210,'[26]CN BC'!$H$10:$J$275,3,FALSE)</f>
        <v>20</v>
      </c>
      <c r="N210" s="1139">
        <f t="shared" si="15"/>
        <v>20</v>
      </c>
      <c r="O210" s="1140"/>
      <c r="P210" s="1141">
        <f t="shared" si="16"/>
        <v>4282200</v>
      </c>
      <c r="Q210" s="1646">
        <f t="shared" si="19"/>
        <v>1.83</v>
      </c>
      <c r="R210" s="1580">
        <v>2340000</v>
      </c>
      <c r="S210" s="1647">
        <f t="shared" si="20"/>
        <v>4282200</v>
      </c>
      <c r="T210" s="1142">
        <f t="shared" si="21"/>
        <v>186</v>
      </c>
      <c r="U210" s="1143">
        <f>IFERROR(INDEX('[26]CN BC'!$M$10:$M$276,MATCH(B210,'[26]CN BC'!$H$10:$H$276,0)),"")</f>
        <v>0</v>
      </c>
      <c r="V210" s="1144" t="str">
        <f>VLOOKUP(B210,TH.T4!B206:AC536,28,FALSE)</f>
        <v>CK</v>
      </c>
      <c r="W210" s="1130"/>
      <c r="X210" s="1146"/>
      <c r="Y210" s="1147"/>
      <c r="Z210" s="1146"/>
      <c r="AA210" s="1146"/>
      <c r="AB210" s="1146"/>
      <c r="AC210" s="1146"/>
      <c r="AD210" s="1146"/>
      <c r="AE210" s="1146"/>
    </row>
    <row r="211" spans="1:35" s="1148" customFormat="1" ht="32.25" customHeight="1">
      <c r="A211" s="1132">
        <f>_xlfn.AGGREGATE(4,7,A$24:A210)+1</f>
        <v>187</v>
      </c>
      <c r="B211" s="1133" t="s">
        <v>2023</v>
      </c>
      <c r="C211" s="1153" t="s">
        <v>1770</v>
      </c>
      <c r="D211" s="1154" t="s">
        <v>386</v>
      </c>
      <c r="E211" s="1058" t="str">
        <f>VLOOKUP(B211,TH.Q2!B112:E443,4,FALSE)</f>
        <v>Giảng viên khoa Cơ khí</v>
      </c>
      <c r="F211" s="1160">
        <v>3.66</v>
      </c>
      <c r="G211" s="1137"/>
      <c r="H211" s="1393">
        <f t="shared" si="17"/>
        <v>0</v>
      </c>
      <c r="I211" s="1138"/>
      <c r="J211" s="1138" t="str">
        <f>VLOOKUP(B211,'[25]Gui chi Quynh'!$B$11:$E$396,4,FALSE)</f>
        <v>A4</v>
      </c>
      <c r="K211" s="1138">
        <f t="shared" si="18"/>
        <v>0.5</v>
      </c>
      <c r="L211" s="1139">
        <v>20</v>
      </c>
      <c r="M211" s="1139">
        <f>VLOOKUP(B211,'[26]CN BC'!$H$10:$J$275,3,FALSE)</f>
        <v>21</v>
      </c>
      <c r="N211" s="1139">
        <f t="shared" si="15"/>
        <v>20</v>
      </c>
      <c r="O211" s="1140"/>
      <c r="P211" s="1141">
        <f t="shared" si="16"/>
        <v>4282200</v>
      </c>
      <c r="Q211" s="1646">
        <f t="shared" si="19"/>
        <v>1.83</v>
      </c>
      <c r="R211" s="1580">
        <v>2340000</v>
      </c>
      <c r="S211" s="1647">
        <f t="shared" si="20"/>
        <v>4282200</v>
      </c>
      <c r="T211" s="1142">
        <f t="shared" si="21"/>
        <v>187</v>
      </c>
      <c r="U211" s="1143">
        <f>IFERROR(INDEX('[26]CN BC'!$M$10:$M$276,MATCH(B211,'[26]CN BC'!$H$10:$H$276,0)),"")</f>
        <v>0</v>
      </c>
      <c r="V211" s="1144" t="str">
        <f>VLOOKUP(B211,TH.T4!B207:AC537,28,FALSE)</f>
        <v>CK</v>
      </c>
      <c r="W211" s="1171"/>
      <c r="Y211" s="1158"/>
    </row>
    <row r="212" spans="1:35" s="1148" customFormat="1" ht="27.75" customHeight="1">
      <c r="A212" s="1132">
        <f>_xlfn.AGGREGATE(4,7,A$24:A211)+1</f>
        <v>188</v>
      </c>
      <c r="B212" s="1133" t="s">
        <v>1528</v>
      </c>
      <c r="C212" s="1149" t="s">
        <v>1771</v>
      </c>
      <c r="D212" s="1154" t="s">
        <v>456</v>
      </c>
      <c r="E212" s="1058" t="str">
        <f>VLOOKUP(B212,TH.Q2!B113:E444,4,FALSE)</f>
        <v>Giảng viên khoa Cơ khí</v>
      </c>
      <c r="F212" s="1160">
        <v>3.66</v>
      </c>
      <c r="G212" s="1137"/>
      <c r="H212" s="1393">
        <f t="shared" si="17"/>
        <v>0</v>
      </c>
      <c r="I212" s="1138"/>
      <c r="J212" s="1138" t="str">
        <f>VLOOKUP(B212,'[25]Gui chi Quynh'!$B$11:$E$396,4,FALSE)</f>
        <v>A4</v>
      </c>
      <c r="K212" s="1138">
        <f t="shared" si="18"/>
        <v>0.5</v>
      </c>
      <c r="L212" s="1139">
        <v>20</v>
      </c>
      <c r="M212" s="1139">
        <f>VLOOKUP(B212,'[26]CN BC'!$H$10:$J$275,3,FALSE)</f>
        <v>21</v>
      </c>
      <c r="N212" s="1139">
        <f t="shared" si="15"/>
        <v>20</v>
      </c>
      <c r="O212" s="1140"/>
      <c r="P212" s="1141">
        <f t="shared" si="16"/>
        <v>4282200</v>
      </c>
      <c r="Q212" s="1646">
        <f t="shared" si="19"/>
        <v>1.83</v>
      </c>
      <c r="R212" s="1580">
        <v>2340000</v>
      </c>
      <c r="S212" s="1647">
        <f t="shared" si="20"/>
        <v>4282200</v>
      </c>
      <c r="T212" s="1142">
        <f t="shared" si="21"/>
        <v>188</v>
      </c>
      <c r="U212" s="1143">
        <f>IFERROR(INDEX('[26]CN BC'!$M$10:$M$276,MATCH(B212,'[26]CN BC'!$H$10:$H$276,0)),"")</f>
        <v>0</v>
      </c>
      <c r="V212" s="1144" t="str">
        <f>VLOOKUP(B212,TH.T4!B208:AC538,28,FALSE)</f>
        <v>CK</v>
      </c>
      <c r="W212" s="1130"/>
      <c r="X212" s="1146"/>
      <c r="Y212" s="1147"/>
      <c r="Z212" s="1146"/>
      <c r="AA212" s="1146"/>
      <c r="AB212" s="1146"/>
      <c r="AC212" s="1146"/>
      <c r="AD212" s="1146"/>
      <c r="AE212" s="1146"/>
      <c r="AF212" s="1146"/>
      <c r="AG212" s="1146"/>
      <c r="AH212" s="1146"/>
      <c r="AI212" s="1146"/>
    </row>
    <row r="213" spans="1:35" s="1148" customFormat="1" ht="30" customHeight="1">
      <c r="A213" s="1132">
        <f>_xlfn.AGGREGATE(4,7,A$24:A212)+1</f>
        <v>189</v>
      </c>
      <c r="B213" s="1133" t="s">
        <v>1529</v>
      </c>
      <c r="C213" s="1153" t="s">
        <v>1772</v>
      </c>
      <c r="D213" s="1154" t="s">
        <v>743</v>
      </c>
      <c r="E213" s="383" t="str">
        <f>VLOOKUP(B213,TH.Q2!B114:E445,4,FALSE)</f>
        <v>Giảng viên - Trưởng BM khoa Cơ khí</v>
      </c>
      <c r="F213" s="1160">
        <v>3.66</v>
      </c>
      <c r="G213" s="1137"/>
      <c r="H213" s="1400">
        <f t="shared" si="17"/>
        <v>0</v>
      </c>
      <c r="I213" s="1138">
        <v>0.25</v>
      </c>
      <c r="J213" s="1138" t="str">
        <f>VLOOKUP(B213,'[25]Gui chi Quynh'!$B$11:$E$396,4,FALSE)</f>
        <v>A2</v>
      </c>
      <c r="K213" s="1138">
        <f t="shared" si="18"/>
        <v>0.7</v>
      </c>
      <c r="L213" s="1139">
        <v>20</v>
      </c>
      <c r="M213" s="1139">
        <f>VLOOKUP(B213,'[26]CN BC'!$H$10:$J$275,3,FALSE)</f>
        <v>20</v>
      </c>
      <c r="N213" s="1139">
        <f t="shared" si="15"/>
        <v>20</v>
      </c>
      <c r="O213" s="1155"/>
      <c r="P213" s="1141">
        <f t="shared" si="16"/>
        <v>6404580</v>
      </c>
      <c r="Q213" s="1646">
        <f t="shared" si="19"/>
        <v>2.7370000000000001</v>
      </c>
      <c r="R213" s="1580">
        <v>2340000</v>
      </c>
      <c r="S213" s="1647">
        <f t="shared" si="20"/>
        <v>6404580</v>
      </c>
      <c r="T213" s="1142">
        <f t="shared" si="21"/>
        <v>189</v>
      </c>
      <c r="U213" s="1143">
        <f>IFERROR(INDEX('[26]CN BC'!$M$10:$M$276,MATCH(B213,'[26]CN BC'!$H$10:$H$276,0)),"")</f>
        <v>0</v>
      </c>
      <c r="V213" s="1189" t="str">
        <f>VLOOKUP(B213,TH.T4!B209:AC539,28,FALSE)</f>
        <v>CK</v>
      </c>
      <c r="W213" s="1171"/>
      <c r="Y213" s="1158"/>
    </row>
    <row r="214" spans="1:35" s="1148" customFormat="1" ht="51.75" customHeight="1">
      <c r="A214" s="1214">
        <f>_xlfn.AGGREGATE(4,7,A$24:A213)+1</f>
        <v>190</v>
      </c>
      <c r="B214" s="1215" t="s">
        <v>1530</v>
      </c>
      <c r="C214" s="1216" t="s">
        <v>1773</v>
      </c>
      <c r="D214" s="1635">
        <v>1603205357641</v>
      </c>
      <c r="E214" s="579" t="str">
        <f>VLOOKUP(B214,TH.Q2!B115:E446,4,FALSE)</f>
        <v>Giảng viên khoa Cơ khí</v>
      </c>
      <c r="F214" s="1358">
        <v>3.66</v>
      </c>
      <c r="G214" s="1218"/>
      <c r="H214" s="1395">
        <f t="shared" si="17"/>
        <v>0</v>
      </c>
      <c r="I214" s="1219"/>
      <c r="J214" s="1219" t="str">
        <f>VLOOKUP(B214,'[25]Gui chi Quynh'!$B$11:$E$396,4,FALSE)</f>
        <v>B1</v>
      </c>
      <c r="K214" s="1219">
        <f t="shared" si="18"/>
        <v>0.35</v>
      </c>
      <c r="L214" s="1348">
        <v>20</v>
      </c>
      <c r="M214" s="1348">
        <f>VLOOKUP(B214,'[26]CN BC'!$H$10:$J$275,3,FALSE)</f>
        <v>20</v>
      </c>
      <c r="N214" s="1348">
        <f t="shared" si="15"/>
        <v>20</v>
      </c>
      <c r="O214" s="1220"/>
      <c r="P214" s="1349">
        <f t="shared" si="16"/>
        <v>2997540</v>
      </c>
      <c r="Q214" s="1648">
        <f t="shared" si="19"/>
        <v>1.2809999999999999</v>
      </c>
      <c r="R214" s="1359">
        <v>2340000</v>
      </c>
      <c r="S214" s="1649">
        <f t="shared" si="20"/>
        <v>2997540</v>
      </c>
      <c r="T214" s="1221">
        <f t="shared" si="21"/>
        <v>190</v>
      </c>
      <c r="U214" s="1636" t="s">
        <v>2409</v>
      </c>
      <c r="V214" s="1144" t="str">
        <f>VLOOKUP(B214,TH.T4!B210:AC540,28,FALSE)</f>
        <v>CK</v>
      </c>
      <c r="W214" s="1227"/>
      <c r="Y214" s="1158"/>
    </row>
    <row r="215" spans="1:35" s="1148" customFormat="1" ht="25.9" customHeight="1">
      <c r="A215" s="1132">
        <f>_xlfn.AGGREGATE(4,7,A$24:A214)+1</f>
        <v>191</v>
      </c>
      <c r="B215" s="1133" t="s">
        <v>1531</v>
      </c>
      <c r="C215" s="1149" t="s">
        <v>1774</v>
      </c>
      <c r="D215" s="1179">
        <v>1603205357120</v>
      </c>
      <c r="E215" s="1058" t="str">
        <f>VLOOKUP(B215,TH.Q2!B116:E447,4,FALSE)</f>
        <v>Giảng viên khoa Cơ khí</v>
      </c>
      <c r="F215" s="1160">
        <v>3.33</v>
      </c>
      <c r="G215" s="1137"/>
      <c r="H215" s="1393">
        <f t="shared" si="17"/>
        <v>0</v>
      </c>
      <c r="I215" s="1138"/>
      <c r="J215" s="1138" t="str">
        <f>VLOOKUP(B215,'[25]Gui chi Quynh'!$B$11:$E$396,4,FALSE)</f>
        <v>A2</v>
      </c>
      <c r="K215" s="1138">
        <f t="shared" si="18"/>
        <v>0.7</v>
      </c>
      <c r="L215" s="1139">
        <v>20</v>
      </c>
      <c r="M215" s="1139">
        <f>VLOOKUP(B215,'[26]CN BC'!$H$10:$J$275,3,FALSE)</f>
        <v>21</v>
      </c>
      <c r="N215" s="1139">
        <f t="shared" si="15"/>
        <v>20</v>
      </c>
      <c r="O215" s="1140"/>
      <c r="P215" s="1141">
        <f t="shared" si="16"/>
        <v>5454540</v>
      </c>
      <c r="Q215" s="1646">
        <f t="shared" si="19"/>
        <v>2.331</v>
      </c>
      <c r="R215" s="1580">
        <v>2340000</v>
      </c>
      <c r="S215" s="1647">
        <f t="shared" si="20"/>
        <v>5454540</v>
      </c>
      <c r="T215" s="1142">
        <f t="shared" si="21"/>
        <v>191</v>
      </c>
      <c r="U215" s="1143">
        <f>IFERROR(INDEX('[26]CN BC'!$M$10:$M$276,MATCH(B215,'[26]CN BC'!$H$10:$H$276,0)),"")</f>
        <v>0</v>
      </c>
      <c r="V215" s="1144" t="str">
        <f>VLOOKUP(B215,TH.T4!B211:AC541,28,FALSE)</f>
        <v>CK</v>
      </c>
      <c r="W215" s="1130"/>
      <c r="X215" s="1146"/>
      <c r="Y215" s="1147"/>
      <c r="Z215" s="1146"/>
      <c r="AA215" s="1146"/>
      <c r="AB215" s="1146"/>
      <c r="AC215" s="1146"/>
      <c r="AD215" s="1146"/>
      <c r="AE215" s="1146"/>
      <c r="AF215" s="1146"/>
      <c r="AG215" s="1146"/>
      <c r="AH215" s="1146"/>
      <c r="AI215" s="1146"/>
    </row>
    <row r="216" spans="1:35" s="1148" customFormat="1" ht="32.25" customHeight="1">
      <c r="A216" s="1132">
        <f>_xlfn.AGGREGATE(4,7,A$24:A215)+1</f>
        <v>192</v>
      </c>
      <c r="B216" s="1133" t="s">
        <v>1895</v>
      </c>
      <c r="C216" s="1153" t="s">
        <v>1775</v>
      </c>
      <c r="D216" s="1154" t="s">
        <v>1261</v>
      </c>
      <c r="E216" s="383" t="str">
        <f>VLOOKUP(B216,TH.Q2!B117:E448,4,FALSE)</f>
        <v>Giảng viên khoa Cơ khí</v>
      </c>
      <c r="F216" s="1136">
        <v>4.9800000000000004</v>
      </c>
      <c r="G216" s="1137">
        <v>0.08</v>
      </c>
      <c r="H216" s="1400">
        <f t="shared" si="17"/>
        <v>0.39800000000000002</v>
      </c>
      <c r="I216" s="1138"/>
      <c r="J216" s="1138" t="str">
        <f>VLOOKUP(B216,'[25]Gui chi Quynh'!$B$11:$E$396,4,FALSE)</f>
        <v>A3</v>
      </c>
      <c r="K216" s="1138">
        <f t="shared" si="18"/>
        <v>0.6</v>
      </c>
      <c r="L216" s="1139">
        <v>20</v>
      </c>
      <c r="M216" s="1139">
        <f>VLOOKUP(B216,'[26]CN BC'!$H$10:$J$275,3,FALSE)</f>
        <v>21</v>
      </c>
      <c r="N216" s="1139">
        <f t="shared" si="15"/>
        <v>20</v>
      </c>
      <c r="O216" s="1155"/>
      <c r="P216" s="1141">
        <f t="shared" si="16"/>
        <v>7550712</v>
      </c>
      <c r="Q216" s="1646">
        <f t="shared" si="19"/>
        <v>3.2267999999999999</v>
      </c>
      <c r="R216" s="1580">
        <v>2340000</v>
      </c>
      <c r="S216" s="1647">
        <f t="shared" si="20"/>
        <v>7550712</v>
      </c>
      <c r="T216" s="1142">
        <f t="shared" si="21"/>
        <v>192</v>
      </c>
      <c r="U216" s="1143">
        <f>IFERROR(INDEX('[26]CN BC'!$M$10:$M$276,MATCH(B216,'[26]CN BC'!$H$10:$H$276,0)),"")</f>
        <v>0</v>
      </c>
      <c r="V216" s="1189" t="str">
        <f>VLOOKUP(B216,TH.T4!B212:AC542,28,FALSE)</f>
        <v>CK</v>
      </c>
      <c r="W216" s="1581"/>
      <c r="Y216" s="1158"/>
    </row>
    <row r="217" spans="1:35" s="1148" customFormat="1" ht="29.25" customHeight="1">
      <c r="A217" s="1132">
        <f>_xlfn.AGGREGATE(4,7,A$24:A216)+1</f>
        <v>193</v>
      </c>
      <c r="B217" s="1133" t="s">
        <v>1532</v>
      </c>
      <c r="C217" s="1149" t="s">
        <v>1777</v>
      </c>
      <c r="D217" s="1150" t="s">
        <v>1594</v>
      </c>
      <c r="E217" s="1058" t="str">
        <f>VLOOKUP(B217,TH.Q2!B119:E450,4,FALSE)</f>
        <v>Giảng viên khoa Cơ khí</v>
      </c>
      <c r="F217" s="1160">
        <v>3.33</v>
      </c>
      <c r="G217" s="1137"/>
      <c r="H217" s="1393">
        <f t="shared" si="17"/>
        <v>0</v>
      </c>
      <c r="I217" s="1138"/>
      <c r="J217" s="1138" t="str">
        <f>VLOOKUP(B217,'[25]Gui chi Quynh'!$B$11:$E$396,4,FALSE)</f>
        <v>A3</v>
      </c>
      <c r="K217" s="1138">
        <f t="shared" si="18"/>
        <v>0.6</v>
      </c>
      <c r="L217" s="1139">
        <v>20</v>
      </c>
      <c r="M217" s="1139">
        <f>VLOOKUP(B217,'[26]CN BC'!$H$10:$J$275,3,FALSE)</f>
        <v>21</v>
      </c>
      <c r="N217" s="1139">
        <f t="shared" ref="N217:N280" si="22">IF(M217&gt;=L217,L217,IF(M217&lt;L217,M217))</f>
        <v>20</v>
      </c>
      <c r="O217" s="1140"/>
      <c r="P217" s="1141">
        <f t="shared" ref="P217:P280" si="23">(((F217+H217+I217)*$P$21/L217*N217)*K217)+O217</f>
        <v>4675320</v>
      </c>
      <c r="Q217" s="1646">
        <f t="shared" si="19"/>
        <v>1.998</v>
      </c>
      <c r="R217" s="1580">
        <v>2340000</v>
      </c>
      <c r="S217" s="1647">
        <f t="shared" si="20"/>
        <v>4675320</v>
      </c>
      <c r="T217" s="1142">
        <f t="shared" si="21"/>
        <v>193</v>
      </c>
      <c r="U217" s="1143">
        <f>IFERROR(INDEX('[26]CN BC'!$M$10:$M$276,MATCH(B217,'[26]CN BC'!$H$10:$H$276,0)),"")</f>
        <v>0</v>
      </c>
      <c r="V217" s="1144" t="str">
        <f>VLOOKUP(B217,TH.T4!B214:AC544,28,FALSE)</f>
        <v>CK</v>
      </c>
      <c r="W217" s="1130"/>
      <c r="X217" s="1146"/>
      <c r="Y217" s="1147"/>
      <c r="Z217" s="1146"/>
      <c r="AA217" s="1146"/>
      <c r="AB217" s="1146"/>
      <c r="AC217" s="1146"/>
      <c r="AD217" s="1146"/>
      <c r="AE217" s="1146"/>
      <c r="AF217" s="1146"/>
      <c r="AG217" s="1146"/>
      <c r="AH217" s="1146"/>
      <c r="AI217" s="1146"/>
    </row>
    <row r="218" spans="1:35" s="1148" customFormat="1" ht="25.5" customHeight="1">
      <c r="A218" s="1132">
        <f>_xlfn.AGGREGATE(4,7,A$24:A217)+1</f>
        <v>194</v>
      </c>
      <c r="B218" s="1133" t="s">
        <v>1608</v>
      </c>
      <c r="C218" s="1229" t="s">
        <v>1968</v>
      </c>
      <c r="D218" s="1159">
        <v>1603215003955</v>
      </c>
      <c r="E218" s="1058" t="str">
        <f>VLOOKUP(B218,TH.Q2!B120:E451,4,FALSE)</f>
        <v>Giảng viên khoa Cơ khí</v>
      </c>
      <c r="F218" s="1160">
        <v>3</v>
      </c>
      <c r="G218" s="1170"/>
      <c r="H218" s="1393">
        <f t="shared" ref="H218:H281" si="24">ROUND(F218*G218,3)</f>
        <v>0</v>
      </c>
      <c r="I218" s="1138"/>
      <c r="J218" s="1138" t="str">
        <f>VLOOKUP(B218,'[25]Gui chi Quynh'!$B$11:$E$396,4,FALSE)</f>
        <v>A3</v>
      </c>
      <c r="K218" s="1138">
        <f t="shared" ref="K218:K281" si="25">IF(J218="A1",0.8,IF(J218="A2",0.7,IF(J218="A3",0.6,IF(J218="A4",0.5,IF(J218="B1",0.35,IF(J218="B2",0.25,IF(J218="C1",0.15,IF(J218="C2",0.1,0))))))))</f>
        <v>0.6</v>
      </c>
      <c r="L218" s="1139">
        <v>20</v>
      </c>
      <c r="M218" s="1139">
        <f>VLOOKUP(B218,'[26]CN BC'!$H$10:$J$275,3,FALSE)</f>
        <v>21</v>
      </c>
      <c r="N218" s="1139">
        <f t="shared" si="22"/>
        <v>20</v>
      </c>
      <c r="O218" s="1140"/>
      <c r="P218" s="1141">
        <f t="shared" si="23"/>
        <v>4212000</v>
      </c>
      <c r="Q218" s="1646">
        <f t="shared" ref="Q218:Q281" si="26">P218/R218</f>
        <v>1.8</v>
      </c>
      <c r="R218" s="1580">
        <v>2340000</v>
      </c>
      <c r="S218" s="1647">
        <f t="shared" ref="S218:S281" si="27">Q218*R218</f>
        <v>4212000</v>
      </c>
      <c r="T218" s="1142">
        <f t="shared" si="21"/>
        <v>194</v>
      </c>
      <c r="U218" s="1143">
        <f>IFERROR(INDEX('[26]CN BC'!$M$10:$M$276,MATCH(B218,'[26]CN BC'!$H$10:$H$276,0)),"")</f>
        <v>0</v>
      </c>
      <c r="V218" s="1144" t="str">
        <f>VLOOKUP(B218,TH.T4!B215:AC545,28,FALSE)</f>
        <v>CK</v>
      </c>
      <c r="W218" s="1130"/>
      <c r="X218" s="1146"/>
      <c r="Y218" s="1147"/>
      <c r="Z218" s="1146"/>
      <c r="AA218" s="1146"/>
      <c r="AB218" s="1146"/>
      <c r="AC218" s="1146"/>
      <c r="AD218" s="1146"/>
      <c r="AE218" s="1146"/>
    </row>
    <row r="219" spans="1:35" s="1148" customFormat="1" ht="24.75" customHeight="1">
      <c r="A219" s="1132">
        <f>_xlfn.AGGREGATE(4,7,A$24:A218)+1</f>
        <v>195</v>
      </c>
      <c r="B219" s="1133" t="s">
        <v>1835</v>
      </c>
      <c r="C219" s="1153" t="s">
        <v>1970</v>
      </c>
      <c r="D219" s="1230" t="s">
        <v>1969</v>
      </c>
      <c r="E219" s="1058" t="str">
        <f>VLOOKUP(B219,TH.Q2!B121:E452,4,FALSE)</f>
        <v>Giảng viên khoa Cơ khí</v>
      </c>
      <c r="F219" s="1160">
        <v>3</v>
      </c>
      <c r="G219" s="1170"/>
      <c r="H219" s="1393">
        <f t="shared" si="24"/>
        <v>0</v>
      </c>
      <c r="I219" s="1138"/>
      <c r="J219" s="1138" t="str">
        <f>VLOOKUP(B219,'[25]Gui chi Quynh'!$B$11:$E$396,4,FALSE)</f>
        <v>A3</v>
      </c>
      <c r="K219" s="1138">
        <f t="shared" si="25"/>
        <v>0.6</v>
      </c>
      <c r="L219" s="1139">
        <v>20</v>
      </c>
      <c r="M219" s="1139">
        <f>VLOOKUP(B219,'[26]CN BC'!$H$10:$J$275,3,FALSE)</f>
        <v>20</v>
      </c>
      <c r="N219" s="1139">
        <f t="shared" si="22"/>
        <v>20</v>
      </c>
      <c r="O219" s="1140"/>
      <c r="P219" s="1141">
        <f t="shared" si="23"/>
        <v>4212000</v>
      </c>
      <c r="Q219" s="1646">
        <f t="shared" si="26"/>
        <v>1.8</v>
      </c>
      <c r="R219" s="1580">
        <v>2340000</v>
      </c>
      <c r="S219" s="1647">
        <f t="shared" si="27"/>
        <v>4212000</v>
      </c>
      <c r="T219" s="1142">
        <f t="shared" si="21"/>
        <v>195</v>
      </c>
      <c r="U219" s="1143">
        <f>IFERROR(INDEX('[26]CN BC'!$M$10:$M$276,MATCH(B219,'[26]CN BC'!$H$10:$H$276,0)),"")</f>
        <v>0</v>
      </c>
      <c r="V219" s="1144" t="str">
        <f>VLOOKUP(B219,TH.T4!B216:AC546,28,FALSE)</f>
        <v>CK</v>
      </c>
      <c r="W219" s="1130"/>
      <c r="X219" s="1146"/>
      <c r="Y219" s="1147"/>
      <c r="Z219" s="1146"/>
      <c r="AA219" s="1146"/>
      <c r="AB219" s="1146"/>
      <c r="AC219" s="1146"/>
      <c r="AD219" s="1146"/>
      <c r="AE219" s="1146"/>
    </row>
    <row r="220" spans="1:35" s="1148" customFormat="1" ht="29.25" customHeight="1">
      <c r="A220" s="1132">
        <f>_xlfn.AGGREGATE(4,7,A$24:A219)+1</f>
        <v>196</v>
      </c>
      <c r="B220" s="1133" t="s">
        <v>1897</v>
      </c>
      <c r="C220" s="1153" t="s">
        <v>1670</v>
      </c>
      <c r="D220" s="1154" t="s">
        <v>1286</v>
      </c>
      <c r="E220" s="1058" t="str">
        <f>VLOOKUP(B220,TH.Q2!B122:E453,4,FALSE)</f>
        <v>Giảng viên khoa Cơ khí</v>
      </c>
      <c r="F220" s="1136">
        <v>4.9800000000000004</v>
      </c>
      <c r="G220" s="1137">
        <v>0.12</v>
      </c>
      <c r="H220" s="1393">
        <f t="shared" si="24"/>
        <v>0.59799999999999998</v>
      </c>
      <c r="I220" s="1138"/>
      <c r="J220" s="1138" t="str">
        <f>VLOOKUP(B220,'[25]Gui chi Quynh'!$B$11:$E$396,4,FALSE)</f>
        <v>A4</v>
      </c>
      <c r="K220" s="1138">
        <f t="shared" si="25"/>
        <v>0.5</v>
      </c>
      <c r="L220" s="1139">
        <v>20</v>
      </c>
      <c r="M220" s="1139">
        <f>VLOOKUP(B220,'[26]CN BC'!$H$10:$J$275,3,FALSE)</f>
        <v>20</v>
      </c>
      <c r="N220" s="1139">
        <f t="shared" si="22"/>
        <v>20</v>
      </c>
      <c r="O220" s="1140"/>
      <c r="P220" s="1141">
        <f t="shared" si="23"/>
        <v>6526260</v>
      </c>
      <c r="Q220" s="1646">
        <f t="shared" si="26"/>
        <v>2.7890000000000001</v>
      </c>
      <c r="R220" s="1580">
        <v>2340000</v>
      </c>
      <c r="S220" s="1647">
        <f t="shared" si="27"/>
        <v>6526260</v>
      </c>
      <c r="T220" s="1142">
        <f t="shared" si="21"/>
        <v>196</v>
      </c>
      <c r="U220" s="1143">
        <f>IFERROR(INDEX('[26]CN BC'!$M$10:$M$276,MATCH(B220,'[26]CN BC'!$H$10:$H$276,0)),"")</f>
        <v>0</v>
      </c>
      <c r="V220" s="1144" t="str">
        <f>VLOOKUP(B220,TH.T4!B217:AC547,28,FALSE)</f>
        <v>CK</v>
      </c>
      <c r="W220" s="1171"/>
      <c r="Y220" s="1158"/>
    </row>
    <row r="221" spans="1:35" s="1148" customFormat="1" ht="25.5" customHeight="1">
      <c r="A221" s="1132">
        <f>_xlfn.AGGREGATE(4,7,A$24:A220)+1</f>
        <v>197</v>
      </c>
      <c r="B221" s="1133" t="s">
        <v>1840</v>
      </c>
      <c r="C221" s="1153" t="s">
        <v>1971</v>
      </c>
      <c r="D221" s="1159">
        <v>1603205596180</v>
      </c>
      <c r="E221" s="1058" t="str">
        <f>VLOOKUP(B221,TH.Q2!B123:E454,4,FALSE)</f>
        <v>Giảng viên khoa Cơ khí</v>
      </c>
      <c r="F221" s="1136">
        <v>2.67</v>
      </c>
      <c r="G221" s="1137"/>
      <c r="H221" s="1393">
        <f t="shared" si="24"/>
        <v>0</v>
      </c>
      <c r="I221" s="1138"/>
      <c r="J221" s="1138" t="str">
        <f>VLOOKUP(B221,'[25]Gui chi Quynh'!$B$11:$E$396,4,FALSE)</f>
        <v>A3</v>
      </c>
      <c r="K221" s="1138">
        <f t="shared" si="25"/>
        <v>0.6</v>
      </c>
      <c r="L221" s="1139">
        <v>20</v>
      </c>
      <c r="M221" s="1139">
        <f>VLOOKUP(B221,'[26]CN BC'!$H$10:$J$275,3,FALSE)</f>
        <v>20</v>
      </c>
      <c r="N221" s="1139">
        <f t="shared" si="22"/>
        <v>20</v>
      </c>
      <c r="O221" s="1140"/>
      <c r="P221" s="1141">
        <f t="shared" si="23"/>
        <v>3748680</v>
      </c>
      <c r="Q221" s="1646">
        <f t="shared" si="26"/>
        <v>1.6020000000000001</v>
      </c>
      <c r="R221" s="1580">
        <v>2340000</v>
      </c>
      <c r="S221" s="1647">
        <f t="shared" si="27"/>
        <v>3748680</v>
      </c>
      <c r="T221" s="1142">
        <f t="shared" si="21"/>
        <v>197</v>
      </c>
      <c r="U221" s="1143">
        <f>IFERROR(INDEX('[26]CN BC'!$M$10:$M$276,MATCH(B221,'[26]CN BC'!$H$10:$H$276,0)),"")</f>
        <v>0</v>
      </c>
      <c r="V221" s="1144" t="str">
        <f>VLOOKUP(B221,TH.T4!B218:AC548,28,FALSE)</f>
        <v>CK</v>
      </c>
      <c r="W221" s="1130"/>
      <c r="X221" s="1146"/>
      <c r="Y221" s="1147"/>
      <c r="Z221" s="1146"/>
      <c r="AA221" s="1146"/>
      <c r="AB221" s="1146"/>
      <c r="AC221" s="1146"/>
      <c r="AD221" s="1146"/>
      <c r="AE221" s="1146"/>
    </row>
    <row r="222" spans="1:35" s="1148" customFormat="1" ht="24.75" customHeight="1">
      <c r="A222" s="1132">
        <f>_xlfn.AGGREGATE(4,7,A$24:A221)+1</f>
        <v>198</v>
      </c>
      <c r="B222" s="1133" t="s">
        <v>1943</v>
      </c>
      <c r="C222" s="1153" t="s">
        <v>1972</v>
      </c>
      <c r="D222" s="1154"/>
      <c r="E222" s="1058" t="str">
        <f>VLOOKUP(B222,TH.Q2!B124:E455,4,FALSE)</f>
        <v>Giảng viên khoa Cơ khí</v>
      </c>
      <c r="F222" s="1160">
        <v>3</v>
      </c>
      <c r="G222" s="1137"/>
      <c r="H222" s="1393">
        <f t="shared" si="24"/>
        <v>0</v>
      </c>
      <c r="I222" s="1138"/>
      <c r="J222" s="1138" t="str">
        <f>VLOOKUP(B222,'[25]Gui chi Quynh'!$B$11:$E$396,4,FALSE)</f>
        <v>A3</v>
      </c>
      <c r="K222" s="1138">
        <f t="shared" si="25"/>
        <v>0.6</v>
      </c>
      <c r="L222" s="1139">
        <v>20</v>
      </c>
      <c r="M222" s="1139">
        <f>VLOOKUP(B222,'[26]CN BC'!$H$10:$J$275,3,FALSE)</f>
        <v>21</v>
      </c>
      <c r="N222" s="1139">
        <f t="shared" si="22"/>
        <v>20</v>
      </c>
      <c r="O222" s="1140"/>
      <c r="P222" s="1141">
        <f t="shared" si="23"/>
        <v>4212000</v>
      </c>
      <c r="Q222" s="1646">
        <f t="shared" si="26"/>
        <v>1.8</v>
      </c>
      <c r="R222" s="1580">
        <v>2340000</v>
      </c>
      <c r="S222" s="1647">
        <f t="shared" si="27"/>
        <v>4212000</v>
      </c>
      <c r="T222" s="1142">
        <f t="shared" si="21"/>
        <v>198</v>
      </c>
      <c r="U222" s="1143">
        <f>IFERROR(INDEX('[26]CN BC'!$M$10:$M$276,MATCH(B222,'[26]CN BC'!$H$10:$H$276,0)),"")</f>
        <v>0</v>
      </c>
      <c r="V222" s="1144" t="str">
        <f>VLOOKUP(B222,TH.T4!B219:AC549,28,FALSE)</f>
        <v>CK</v>
      </c>
      <c r="W222" s="1130"/>
      <c r="X222" s="1146"/>
      <c r="Y222" s="1158"/>
    </row>
    <row r="223" spans="1:35" s="1148" customFormat="1" ht="26.25" customHeight="1">
      <c r="A223" s="1132">
        <f>_xlfn.AGGREGATE(4,7,A$24:A222)+1</f>
        <v>199</v>
      </c>
      <c r="B223" s="1133" t="s">
        <v>1994</v>
      </c>
      <c r="C223" s="1153"/>
      <c r="D223" s="1154"/>
      <c r="E223" s="1058" t="str">
        <f>VLOOKUP(B223,TH.Q2!B125:E456,4,FALSE)</f>
        <v>Giảng viên khoa Cơ khí</v>
      </c>
      <c r="F223" s="1136">
        <v>4.32</v>
      </c>
      <c r="G223" s="1137"/>
      <c r="H223" s="1393">
        <f t="shared" si="24"/>
        <v>0</v>
      </c>
      <c r="I223" s="1138"/>
      <c r="J223" s="1138" t="str">
        <f>VLOOKUP(B223,'[25]Gui chi Quynh'!$B$11:$E$396,4,FALSE)</f>
        <v>A4</v>
      </c>
      <c r="K223" s="1138">
        <f t="shared" si="25"/>
        <v>0.5</v>
      </c>
      <c r="L223" s="1139">
        <v>20</v>
      </c>
      <c r="M223" s="1139">
        <f>VLOOKUP(B223,'[26]CN BC'!$H$10:$J$275,3,FALSE)</f>
        <v>21</v>
      </c>
      <c r="N223" s="1139">
        <f t="shared" si="22"/>
        <v>20</v>
      </c>
      <c r="O223" s="1140"/>
      <c r="P223" s="1141">
        <f t="shared" si="23"/>
        <v>5054400</v>
      </c>
      <c r="Q223" s="1646">
        <f t="shared" si="26"/>
        <v>2.16</v>
      </c>
      <c r="R223" s="1580">
        <v>2340000</v>
      </c>
      <c r="S223" s="1647">
        <f t="shared" si="27"/>
        <v>5054400</v>
      </c>
      <c r="T223" s="1142">
        <f t="shared" si="21"/>
        <v>199</v>
      </c>
      <c r="U223" s="1143">
        <f>IFERROR(INDEX('[26]CN BC'!$M$10:$M$276,MATCH(B223,'[26]CN BC'!$H$10:$H$276,0)),"")</f>
        <v>0</v>
      </c>
      <c r="V223" s="1144" t="str">
        <f>VLOOKUP(B223,TH.T4!B220:AC550,28,FALSE)</f>
        <v>CK</v>
      </c>
      <c r="W223" s="1130"/>
      <c r="X223" s="1146"/>
      <c r="Y223" s="1147"/>
      <c r="Z223" s="1146"/>
      <c r="AA223" s="1146"/>
      <c r="AB223" s="1146"/>
      <c r="AC223" s="1146"/>
      <c r="AD223" s="1146"/>
      <c r="AE223" s="1146"/>
    </row>
    <row r="224" spans="1:35" s="1148" customFormat="1" ht="25.5" customHeight="1">
      <c r="A224" s="1132">
        <f>_xlfn.AGGREGATE(4,7,A$24:A223)+1</f>
        <v>200</v>
      </c>
      <c r="B224" s="1133" t="s">
        <v>2000</v>
      </c>
      <c r="C224" s="1153"/>
      <c r="D224" s="1154"/>
      <c r="E224" s="1058" t="str">
        <f>VLOOKUP(B224,TH.Q2!B126:E457,4,FALSE)</f>
        <v>Giảng viên khoa Cơ khí</v>
      </c>
      <c r="F224" s="1136">
        <v>2.67</v>
      </c>
      <c r="G224" s="1137"/>
      <c r="H224" s="1393">
        <f t="shared" si="24"/>
        <v>0</v>
      </c>
      <c r="I224" s="1138"/>
      <c r="J224" s="1138" t="str">
        <f>VLOOKUP(B224,'[25]Gui chi Quynh'!$B$11:$E$396,4,FALSE)</f>
        <v>A3</v>
      </c>
      <c r="K224" s="1138">
        <f t="shared" si="25"/>
        <v>0.6</v>
      </c>
      <c r="L224" s="1139">
        <v>20</v>
      </c>
      <c r="M224" s="1139">
        <f>VLOOKUP(B224,'[26]CN BC'!$H$10:$J$275,3,FALSE)</f>
        <v>21</v>
      </c>
      <c r="N224" s="1139">
        <f t="shared" si="22"/>
        <v>20</v>
      </c>
      <c r="O224" s="1140"/>
      <c r="P224" s="1141">
        <f t="shared" si="23"/>
        <v>3748680</v>
      </c>
      <c r="Q224" s="1646">
        <f t="shared" si="26"/>
        <v>1.6020000000000001</v>
      </c>
      <c r="R224" s="1580">
        <v>2340000</v>
      </c>
      <c r="S224" s="1647">
        <f t="shared" si="27"/>
        <v>3748680</v>
      </c>
      <c r="T224" s="1142">
        <f t="shared" si="21"/>
        <v>200</v>
      </c>
      <c r="U224" s="1143">
        <f>IFERROR(INDEX('[26]CN BC'!$M$10:$M$276,MATCH(B224,'[26]CN BC'!$H$10:$H$276,0)),"")</f>
        <v>0</v>
      </c>
      <c r="V224" s="1144" t="str">
        <f>VLOOKUP(B224,TH.T4!B221:AC551,28,FALSE)</f>
        <v>CK</v>
      </c>
      <c r="W224" s="1130"/>
      <c r="X224" s="1146"/>
      <c r="Y224" s="1158"/>
    </row>
    <row r="225" spans="1:35" s="1148" customFormat="1" ht="27" customHeight="1">
      <c r="A225" s="1132">
        <f>_xlfn.AGGREGATE(4,7,A$24:A224)+1</f>
        <v>201</v>
      </c>
      <c r="B225" s="1133" t="s">
        <v>1855</v>
      </c>
      <c r="C225" s="1153" t="s">
        <v>1651</v>
      </c>
      <c r="D225" s="1154" t="s">
        <v>1292</v>
      </c>
      <c r="E225" s="1058" t="str">
        <f>VLOOKUP(B225,TH.Q2!B127:E458,4,FALSE)</f>
        <v>Giảng viên khoa Cơ khí</v>
      </c>
      <c r="F225" s="1136">
        <v>4.9800000000000004</v>
      </c>
      <c r="G225" s="1137">
        <v>7.0000000000000007E-2</v>
      </c>
      <c r="H225" s="1393">
        <f t="shared" si="24"/>
        <v>0.34899999999999998</v>
      </c>
      <c r="I225" s="1138">
        <v>0.35</v>
      </c>
      <c r="J225" s="1138" t="str">
        <f>VLOOKUP(B225,'[25]Gui chi Quynh'!$B$11:$E$396,4,FALSE)</f>
        <v>A3</v>
      </c>
      <c r="K225" s="1138">
        <f t="shared" si="25"/>
        <v>0.6</v>
      </c>
      <c r="L225" s="1139">
        <v>20</v>
      </c>
      <c r="M225" s="1139">
        <f>VLOOKUP(B225,'[26]CN BC'!$H$10:$J$275,3,FALSE)</f>
        <v>20</v>
      </c>
      <c r="N225" s="1139">
        <f t="shared" si="22"/>
        <v>20</v>
      </c>
      <c r="O225" s="1140"/>
      <c r="P225" s="1141">
        <f t="shared" si="23"/>
        <v>7973316</v>
      </c>
      <c r="Q225" s="1646">
        <f t="shared" si="26"/>
        <v>3.4074</v>
      </c>
      <c r="R225" s="1580">
        <v>2340000</v>
      </c>
      <c r="S225" s="1647">
        <f t="shared" si="27"/>
        <v>7973316</v>
      </c>
      <c r="T225" s="1142">
        <f t="shared" si="21"/>
        <v>201</v>
      </c>
      <c r="U225" s="1143">
        <f>IFERROR(INDEX('[26]CN BC'!$M$10:$M$276,MATCH(B225,'[26]CN BC'!$H$10:$H$276,0)),"")</f>
        <v>0</v>
      </c>
      <c r="V225" s="1144" t="str">
        <f>VLOOKUP(B225,TH.T4!B222:AC552,28,FALSE)</f>
        <v>CK</v>
      </c>
      <c r="W225" s="1130"/>
      <c r="X225" s="1146"/>
      <c r="Y225" s="1147"/>
    </row>
    <row r="226" spans="1:35" s="1146" customFormat="1" ht="33.75" customHeight="1">
      <c r="A226" s="1132">
        <f>_xlfn.AGGREGATE(4,7,A$24:A225)+1</f>
        <v>202</v>
      </c>
      <c r="B226" s="1172" t="s">
        <v>1898</v>
      </c>
      <c r="C226" s="1149" t="s">
        <v>1781</v>
      </c>
      <c r="D226" s="1173" t="s">
        <v>1386</v>
      </c>
      <c r="E226" s="1058" t="str">
        <f>VLOOKUP(B226,TH.Q2!B128:E459,4,FALSE)</f>
        <v>Trưởng khoa Điện - Điện tử</v>
      </c>
      <c r="F226" s="1174">
        <v>4.6500000000000004</v>
      </c>
      <c r="G226" s="1175"/>
      <c r="H226" s="1393">
        <f t="shared" si="24"/>
        <v>0</v>
      </c>
      <c r="I226" s="1138">
        <v>0.45</v>
      </c>
      <c r="J226" s="1138" t="str">
        <f>VLOOKUP(B226,'[25]Gui chi Quynh'!$B$11:$E$396,4,FALSE)</f>
        <v>A1</v>
      </c>
      <c r="K226" s="1138">
        <f t="shared" si="25"/>
        <v>0.8</v>
      </c>
      <c r="L226" s="1139">
        <v>20</v>
      </c>
      <c r="M226" s="1139">
        <f>VLOOKUP(B226,'[26]CN BC'!$H$10:$J$275,3,FALSE)</f>
        <v>20</v>
      </c>
      <c r="N226" s="1139">
        <f t="shared" si="22"/>
        <v>20</v>
      </c>
      <c r="O226" s="1140"/>
      <c r="P226" s="1141">
        <f t="shared" si="23"/>
        <v>9547200.0000000019</v>
      </c>
      <c r="Q226" s="1646">
        <f t="shared" si="26"/>
        <v>4.080000000000001</v>
      </c>
      <c r="R226" s="1580">
        <v>2340000</v>
      </c>
      <c r="S226" s="1647">
        <f t="shared" si="27"/>
        <v>9547200.0000000019</v>
      </c>
      <c r="T226" s="1142">
        <f t="shared" si="21"/>
        <v>202</v>
      </c>
      <c r="U226" s="1143">
        <f>IFERROR(INDEX('[26]CN BC'!$M$10:$M$276,MATCH(B226,'[26]CN BC'!$H$10:$H$276,0)),"")</f>
        <v>0</v>
      </c>
      <c r="V226" s="1144" t="str">
        <f>VLOOKUP(B226,TH.T4!B223:AC553,28,FALSE)</f>
        <v>Đ-ĐT</v>
      </c>
      <c r="W226" s="1130"/>
      <c r="Y226" s="1147"/>
    </row>
    <row r="227" spans="1:35" s="1148" customFormat="1" ht="33.75" customHeight="1">
      <c r="A227" s="1132">
        <f>_xlfn.AGGREGATE(4,7,A$24:A226)+1</f>
        <v>203</v>
      </c>
      <c r="B227" s="1133" t="s">
        <v>526</v>
      </c>
      <c r="C227" s="1149" t="s">
        <v>1646</v>
      </c>
      <c r="D227" s="1154" t="s">
        <v>1398</v>
      </c>
      <c r="E227" s="1058" t="str">
        <f>VLOOKUP(B227,TH.Q2!B129:E460,4,FALSE)</f>
        <v>Phó Trưởng khoa Điện - Điện tử</v>
      </c>
      <c r="F227" s="1136">
        <v>4.9800000000000004</v>
      </c>
      <c r="G227" s="1137">
        <v>0.17</v>
      </c>
      <c r="H227" s="1393">
        <f t="shared" si="24"/>
        <v>0.84699999999999998</v>
      </c>
      <c r="I227" s="1138">
        <f>0.35</f>
        <v>0.35</v>
      </c>
      <c r="J227" s="1138" t="str">
        <f>VLOOKUP(B227,'[25]Gui chi Quynh'!$B$11:$E$396,4,FALSE)</f>
        <v>A1</v>
      </c>
      <c r="K227" s="1138">
        <f t="shared" si="25"/>
        <v>0.8</v>
      </c>
      <c r="L227" s="1139">
        <v>20</v>
      </c>
      <c r="M227" s="1139">
        <f>VLOOKUP(B227,'[26]CN BC'!$H$10:$J$275,3,FALSE)</f>
        <v>20</v>
      </c>
      <c r="N227" s="1139">
        <f t="shared" si="22"/>
        <v>20</v>
      </c>
      <c r="O227" s="1140"/>
      <c r="P227" s="1141">
        <f t="shared" si="23"/>
        <v>11563344</v>
      </c>
      <c r="Q227" s="1646">
        <f t="shared" si="26"/>
        <v>4.9416000000000002</v>
      </c>
      <c r="R227" s="1580">
        <v>2340000</v>
      </c>
      <c r="S227" s="1647">
        <f t="shared" si="27"/>
        <v>11563344</v>
      </c>
      <c r="T227" s="1142">
        <f t="shared" si="21"/>
        <v>203</v>
      </c>
      <c r="U227" s="1143">
        <f>IFERROR(INDEX('[26]CN BC'!$M$10:$M$276,MATCH(B227,'[26]CN BC'!$H$10:$H$276,0)),"")</f>
        <v>0</v>
      </c>
      <c r="V227" s="1144" t="str">
        <f>VLOOKUP(B227,TH.T4!B224:AC554,28,FALSE)</f>
        <v>Đ-ĐT</v>
      </c>
      <c r="W227" s="1130"/>
      <c r="X227" s="1146"/>
      <c r="Y227" s="1147"/>
      <c r="Z227" s="1146"/>
      <c r="AA227" s="1146"/>
      <c r="AB227" s="1146"/>
      <c r="AC227" s="1146"/>
      <c r="AD227" s="1146"/>
      <c r="AE227" s="1146"/>
      <c r="AF227" s="1146"/>
      <c r="AG227" s="1146"/>
      <c r="AH227" s="1146"/>
      <c r="AI227" s="1146"/>
    </row>
    <row r="228" spans="1:35" s="1148" customFormat="1" ht="33.75" customHeight="1">
      <c r="A228" s="1132">
        <f>_xlfn.AGGREGATE(4,7,A$24:A227)+1</f>
        <v>204</v>
      </c>
      <c r="B228" s="1133" t="s">
        <v>1899</v>
      </c>
      <c r="C228" s="1153" t="s">
        <v>1778</v>
      </c>
      <c r="D228" s="1154" t="s">
        <v>1381</v>
      </c>
      <c r="E228" s="383" t="str">
        <f>VLOOKUP(B228,TH.Q2!B130:E461,4,FALSE)</f>
        <v>Giảng viên khoa Điện - Điện tử</v>
      </c>
      <c r="F228" s="1136">
        <v>4.9800000000000004</v>
      </c>
      <c r="G228" s="1137">
        <v>7.0000000000000007E-2</v>
      </c>
      <c r="H228" s="1400">
        <f t="shared" si="24"/>
        <v>0.34899999999999998</v>
      </c>
      <c r="I228" s="1138"/>
      <c r="J228" s="1138" t="str">
        <f>VLOOKUP(B228,'[25]Gui chi Quynh'!$B$11:$E$396,4,FALSE)</f>
        <v>A3</v>
      </c>
      <c r="K228" s="1138">
        <f t="shared" si="25"/>
        <v>0.6</v>
      </c>
      <c r="L228" s="1139">
        <v>20</v>
      </c>
      <c r="M228" s="1139">
        <f>VLOOKUP(B228,'[26]CN BC'!$H$10:$J$275,3,FALSE)</f>
        <v>20</v>
      </c>
      <c r="N228" s="1139">
        <f t="shared" si="22"/>
        <v>20</v>
      </c>
      <c r="O228" s="1155"/>
      <c r="P228" s="1141">
        <f t="shared" si="23"/>
        <v>7481916.0000000009</v>
      </c>
      <c r="Q228" s="1646">
        <f t="shared" si="26"/>
        <v>3.1974000000000005</v>
      </c>
      <c r="R228" s="1580">
        <v>2340000</v>
      </c>
      <c r="S228" s="1647">
        <f t="shared" si="27"/>
        <v>7481916.0000000009</v>
      </c>
      <c r="T228" s="1142">
        <f t="shared" ref="T228:T291" si="28">A228</f>
        <v>204</v>
      </c>
      <c r="U228" s="1143">
        <f>IFERROR(INDEX('[26]CN BC'!$M$10:$M$276,MATCH(B228,'[26]CN BC'!$H$10:$H$276,0)),"")</f>
        <v>0</v>
      </c>
      <c r="V228" s="1189" t="str">
        <f>VLOOKUP(B228,TH.T4!B225:AC555,28,FALSE)</f>
        <v>Đ-ĐT</v>
      </c>
      <c r="W228" s="1171"/>
      <c r="Y228" s="1158"/>
    </row>
    <row r="229" spans="1:35" s="1148" customFormat="1" ht="33.75" customHeight="1">
      <c r="A229" s="1132">
        <f>_xlfn.AGGREGATE(4,7,A$24:A228)+1</f>
        <v>205</v>
      </c>
      <c r="B229" s="1133" t="s">
        <v>461</v>
      </c>
      <c r="C229" s="1153" t="s">
        <v>1779</v>
      </c>
      <c r="D229" s="1154" t="s">
        <v>1384</v>
      </c>
      <c r="E229" s="383" t="str">
        <f>VLOOKUP(B229,TH.Q2!B131:E462,4,FALSE)</f>
        <v>Giảng viên khoa Điện - Điện tử</v>
      </c>
      <c r="F229" s="1136">
        <v>4.9800000000000004</v>
      </c>
      <c r="G229" s="1137">
        <v>7.0000000000000007E-2</v>
      </c>
      <c r="H229" s="1400">
        <f t="shared" si="24"/>
        <v>0.34899999999999998</v>
      </c>
      <c r="I229" s="1138"/>
      <c r="J229" s="1138" t="str">
        <f>VLOOKUP(B229,'[25]Gui chi Quynh'!$B$11:$E$396,4,FALSE)</f>
        <v>A3</v>
      </c>
      <c r="K229" s="1138">
        <f t="shared" si="25"/>
        <v>0.6</v>
      </c>
      <c r="L229" s="1139">
        <v>20</v>
      </c>
      <c r="M229" s="1139">
        <f>VLOOKUP(B229,'[26]CN BC'!$H$10:$J$275,3,FALSE)</f>
        <v>20</v>
      </c>
      <c r="N229" s="1139">
        <f t="shared" si="22"/>
        <v>20</v>
      </c>
      <c r="O229" s="1155"/>
      <c r="P229" s="1141">
        <f t="shared" si="23"/>
        <v>7481916.0000000009</v>
      </c>
      <c r="Q229" s="1646">
        <f t="shared" si="26"/>
        <v>3.1974000000000005</v>
      </c>
      <c r="R229" s="1580">
        <v>2340000</v>
      </c>
      <c r="S229" s="1647">
        <f t="shared" si="27"/>
        <v>7481916.0000000009</v>
      </c>
      <c r="T229" s="1142">
        <f t="shared" si="28"/>
        <v>205</v>
      </c>
      <c r="U229" s="1143">
        <f>IFERROR(INDEX('[26]CN BC'!$M$10:$M$276,MATCH(B229,'[26]CN BC'!$H$10:$H$276,0)),"")</f>
        <v>0</v>
      </c>
      <c r="V229" s="1189" t="str">
        <f>VLOOKUP(B229,TH.T4!B226:AC556,28,FALSE)</f>
        <v>Đ-ĐT</v>
      </c>
      <c r="W229" s="1171"/>
      <c r="Y229" s="1158"/>
    </row>
    <row r="230" spans="1:35" s="1148" customFormat="1" ht="33.75" customHeight="1">
      <c r="A230" s="1132">
        <f>_xlfn.AGGREGATE(4,7,A$24:A229)+1</f>
        <v>206</v>
      </c>
      <c r="B230" s="1133" t="s">
        <v>1900</v>
      </c>
      <c r="C230" s="1153" t="s">
        <v>1780</v>
      </c>
      <c r="D230" s="1154" t="s">
        <v>1385</v>
      </c>
      <c r="E230" s="383" t="str">
        <f>VLOOKUP(B230,TH.Q2!B132:E463,4,FALSE)</f>
        <v>Giảng viên khoa Điện - Điện tử</v>
      </c>
      <c r="F230" s="1136">
        <v>4.9800000000000004</v>
      </c>
      <c r="G230" s="1137"/>
      <c r="H230" s="1400">
        <f t="shared" si="24"/>
        <v>0</v>
      </c>
      <c r="I230" s="1138"/>
      <c r="J230" s="1138" t="str">
        <f>VLOOKUP(B230,'[25]Gui chi Quynh'!$B$11:$E$396,4,FALSE)</f>
        <v>A3</v>
      </c>
      <c r="K230" s="1138">
        <f t="shared" si="25"/>
        <v>0.6</v>
      </c>
      <c r="L230" s="1139">
        <v>20</v>
      </c>
      <c r="M230" s="1139">
        <f>VLOOKUP(B230,'[26]CN BC'!$H$10:$J$275,3,FALSE)</f>
        <v>20</v>
      </c>
      <c r="N230" s="1139">
        <f t="shared" si="22"/>
        <v>20</v>
      </c>
      <c r="O230" s="1155"/>
      <c r="P230" s="1141">
        <f t="shared" si="23"/>
        <v>6991920.0000000009</v>
      </c>
      <c r="Q230" s="1646">
        <f t="shared" si="26"/>
        <v>2.9880000000000004</v>
      </c>
      <c r="R230" s="1580">
        <v>2340000</v>
      </c>
      <c r="S230" s="1647">
        <f t="shared" si="27"/>
        <v>6991920.0000000009</v>
      </c>
      <c r="T230" s="1142">
        <f t="shared" si="28"/>
        <v>206</v>
      </c>
      <c r="U230" s="1143">
        <f>IFERROR(INDEX('[26]CN BC'!$M$10:$M$276,MATCH(B230,'[26]CN BC'!$H$10:$H$276,0)),"")</f>
        <v>0</v>
      </c>
      <c r="V230" s="1189" t="str">
        <f>VLOOKUP(B230,TH.T4!B227:AC557,28,FALSE)</f>
        <v>Đ-ĐT</v>
      </c>
      <c r="W230" s="1171"/>
      <c r="Y230" s="1158"/>
    </row>
    <row r="231" spans="1:35" s="1148" customFormat="1" ht="33.75" customHeight="1">
      <c r="A231" s="1132">
        <f>_xlfn.AGGREGATE(4,7,A$24:A230)+1</f>
        <v>207</v>
      </c>
      <c r="B231" s="1133" t="s">
        <v>1901</v>
      </c>
      <c r="C231" s="1153" t="s">
        <v>1782</v>
      </c>
      <c r="D231" s="1154" t="s">
        <v>1387</v>
      </c>
      <c r="E231" s="383" t="str">
        <f>VLOOKUP(B231,TH.Q2!B133:E464,4,FALSE)</f>
        <v>Giảng viên khoa Điện - Điện tử</v>
      </c>
      <c r="F231" s="1136">
        <v>4.32</v>
      </c>
      <c r="G231" s="1137"/>
      <c r="H231" s="1400">
        <f t="shared" si="24"/>
        <v>0</v>
      </c>
      <c r="I231" s="1138"/>
      <c r="J231" s="1138" t="str">
        <f>VLOOKUP(B231,'[25]Gui chi Quynh'!$B$11:$E$396,4,FALSE)</f>
        <v>A3</v>
      </c>
      <c r="K231" s="1138">
        <f t="shared" si="25"/>
        <v>0.6</v>
      </c>
      <c r="L231" s="1139">
        <v>20</v>
      </c>
      <c r="M231" s="1139">
        <f>VLOOKUP(B231,'[26]CN BC'!$H$10:$J$275,3,FALSE)</f>
        <v>20</v>
      </c>
      <c r="N231" s="1139">
        <f t="shared" si="22"/>
        <v>20</v>
      </c>
      <c r="O231" s="1155"/>
      <c r="P231" s="1141">
        <f t="shared" si="23"/>
        <v>6065280</v>
      </c>
      <c r="Q231" s="1646">
        <f t="shared" si="26"/>
        <v>2.5920000000000001</v>
      </c>
      <c r="R231" s="1580">
        <v>2340000</v>
      </c>
      <c r="S231" s="1647">
        <f t="shared" si="27"/>
        <v>6065280</v>
      </c>
      <c r="T231" s="1142">
        <f t="shared" si="28"/>
        <v>207</v>
      </c>
      <c r="U231" s="1143">
        <f>IFERROR(INDEX('[26]CN BC'!$M$10:$M$276,MATCH(B231,'[26]CN BC'!$H$10:$H$276,0)),"")</f>
        <v>0</v>
      </c>
      <c r="V231" s="1189" t="str">
        <f>VLOOKUP(B231,TH.T4!B228:AC558,28,FALSE)</f>
        <v>Đ-ĐT</v>
      </c>
      <c r="W231" s="1171"/>
      <c r="Y231" s="1158"/>
    </row>
    <row r="232" spans="1:35" s="1148" customFormat="1" ht="33.75" customHeight="1">
      <c r="A232" s="1132">
        <f>_xlfn.AGGREGATE(4,7,A$24:A231)+1</f>
        <v>208</v>
      </c>
      <c r="B232" s="1133" t="s">
        <v>1534</v>
      </c>
      <c r="C232" s="1153" t="s">
        <v>1783</v>
      </c>
      <c r="D232" s="1154" t="s">
        <v>1388</v>
      </c>
      <c r="E232" s="383" t="str">
        <f>VLOOKUP(B232,TH.Q2!B134:E465,4,FALSE)</f>
        <v>Giảng viên khoa
Điện - Điện tử</v>
      </c>
      <c r="F232" s="1136">
        <v>4.6500000000000004</v>
      </c>
      <c r="G232" s="1137"/>
      <c r="H232" s="1400">
        <f t="shared" si="24"/>
        <v>0</v>
      </c>
      <c r="I232" s="1138"/>
      <c r="J232" s="1138" t="str">
        <f>VLOOKUP(B232,'[25]Gui chi Quynh'!$B$11:$E$396,4,FALSE)</f>
        <v>A3</v>
      </c>
      <c r="K232" s="1138">
        <f t="shared" si="25"/>
        <v>0.6</v>
      </c>
      <c r="L232" s="1139">
        <v>20</v>
      </c>
      <c r="M232" s="1139">
        <f>VLOOKUP(B232,'[26]CN BC'!$H$10:$J$275,3,FALSE)</f>
        <v>20</v>
      </c>
      <c r="N232" s="1139">
        <f t="shared" si="22"/>
        <v>20</v>
      </c>
      <c r="O232" s="1155"/>
      <c r="P232" s="1141">
        <f t="shared" si="23"/>
        <v>6528600</v>
      </c>
      <c r="Q232" s="1646">
        <f t="shared" si="26"/>
        <v>2.79</v>
      </c>
      <c r="R232" s="1580">
        <v>2340000</v>
      </c>
      <c r="S232" s="1647">
        <f t="shared" si="27"/>
        <v>6528600</v>
      </c>
      <c r="T232" s="1142">
        <f t="shared" si="28"/>
        <v>208</v>
      </c>
      <c r="U232" s="1143">
        <f>IFERROR(INDEX('[26]CN BC'!$M$10:$M$276,MATCH(B232,'[26]CN BC'!$H$10:$H$276,0)),"")</f>
        <v>0</v>
      </c>
      <c r="V232" s="1189" t="str">
        <f>VLOOKUP(B232,TH.T4!B229:AC559,28,FALSE)</f>
        <v>Đ-ĐT</v>
      </c>
      <c r="W232" s="1171"/>
      <c r="Y232" s="1158"/>
    </row>
    <row r="233" spans="1:35" s="1148" customFormat="1" ht="33.75" customHeight="1">
      <c r="A233" s="1132">
        <f>_xlfn.AGGREGATE(4,7,A$24:A232)+1</f>
        <v>209</v>
      </c>
      <c r="B233" s="1133" t="s">
        <v>1535</v>
      </c>
      <c r="C233" s="1153" t="s">
        <v>1784</v>
      </c>
      <c r="D233" s="1150" t="s">
        <v>1595</v>
      </c>
      <c r="E233" s="383" t="str">
        <f>VLOOKUP(B233,TH.Q2!B135:E466,4,FALSE)</f>
        <v>Trưởng BM Cơ điện tử và Tự động hóa</v>
      </c>
      <c r="F233" s="1160">
        <v>3.66</v>
      </c>
      <c r="G233" s="1137"/>
      <c r="H233" s="1400">
        <f t="shared" si="24"/>
        <v>0</v>
      </c>
      <c r="I233" s="1138">
        <v>0.25</v>
      </c>
      <c r="J233" s="1138" t="str">
        <f>VLOOKUP(B233,'[25]Gui chi Quynh'!$B$11:$E$396,4,FALSE)</f>
        <v>A1</v>
      </c>
      <c r="K233" s="1138">
        <f t="shared" si="25"/>
        <v>0.8</v>
      </c>
      <c r="L233" s="1139">
        <v>20</v>
      </c>
      <c r="M233" s="1139">
        <f>VLOOKUP(B233,'[26]CN BC'!$H$10:$J$275,3,FALSE)</f>
        <v>20</v>
      </c>
      <c r="N233" s="1139">
        <f t="shared" si="22"/>
        <v>20</v>
      </c>
      <c r="O233" s="1155"/>
      <c r="P233" s="1141">
        <f t="shared" si="23"/>
        <v>7319520</v>
      </c>
      <c r="Q233" s="1646">
        <f t="shared" si="26"/>
        <v>3.1280000000000001</v>
      </c>
      <c r="R233" s="1580">
        <v>2340000</v>
      </c>
      <c r="S233" s="1647">
        <f t="shared" si="27"/>
        <v>7319520</v>
      </c>
      <c r="T233" s="1142">
        <f t="shared" si="28"/>
        <v>209</v>
      </c>
      <c r="U233" s="1143">
        <f>IFERROR(INDEX('[26]CN BC'!$M$10:$M$276,MATCH(B233,'[26]CN BC'!$H$10:$H$276,0)),"")</f>
        <v>0</v>
      </c>
      <c r="V233" s="1189" t="str">
        <f>VLOOKUP(B233,TH.T4!B230:AC560,28,FALSE)</f>
        <v>Đ-ĐT</v>
      </c>
      <c r="W233" s="1171"/>
      <c r="Y233" s="1158"/>
    </row>
    <row r="234" spans="1:35" s="1148" customFormat="1" ht="33.75" customHeight="1">
      <c r="A234" s="1132">
        <f>_xlfn.AGGREGATE(4,7,A$24:A233)+1</f>
        <v>210</v>
      </c>
      <c r="B234" s="1223" t="s">
        <v>1903</v>
      </c>
      <c r="C234" s="1153" t="s">
        <v>1786</v>
      </c>
      <c r="D234" s="1154" t="s">
        <v>1392</v>
      </c>
      <c r="E234" s="1058" t="str">
        <f>VLOOKUP(B234,TH.Q2!B136:E467,4,FALSE)</f>
        <v>Giảng viên khoa Điện - Điện tử</v>
      </c>
      <c r="F234" s="1160">
        <v>4.32</v>
      </c>
      <c r="G234" s="1137"/>
      <c r="H234" s="1393">
        <f t="shared" si="24"/>
        <v>0</v>
      </c>
      <c r="I234" s="1138"/>
      <c r="J234" s="1138" t="str">
        <f>VLOOKUP(B234,'[25]Gui chi Quynh'!$B$11:$E$396,4,FALSE)</f>
        <v>A3</v>
      </c>
      <c r="K234" s="1138">
        <f t="shared" si="25"/>
        <v>0.6</v>
      </c>
      <c r="L234" s="1139">
        <v>20</v>
      </c>
      <c r="M234" s="1139">
        <f>VLOOKUP(B234,'[26]CN BC'!$H$10:$J$275,3,FALSE)</f>
        <v>20</v>
      </c>
      <c r="N234" s="1139">
        <f t="shared" si="22"/>
        <v>20</v>
      </c>
      <c r="O234" s="1140"/>
      <c r="P234" s="1141">
        <f t="shared" si="23"/>
        <v>6065280</v>
      </c>
      <c r="Q234" s="1646">
        <f t="shared" si="26"/>
        <v>2.5920000000000001</v>
      </c>
      <c r="R234" s="1580">
        <v>2340000</v>
      </c>
      <c r="S234" s="1647">
        <f t="shared" si="27"/>
        <v>6065280</v>
      </c>
      <c r="T234" s="1142">
        <f t="shared" si="28"/>
        <v>210</v>
      </c>
      <c r="U234" s="1143">
        <f>IFERROR(INDEX('[26]CN BC'!$M$10:$M$276,MATCH(B234,'[26]CN BC'!$H$10:$H$276,0)),"")</f>
        <v>0</v>
      </c>
      <c r="V234" s="1144" t="str">
        <f>VLOOKUP(B234,TH.T4!B231:AC561,28,FALSE)</f>
        <v>Đ-ĐT</v>
      </c>
      <c r="W234" s="1167"/>
      <c r="X234" s="1146"/>
      <c r="Y234" s="1147"/>
      <c r="Z234" s="1146"/>
      <c r="AA234" s="1146"/>
      <c r="AB234" s="1146"/>
      <c r="AC234" s="1146"/>
      <c r="AD234" s="1146"/>
      <c r="AE234" s="1146"/>
    </row>
    <row r="235" spans="1:35" s="1148" customFormat="1" ht="33.75" customHeight="1">
      <c r="A235" s="1132">
        <f>_xlfn.AGGREGATE(4,7,A$24:A234)+1</f>
        <v>211</v>
      </c>
      <c r="B235" s="1133" t="s">
        <v>1904</v>
      </c>
      <c r="C235" s="1149" t="s">
        <v>1787</v>
      </c>
      <c r="D235" s="1154" t="s">
        <v>1396</v>
      </c>
      <c r="E235" s="1058" t="str">
        <f>VLOOKUP(B235,TH.Q2!B137:E468,4,FALSE)</f>
        <v>Giảng viên khoa Điện - Điện tử</v>
      </c>
      <c r="F235" s="1136">
        <v>4.6500000000000004</v>
      </c>
      <c r="G235" s="1137"/>
      <c r="H235" s="1393">
        <f t="shared" si="24"/>
        <v>0</v>
      </c>
      <c r="I235" s="1138"/>
      <c r="J235" s="1138" t="str">
        <f>VLOOKUP(B235,'[25]Gui chi Quynh'!$B$11:$E$396,4,FALSE)</f>
        <v>A3</v>
      </c>
      <c r="K235" s="1138">
        <f t="shared" si="25"/>
        <v>0.6</v>
      </c>
      <c r="L235" s="1139">
        <v>20</v>
      </c>
      <c r="M235" s="1139">
        <f>VLOOKUP(B235,'[26]CN BC'!$H$10:$J$275,3,FALSE)</f>
        <v>20</v>
      </c>
      <c r="N235" s="1139">
        <f t="shared" si="22"/>
        <v>20</v>
      </c>
      <c r="O235" s="1140"/>
      <c r="P235" s="1141">
        <f t="shared" si="23"/>
        <v>6528600</v>
      </c>
      <c r="Q235" s="1646">
        <f t="shared" si="26"/>
        <v>2.79</v>
      </c>
      <c r="R235" s="1580">
        <v>2340000</v>
      </c>
      <c r="S235" s="1647">
        <f t="shared" si="27"/>
        <v>6528600</v>
      </c>
      <c r="T235" s="1142">
        <f t="shared" si="28"/>
        <v>211</v>
      </c>
      <c r="U235" s="1143">
        <f>IFERROR(INDEX('[26]CN BC'!$M$10:$M$276,MATCH(B235,'[26]CN BC'!$H$10:$H$276,0)),"")</f>
        <v>0</v>
      </c>
      <c r="V235" s="1144" t="str">
        <f>VLOOKUP(B235,TH.T4!B232:AC562,28,FALSE)</f>
        <v>Đ-ĐT</v>
      </c>
      <c r="W235" s="1130"/>
      <c r="X235" s="1146"/>
      <c r="Y235" s="1147"/>
      <c r="Z235" s="1146"/>
      <c r="AA235" s="1146"/>
      <c r="AB235" s="1146"/>
      <c r="AC235" s="1146"/>
      <c r="AD235" s="1146"/>
      <c r="AE235" s="1146"/>
      <c r="AF235" s="1146"/>
      <c r="AG235" s="1146"/>
      <c r="AH235" s="1146"/>
      <c r="AI235" s="1146"/>
    </row>
    <row r="236" spans="1:35" s="1148" customFormat="1" ht="33.75" customHeight="1">
      <c r="A236" s="1132">
        <f>_xlfn.AGGREGATE(4,7,A$24:A235)+1</f>
        <v>212</v>
      </c>
      <c r="B236" s="1133" t="s">
        <v>1536</v>
      </c>
      <c r="C236" s="1153" t="s">
        <v>1788</v>
      </c>
      <c r="D236" s="1154" t="s">
        <v>389</v>
      </c>
      <c r="E236" s="1058" t="str">
        <f>VLOOKUP(B236,TH.Q2!B138:E469,4,FALSE)</f>
        <v>Giảng viên khoa
Điện - Điện tử</v>
      </c>
      <c r="F236" s="1160">
        <v>3.66</v>
      </c>
      <c r="G236" s="1137"/>
      <c r="H236" s="1393">
        <f t="shared" si="24"/>
        <v>0</v>
      </c>
      <c r="I236" s="1138"/>
      <c r="J236" s="1138" t="str">
        <f>VLOOKUP(B236,'[25]Gui chi Quynh'!$B$11:$E$396,4,FALSE)</f>
        <v>A3</v>
      </c>
      <c r="K236" s="1138">
        <f t="shared" si="25"/>
        <v>0.6</v>
      </c>
      <c r="L236" s="1139">
        <v>20</v>
      </c>
      <c r="M236" s="1139">
        <f>VLOOKUP(B236,'[26]CN BC'!$H$10:$J$275,3,FALSE)</f>
        <v>20</v>
      </c>
      <c r="N236" s="1139">
        <f t="shared" si="22"/>
        <v>20</v>
      </c>
      <c r="O236" s="1140"/>
      <c r="P236" s="1141">
        <f t="shared" si="23"/>
        <v>5138640</v>
      </c>
      <c r="Q236" s="1646">
        <f t="shared" si="26"/>
        <v>2.1960000000000002</v>
      </c>
      <c r="R236" s="1580">
        <v>2340000</v>
      </c>
      <c r="S236" s="1647">
        <f t="shared" si="27"/>
        <v>5138640</v>
      </c>
      <c r="T236" s="1142">
        <f t="shared" si="28"/>
        <v>212</v>
      </c>
      <c r="U236" s="1143">
        <f>IFERROR(INDEX('[26]CN BC'!$M$10:$M$276,MATCH(B236,'[26]CN BC'!$H$10:$H$276,0)),"")</f>
        <v>0</v>
      </c>
      <c r="V236" s="1144" t="str">
        <f>VLOOKUP(B236,TH.T4!B233:AC563,28,FALSE)</f>
        <v>Đ-ĐT</v>
      </c>
      <c r="W236" s="1130"/>
      <c r="X236" s="1146"/>
      <c r="Y236" s="1147"/>
      <c r="Z236" s="1146"/>
      <c r="AA236" s="1146"/>
      <c r="AB236" s="1146"/>
      <c r="AC236" s="1146"/>
      <c r="AD236" s="1146"/>
      <c r="AE236" s="1146"/>
    </row>
    <row r="237" spans="1:35" s="1148" customFormat="1" ht="33.75" customHeight="1">
      <c r="A237" s="1132">
        <f>_xlfn.AGGREGATE(4,7,A$24:A236)+1</f>
        <v>213</v>
      </c>
      <c r="B237" s="1133" t="s">
        <v>1537</v>
      </c>
      <c r="C237" s="1153" t="s">
        <v>1789</v>
      </c>
      <c r="D237" s="1154" t="s">
        <v>1334</v>
      </c>
      <c r="E237" s="383" t="str">
        <f>VLOOKUP(B237,TH.Q2!B139:E470,4,FALSE)</f>
        <v>Giảng viên khoa
Điện - Điện tử</v>
      </c>
      <c r="F237" s="1160">
        <v>4.32</v>
      </c>
      <c r="G237" s="1137"/>
      <c r="H237" s="1400">
        <f t="shared" si="24"/>
        <v>0</v>
      </c>
      <c r="I237" s="1138"/>
      <c r="J237" s="1138" t="str">
        <f>VLOOKUP(B237,'[25]Gui chi Quynh'!$B$11:$E$396,4,FALSE)</f>
        <v>A3</v>
      </c>
      <c r="K237" s="1138">
        <f t="shared" si="25"/>
        <v>0.6</v>
      </c>
      <c r="L237" s="1139">
        <v>20</v>
      </c>
      <c r="M237" s="1139">
        <f>VLOOKUP(B237,'[26]CN BC'!$H$10:$J$275,3,FALSE)</f>
        <v>20</v>
      </c>
      <c r="N237" s="1139">
        <f t="shared" si="22"/>
        <v>20</v>
      </c>
      <c r="O237" s="1155"/>
      <c r="P237" s="1141">
        <f t="shared" si="23"/>
        <v>6065280</v>
      </c>
      <c r="Q237" s="1646">
        <f t="shared" si="26"/>
        <v>2.5920000000000001</v>
      </c>
      <c r="R237" s="1580">
        <v>2340000</v>
      </c>
      <c r="S237" s="1647">
        <f t="shared" si="27"/>
        <v>6065280</v>
      </c>
      <c r="T237" s="1142">
        <f t="shared" si="28"/>
        <v>213</v>
      </c>
      <c r="U237" s="1143">
        <f>IFERROR(INDEX('[26]CN BC'!$M$10:$M$276,MATCH(B237,'[26]CN BC'!$H$10:$H$276,0)),"")</f>
        <v>0</v>
      </c>
      <c r="V237" s="1189" t="str">
        <f>VLOOKUP(B237,TH.T4!B234:AC564,28,FALSE)</f>
        <v>Đ-ĐT</v>
      </c>
      <c r="W237" s="1171"/>
      <c r="Y237" s="1158"/>
    </row>
    <row r="238" spans="1:35" s="1148" customFormat="1" ht="33.75" customHeight="1">
      <c r="A238" s="1132">
        <f>_xlfn.AGGREGATE(4,7,A$24:A237)+1</f>
        <v>214</v>
      </c>
      <c r="B238" s="1133" t="s">
        <v>1905</v>
      </c>
      <c r="C238" s="1149" t="s">
        <v>1790</v>
      </c>
      <c r="D238" s="1168" t="s">
        <v>463</v>
      </c>
      <c r="E238" s="1058" t="str">
        <f>VLOOKUP(B238,TH.Q2!B140:E471,4,FALSE)</f>
        <v>Giảng viên khoa Điện - Điện tử</v>
      </c>
      <c r="F238" s="1160">
        <v>3.66</v>
      </c>
      <c r="G238" s="1137"/>
      <c r="H238" s="1393">
        <f t="shared" si="24"/>
        <v>0</v>
      </c>
      <c r="I238" s="1138"/>
      <c r="J238" s="1138" t="str">
        <f>VLOOKUP(B238,'[25]Gui chi Quynh'!$B$11:$E$396,4,FALSE)</f>
        <v>A3</v>
      </c>
      <c r="K238" s="1138">
        <f t="shared" si="25"/>
        <v>0.6</v>
      </c>
      <c r="L238" s="1139">
        <v>20</v>
      </c>
      <c r="M238" s="1139">
        <f>VLOOKUP(B238,'[26]CN BC'!$H$10:$J$275,3,FALSE)</f>
        <v>20</v>
      </c>
      <c r="N238" s="1139">
        <f t="shared" si="22"/>
        <v>20</v>
      </c>
      <c r="O238" s="1140"/>
      <c r="P238" s="1141">
        <f t="shared" si="23"/>
        <v>5138640</v>
      </c>
      <c r="Q238" s="1646">
        <f t="shared" si="26"/>
        <v>2.1960000000000002</v>
      </c>
      <c r="R238" s="1580">
        <v>2340000</v>
      </c>
      <c r="S238" s="1647">
        <f t="shared" si="27"/>
        <v>5138640</v>
      </c>
      <c r="T238" s="1142">
        <f t="shared" si="28"/>
        <v>214</v>
      </c>
      <c r="U238" s="1143">
        <f>IFERROR(INDEX('[26]CN BC'!$M$10:$M$276,MATCH(B238,'[26]CN BC'!$H$10:$H$276,0)),"")</f>
        <v>0</v>
      </c>
      <c r="V238" s="1144" t="str">
        <f>VLOOKUP(B238,TH.T4!B235:AC565,28,FALSE)</f>
        <v>Đ-ĐT</v>
      </c>
      <c r="W238" s="1130"/>
      <c r="X238" s="1146"/>
      <c r="Y238" s="1147"/>
      <c r="Z238" s="1146"/>
      <c r="AA238" s="1146"/>
      <c r="AB238" s="1146"/>
      <c r="AC238" s="1146"/>
      <c r="AD238" s="1146"/>
      <c r="AE238" s="1146"/>
      <c r="AF238" s="1146"/>
      <c r="AG238" s="1146"/>
      <c r="AH238" s="1146"/>
      <c r="AI238" s="1146"/>
    </row>
    <row r="239" spans="1:35" s="1148" customFormat="1" ht="33.75" customHeight="1">
      <c r="A239" s="1132">
        <f>_xlfn.AGGREGATE(4,7,A$24:A238)+1</f>
        <v>215</v>
      </c>
      <c r="B239" s="1133" t="s">
        <v>1538</v>
      </c>
      <c r="C239" s="1149" t="s">
        <v>1791</v>
      </c>
      <c r="D239" s="1168" t="s">
        <v>510</v>
      </c>
      <c r="E239" s="1058" t="str">
        <f>VLOOKUP(B239,TH.Q2!B141:E472,4,FALSE)</f>
        <v>Giảng viên khoa
Điện - Điện tử</v>
      </c>
      <c r="F239" s="1160">
        <v>3.66</v>
      </c>
      <c r="G239" s="1137"/>
      <c r="H239" s="1393">
        <f t="shared" si="24"/>
        <v>0</v>
      </c>
      <c r="I239" s="1138"/>
      <c r="J239" s="1138" t="str">
        <f>VLOOKUP(B239,'[25]Gui chi Quynh'!$B$11:$E$396,4,FALSE)</f>
        <v>A1</v>
      </c>
      <c r="K239" s="1138">
        <f t="shared" si="25"/>
        <v>0.8</v>
      </c>
      <c r="L239" s="1139">
        <v>20</v>
      </c>
      <c r="M239" s="1139">
        <f>VLOOKUP(B239,'[26]CN BC'!$H$10:$J$275,3,FALSE)</f>
        <v>20</v>
      </c>
      <c r="N239" s="1139">
        <f t="shared" si="22"/>
        <v>20</v>
      </c>
      <c r="O239" s="1140"/>
      <c r="P239" s="1141">
        <f t="shared" si="23"/>
        <v>6851520</v>
      </c>
      <c r="Q239" s="1646">
        <f t="shared" si="26"/>
        <v>2.9279999999999999</v>
      </c>
      <c r="R239" s="1580">
        <v>2340000</v>
      </c>
      <c r="S239" s="1647">
        <f t="shared" si="27"/>
        <v>6851520</v>
      </c>
      <c r="T239" s="1142">
        <f t="shared" si="28"/>
        <v>215</v>
      </c>
      <c r="U239" s="1143">
        <f>IFERROR(INDEX('[26]CN BC'!$M$10:$M$276,MATCH(B239,'[26]CN BC'!$H$10:$H$276,0)),"")</f>
        <v>0</v>
      </c>
      <c r="V239" s="1144" t="str">
        <f>VLOOKUP(B239,TH.T4!B236:AC566,28,FALSE)</f>
        <v>Đ-ĐT</v>
      </c>
      <c r="W239" s="1130"/>
      <c r="X239" s="1146"/>
      <c r="Y239" s="1147"/>
      <c r="Z239" s="1146"/>
      <c r="AA239" s="1146"/>
      <c r="AB239" s="1146"/>
      <c r="AC239" s="1146"/>
      <c r="AD239" s="1146"/>
      <c r="AE239" s="1146"/>
      <c r="AF239" s="1146"/>
      <c r="AG239" s="1146"/>
      <c r="AH239" s="1146"/>
      <c r="AI239" s="1146"/>
    </row>
    <row r="240" spans="1:35" s="1148" customFormat="1" ht="33.75" customHeight="1">
      <c r="A240" s="1132">
        <f>_xlfn.AGGREGATE(4,7,A$24:A239)+1</f>
        <v>216</v>
      </c>
      <c r="B240" s="1133" t="s">
        <v>1906</v>
      </c>
      <c r="C240" s="1153" t="s">
        <v>1792</v>
      </c>
      <c r="D240" s="1154" t="s">
        <v>1399</v>
      </c>
      <c r="E240" s="1058" t="str">
        <f>VLOOKUP(B240,TH.Q2!B142:E473,4,FALSE)</f>
        <v>Giảng viên khoa Điện - Điện tử</v>
      </c>
      <c r="F240" s="1136">
        <v>4.9800000000000004</v>
      </c>
      <c r="G240" s="1137">
        <v>0.09</v>
      </c>
      <c r="H240" s="1393">
        <f t="shared" si="24"/>
        <v>0.44800000000000001</v>
      </c>
      <c r="I240" s="1138">
        <v>0.35</v>
      </c>
      <c r="J240" s="1138" t="str">
        <f>VLOOKUP(B240,'[25]Gui chi Quynh'!$B$11:$E$396,4,FALSE)</f>
        <v>A1</v>
      </c>
      <c r="K240" s="1138">
        <f t="shared" si="25"/>
        <v>0.8</v>
      </c>
      <c r="L240" s="1139">
        <v>20</v>
      </c>
      <c r="M240" s="1139">
        <f>VLOOKUP(B240,'[26]CN BC'!$H$10:$J$275,3,FALSE)</f>
        <v>20</v>
      </c>
      <c r="N240" s="1139">
        <f t="shared" si="22"/>
        <v>20</v>
      </c>
      <c r="O240" s="1140"/>
      <c r="P240" s="1141">
        <f t="shared" si="23"/>
        <v>10816416.000000002</v>
      </c>
      <c r="Q240" s="1646">
        <f t="shared" si="26"/>
        <v>4.6224000000000007</v>
      </c>
      <c r="R240" s="1580">
        <v>2340000</v>
      </c>
      <c r="S240" s="1647">
        <f t="shared" si="27"/>
        <v>10816416.000000002</v>
      </c>
      <c r="T240" s="1142">
        <f t="shared" si="28"/>
        <v>216</v>
      </c>
      <c r="U240" s="1143">
        <f>IFERROR(INDEX('[26]CN BC'!$M$10:$M$276,MATCH(B240,'[26]CN BC'!$H$10:$H$276,0)),"")</f>
        <v>0</v>
      </c>
      <c r="V240" s="1144" t="str">
        <f>VLOOKUP(B240,TH.T4!B237:AC567,28,FALSE)</f>
        <v>Đ-ĐT</v>
      </c>
      <c r="W240" s="1130"/>
      <c r="X240" s="1146"/>
      <c r="Y240" s="1147"/>
      <c r="Z240" s="1146"/>
      <c r="AA240" s="1146"/>
      <c r="AB240" s="1146"/>
      <c r="AC240" s="1146"/>
      <c r="AD240" s="1146"/>
      <c r="AE240" s="1146"/>
    </row>
    <row r="241" spans="1:35" s="1148" customFormat="1" ht="33.75" customHeight="1">
      <c r="A241" s="1132">
        <f>_xlfn.AGGREGATE(4,7,A$24:A240)+1</f>
        <v>217</v>
      </c>
      <c r="B241" s="1133" t="s">
        <v>1907</v>
      </c>
      <c r="C241" s="1153" t="s">
        <v>1793</v>
      </c>
      <c r="D241" s="1154" t="s">
        <v>1400</v>
      </c>
      <c r="E241" s="1058" t="str">
        <f>VLOOKUP(B241,TH.Q2!B143:E474,4,FALSE)</f>
        <v>Giảng viên khoa Điện - Điện tử</v>
      </c>
      <c r="F241" s="1136">
        <v>4.9800000000000004</v>
      </c>
      <c r="G241" s="1137">
        <v>0.12</v>
      </c>
      <c r="H241" s="1393">
        <f t="shared" si="24"/>
        <v>0.59799999999999998</v>
      </c>
      <c r="I241" s="1138"/>
      <c r="J241" s="1138" t="str">
        <f>VLOOKUP(B241,'[25]Gui chi Quynh'!$B$11:$E$396,4,FALSE)</f>
        <v>A4</v>
      </c>
      <c r="K241" s="1138">
        <f t="shared" si="25"/>
        <v>0.5</v>
      </c>
      <c r="L241" s="1139">
        <v>20</v>
      </c>
      <c r="M241" s="1139">
        <f>VLOOKUP(B241,'[26]CN BC'!$H$10:$J$275,3,FALSE)</f>
        <v>20</v>
      </c>
      <c r="N241" s="1139">
        <f t="shared" si="22"/>
        <v>20</v>
      </c>
      <c r="O241" s="1140"/>
      <c r="P241" s="1141">
        <f t="shared" si="23"/>
        <v>6526260</v>
      </c>
      <c r="Q241" s="1646">
        <f t="shared" si="26"/>
        <v>2.7890000000000001</v>
      </c>
      <c r="R241" s="1580">
        <v>2340000</v>
      </c>
      <c r="S241" s="1647">
        <f t="shared" si="27"/>
        <v>6526260</v>
      </c>
      <c r="T241" s="1142">
        <f t="shared" si="28"/>
        <v>217</v>
      </c>
      <c r="U241" s="1143">
        <f>IFERROR(INDEX('[26]CN BC'!$M$10:$M$276,MATCH(B241,'[26]CN BC'!$H$10:$H$276,0)),"")</f>
        <v>0</v>
      </c>
      <c r="V241" s="1144" t="str">
        <f>VLOOKUP(B241,TH.T4!B238:AC568,28,FALSE)</f>
        <v>Đ-ĐT</v>
      </c>
      <c r="W241" s="1130"/>
      <c r="X241" s="1146"/>
      <c r="Y241" s="1147"/>
    </row>
    <row r="242" spans="1:35" s="1148" customFormat="1" ht="33.75" customHeight="1">
      <c r="A242" s="1132">
        <f>_xlfn.AGGREGATE(4,7,A$24:A241)+1</f>
        <v>218</v>
      </c>
      <c r="B242" s="1133" t="s">
        <v>1908</v>
      </c>
      <c r="C242" s="1153" t="s">
        <v>1794</v>
      </c>
      <c r="D242" s="1154" t="s">
        <v>1401</v>
      </c>
      <c r="E242" s="1058" t="str">
        <f>VLOOKUP(B242,TH.Q2!B144:E475,4,FALSE)</f>
        <v>Giảng viên khoa Điện - Điện tử</v>
      </c>
      <c r="F242" s="1136">
        <v>4.9800000000000004</v>
      </c>
      <c r="G242" s="1137">
        <v>0.09</v>
      </c>
      <c r="H242" s="1393">
        <f t="shared" si="24"/>
        <v>0.44800000000000001</v>
      </c>
      <c r="I242" s="1138"/>
      <c r="J242" s="1138" t="str">
        <f>VLOOKUP(B242,'[25]Gui chi Quynh'!$B$11:$E$396,4,FALSE)</f>
        <v>A3</v>
      </c>
      <c r="K242" s="1138">
        <f t="shared" si="25"/>
        <v>0.6</v>
      </c>
      <c r="L242" s="1139">
        <v>20</v>
      </c>
      <c r="M242" s="1139">
        <f>VLOOKUP(B242,'[26]CN BC'!$H$10:$J$275,3,FALSE)</f>
        <v>20</v>
      </c>
      <c r="N242" s="1139">
        <f t="shared" si="22"/>
        <v>20</v>
      </c>
      <c r="O242" s="1140"/>
      <c r="P242" s="1141">
        <f t="shared" si="23"/>
        <v>7620912.0000000009</v>
      </c>
      <c r="Q242" s="1646">
        <f t="shared" si="26"/>
        <v>3.2568000000000006</v>
      </c>
      <c r="R242" s="1580">
        <v>2340000</v>
      </c>
      <c r="S242" s="1647">
        <f t="shared" si="27"/>
        <v>7620912.0000000009</v>
      </c>
      <c r="T242" s="1142">
        <f t="shared" si="28"/>
        <v>218</v>
      </c>
      <c r="U242" s="1143">
        <f>IFERROR(INDEX('[26]CN BC'!$M$10:$M$276,MATCH(B242,'[26]CN BC'!$H$10:$H$276,0)),"")</f>
        <v>0</v>
      </c>
      <c r="V242" s="1144" t="str">
        <f>VLOOKUP(B242,TH.T4!B239:AC569,28,FALSE)</f>
        <v>Đ-ĐT</v>
      </c>
      <c r="W242" s="1130"/>
      <c r="X242" s="1146"/>
      <c r="Y242" s="1147"/>
      <c r="Z242" s="1146"/>
      <c r="AA242" s="1146"/>
      <c r="AB242" s="1146"/>
      <c r="AC242" s="1146"/>
      <c r="AD242" s="1146"/>
      <c r="AE242" s="1146"/>
    </row>
    <row r="243" spans="1:35" s="1148" customFormat="1" ht="33.75" customHeight="1">
      <c r="A243" s="1132">
        <f>_xlfn.AGGREGATE(4,7,A$24:A242)+1</f>
        <v>219</v>
      </c>
      <c r="B243" s="1133" t="s">
        <v>1909</v>
      </c>
      <c r="C243" s="1153" t="s">
        <v>1795</v>
      </c>
      <c r="D243" s="1154" t="s">
        <v>1404</v>
      </c>
      <c r="E243" s="383" t="str">
        <f>VLOOKUP(B243,TH.Q2!B145:E476,4,FALSE)</f>
        <v>Giảng viên khoa Điện - Điện tử</v>
      </c>
      <c r="F243" s="1136">
        <v>4.6500000000000004</v>
      </c>
      <c r="G243" s="1582"/>
      <c r="H243" s="1400">
        <f t="shared" si="24"/>
        <v>0</v>
      </c>
      <c r="I243" s="1138"/>
      <c r="J243" s="1138" t="str">
        <f>VLOOKUP(B243,'[25]Gui chi Quynh'!$B$11:$E$396,4,FALSE)</f>
        <v>A4</v>
      </c>
      <c r="K243" s="1138">
        <f t="shared" si="25"/>
        <v>0.5</v>
      </c>
      <c r="L243" s="1139">
        <v>20</v>
      </c>
      <c r="M243" s="1139">
        <f>VLOOKUP(B243,'[26]CN BC'!$H$10:$J$275,3,FALSE)</f>
        <v>20</v>
      </c>
      <c r="N243" s="1139">
        <f t="shared" si="22"/>
        <v>20</v>
      </c>
      <c r="O243" s="1155"/>
      <c r="P243" s="1141">
        <f t="shared" si="23"/>
        <v>5440500</v>
      </c>
      <c r="Q243" s="1646">
        <f t="shared" si="26"/>
        <v>2.3250000000000002</v>
      </c>
      <c r="R243" s="1580">
        <v>2340000</v>
      </c>
      <c r="S243" s="1647">
        <f t="shared" si="27"/>
        <v>5440500</v>
      </c>
      <c r="T243" s="1142">
        <f t="shared" si="28"/>
        <v>219</v>
      </c>
      <c r="U243" s="1143">
        <f>IFERROR(INDEX('[26]CN BC'!$M$10:$M$276,MATCH(B243,'[26]CN BC'!$H$10:$H$276,0)),"")</f>
        <v>0</v>
      </c>
      <c r="V243" s="1189" t="str">
        <f>VLOOKUP(B243,TH.T4!B240:AC570,28,FALSE)</f>
        <v>Đ-ĐT</v>
      </c>
      <c r="W243" s="1171"/>
      <c r="Y243" s="1158"/>
    </row>
    <row r="244" spans="1:35" s="1148" customFormat="1" ht="33.75" customHeight="1">
      <c r="A244" s="1132">
        <f>_xlfn.AGGREGATE(4,7,A$24:A243)+1</f>
        <v>220</v>
      </c>
      <c r="B244" s="1133" t="s">
        <v>1539</v>
      </c>
      <c r="C244" s="1153" t="s">
        <v>1796</v>
      </c>
      <c r="D244" s="1154" t="s">
        <v>1405</v>
      </c>
      <c r="E244" s="383" t="str">
        <f>VLOOKUP(B244,TH.Q2!B146:E477,4,FALSE)</f>
        <v>Giảng viên khoa
Điện - Điện tử</v>
      </c>
      <c r="F244" s="1136">
        <v>4.6500000000000004</v>
      </c>
      <c r="G244" s="1137"/>
      <c r="H244" s="1400">
        <f t="shared" si="24"/>
        <v>0</v>
      </c>
      <c r="I244" s="1138"/>
      <c r="J244" s="1138" t="str">
        <f>VLOOKUP(B244,'[25]Gui chi Quynh'!$B$11:$E$396,4,FALSE)</f>
        <v>A3</v>
      </c>
      <c r="K244" s="1138">
        <f t="shared" si="25"/>
        <v>0.6</v>
      </c>
      <c r="L244" s="1139">
        <v>20</v>
      </c>
      <c r="M244" s="1139">
        <f>VLOOKUP(B244,'[26]CN BC'!$H$10:$J$275,3,FALSE)</f>
        <v>20</v>
      </c>
      <c r="N244" s="1139">
        <f t="shared" si="22"/>
        <v>20</v>
      </c>
      <c r="O244" s="1155"/>
      <c r="P244" s="1141">
        <f t="shared" si="23"/>
        <v>6528600</v>
      </c>
      <c r="Q244" s="1646">
        <f t="shared" si="26"/>
        <v>2.79</v>
      </c>
      <c r="R244" s="1580">
        <v>2340000</v>
      </c>
      <c r="S244" s="1647">
        <f t="shared" si="27"/>
        <v>6528600</v>
      </c>
      <c r="T244" s="1142">
        <f t="shared" si="28"/>
        <v>220</v>
      </c>
      <c r="U244" s="1143">
        <f>IFERROR(INDEX('[26]CN BC'!$M$10:$M$276,MATCH(B244,'[26]CN BC'!$H$10:$H$276,0)),"")</f>
        <v>0</v>
      </c>
      <c r="V244" s="1189" t="str">
        <f>VLOOKUP(B244,TH.T4!B241:AC571,28,FALSE)</f>
        <v>Đ-ĐT</v>
      </c>
      <c r="W244" s="1171"/>
      <c r="Y244" s="1158"/>
    </row>
    <row r="245" spans="1:35" s="1148" customFormat="1" ht="33.75" customHeight="1">
      <c r="A245" s="1132">
        <f>_xlfn.AGGREGATE(4,7,A$24:A244)+1</f>
        <v>221</v>
      </c>
      <c r="B245" s="1133" t="s">
        <v>1910</v>
      </c>
      <c r="C245" s="1149" t="s">
        <v>1797</v>
      </c>
      <c r="D245" s="1154" t="s">
        <v>1406</v>
      </c>
      <c r="E245" s="1058" t="str">
        <f>VLOOKUP(B245,TH.Q2!B147:E478,4,FALSE)</f>
        <v>Giảng viên khoa Điện - Điện tử</v>
      </c>
      <c r="F245" s="1136">
        <v>4.6500000000000004</v>
      </c>
      <c r="G245" s="1137"/>
      <c r="H245" s="1393">
        <f t="shared" si="24"/>
        <v>0</v>
      </c>
      <c r="I245" s="1138"/>
      <c r="J245" s="1138" t="str">
        <f>VLOOKUP(B245,'[25]Gui chi Quynh'!$B$11:$E$396,4,FALSE)</f>
        <v>A3</v>
      </c>
      <c r="K245" s="1138">
        <f t="shared" si="25"/>
        <v>0.6</v>
      </c>
      <c r="L245" s="1139">
        <v>20</v>
      </c>
      <c r="M245" s="1139">
        <f>VLOOKUP(B245,'[26]CN BC'!$H$10:$J$275,3,FALSE)</f>
        <v>20</v>
      </c>
      <c r="N245" s="1139">
        <f t="shared" si="22"/>
        <v>20</v>
      </c>
      <c r="O245" s="1140"/>
      <c r="P245" s="1141">
        <f t="shared" si="23"/>
        <v>6528600</v>
      </c>
      <c r="Q245" s="1646">
        <f t="shared" si="26"/>
        <v>2.79</v>
      </c>
      <c r="R245" s="1580">
        <v>2340000</v>
      </c>
      <c r="S245" s="1647">
        <f t="shared" si="27"/>
        <v>6528600</v>
      </c>
      <c r="T245" s="1142">
        <f t="shared" si="28"/>
        <v>221</v>
      </c>
      <c r="U245" s="1143">
        <f>IFERROR(INDEX('[26]CN BC'!$M$10:$M$276,MATCH(B245,'[26]CN BC'!$H$10:$H$276,0)),"")</f>
        <v>0</v>
      </c>
      <c r="V245" s="1144" t="str">
        <f>VLOOKUP(B245,TH.T4!B242:AC572,28,FALSE)</f>
        <v>Đ-ĐT</v>
      </c>
      <c r="W245" s="1130"/>
      <c r="X245" s="1146"/>
      <c r="Y245" s="1147"/>
      <c r="Z245" s="1146"/>
      <c r="AA245" s="1146"/>
      <c r="AB245" s="1146"/>
      <c r="AC245" s="1146"/>
      <c r="AD245" s="1146"/>
      <c r="AE245" s="1146"/>
      <c r="AF245" s="1146"/>
      <c r="AG245" s="1146"/>
      <c r="AH245" s="1146"/>
      <c r="AI245" s="1146"/>
    </row>
    <row r="246" spans="1:35" s="1148" customFormat="1" ht="33.75" customHeight="1">
      <c r="A246" s="1132">
        <f>_xlfn.AGGREGATE(4,7,A$24:A245)+1</f>
        <v>222</v>
      </c>
      <c r="B246" s="1133" t="s">
        <v>1911</v>
      </c>
      <c r="C246" s="1153" t="s">
        <v>1798</v>
      </c>
      <c r="D246" s="1154" t="s">
        <v>1407</v>
      </c>
      <c r="E246" s="1058" t="str">
        <f>VLOOKUP(B246,TH.Q2!B148:E479,4,FALSE)</f>
        <v>Giảng viên khoa Điện - Điện tử</v>
      </c>
      <c r="F246" s="1136">
        <v>4.6500000000000004</v>
      </c>
      <c r="G246" s="1137"/>
      <c r="H246" s="1393">
        <f t="shared" si="24"/>
        <v>0</v>
      </c>
      <c r="I246" s="1138"/>
      <c r="J246" s="1138" t="str">
        <f>VLOOKUP(B246,'[25]Gui chi Quynh'!$B$11:$E$396,4,FALSE)</f>
        <v>A3</v>
      </c>
      <c r="K246" s="1138">
        <f t="shared" si="25"/>
        <v>0.6</v>
      </c>
      <c r="L246" s="1139">
        <v>20</v>
      </c>
      <c r="M246" s="1139">
        <f>VLOOKUP(B246,'[26]CN BC'!$H$10:$J$275,3,FALSE)</f>
        <v>20</v>
      </c>
      <c r="N246" s="1139">
        <f t="shared" si="22"/>
        <v>20</v>
      </c>
      <c r="O246" s="1140"/>
      <c r="P246" s="1141">
        <f t="shared" si="23"/>
        <v>6528600</v>
      </c>
      <c r="Q246" s="1646">
        <f t="shared" si="26"/>
        <v>2.79</v>
      </c>
      <c r="R246" s="1580">
        <v>2340000</v>
      </c>
      <c r="S246" s="1647">
        <f t="shared" si="27"/>
        <v>6528600</v>
      </c>
      <c r="T246" s="1142">
        <f t="shared" si="28"/>
        <v>222</v>
      </c>
      <c r="U246" s="1143">
        <f>IFERROR(INDEX('[26]CN BC'!$M$10:$M$276,MATCH(B246,'[26]CN BC'!$H$10:$H$276,0)),"")</f>
        <v>0</v>
      </c>
      <c r="V246" s="1144" t="str">
        <f>VLOOKUP(B246,TH.T4!B243:AC573,28,FALSE)</f>
        <v>Đ-ĐT</v>
      </c>
      <c r="W246" s="1130"/>
      <c r="X246" s="1146"/>
      <c r="Y246" s="1147"/>
      <c r="Z246" s="1146"/>
      <c r="AA246" s="1146"/>
      <c r="AB246" s="1146"/>
      <c r="AC246" s="1146"/>
      <c r="AD246" s="1146"/>
      <c r="AE246" s="1146"/>
    </row>
    <row r="247" spans="1:35" s="1146" customFormat="1" ht="33.75" customHeight="1">
      <c r="A247" s="1132">
        <f>_xlfn.AGGREGATE(4,7,A$24:A246)+1</f>
        <v>223</v>
      </c>
      <c r="B247" s="1172" t="s">
        <v>1912</v>
      </c>
      <c r="C247" s="1149" t="s">
        <v>1799</v>
      </c>
      <c r="D247" s="1173" t="s">
        <v>1409</v>
      </c>
      <c r="E247" s="1058" t="str">
        <f>VLOOKUP(B247,TH.Q2!B149:E480,4,FALSE)</f>
        <v>Giảng viên khoa Điện - Điện tử</v>
      </c>
      <c r="F247" s="1174">
        <v>4.6500000000000004</v>
      </c>
      <c r="G247" s="1175"/>
      <c r="H247" s="1393">
        <f t="shared" si="24"/>
        <v>0</v>
      </c>
      <c r="I247" s="1176"/>
      <c r="J247" s="1138" t="str">
        <f>VLOOKUP(B247,'[25]Gui chi Quynh'!$B$11:$E$396,4,FALSE)</f>
        <v>A3</v>
      </c>
      <c r="K247" s="1138">
        <f t="shared" si="25"/>
        <v>0.6</v>
      </c>
      <c r="L247" s="1139">
        <v>20</v>
      </c>
      <c r="M247" s="1139">
        <f>VLOOKUP(B247,'[26]CN BC'!$H$10:$J$275,3,FALSE)</f>
        <v>20</v>
      </c>
      <c r="N247" s="1139">
        <f t="shared" si="22"/>
        <v>20</v>
      </c>
      <c r="O247" s="1140"/>
      <c r="P247" s="1141">
        <f t="shared" si="23"/>
        <v>6528600</v>
      </c>
      <c r="Q247" s="1646">
        <f t="shared" si="26"/>
        <v>2.79</v>
      </c>
      <c r="R247" s="1580">
        <v>2340000</v>
      </c>
      <c r="S247" s="1647">
        <f t="shared" si="27"/>
        <v>6528600</v>
      </c>
      <c r="T247" s="1142">
        <f t="shared" si="28"/>
        <v>223</v>
      </c>
      <c r="U247" s="1143">
        <f>IFERROR(INDEX('[26]CN BC'!$M$10:$M$276,MATCH(B247,'[26]CN BC'!$H$10:$H$276,0)),"")</f>
        <v>0</v>
      </c>
      <c r="V247" s="1144" t="str">
        <f>VLOOKUP(B247,TH.T4!B244:AC574,28,FALSE)</f>
        <v>Đ-ĐT</v>
      </c>
      <c r="W247" s="1130"/>
      <c r="Y247" s="1147"/>
    </row>
    <row r="248" spans="1:35" s="1146" customFormat="1" ht="33.75" customHeight="1">
      <c r="A248" s="1132">
        <f>_xlfn.AGGREGATE(4,7,A$24:A247)+1</f>
        <v>224</v>
      </c>
      <c r="B248" s="1172" t="s">
        <v>1913</v>
      </c>
      <c r="C248" s="1149" t="s">
        <v>1800</v>
      </c>
      <c r="D248" s="1173" t="s">
        <v>1410</v>
      </c>
      <c r="E248" s="1058" t="str">
        <f>VLOOKUP(B248,TH.Q2!B150:E481,4,FALSE)</f>
        <v>Giảng viên khoa Điện - Điện tử</v>
      </c>
      <c r="F248" s="1174">
        <v>4.6500000000000004</v>
      </c>
      <c r="G248" s="1175"/>
      <c r="H248" s="1393">
        <f t="shared" si="24"/>
        <v>0</v>
      </c>
      <c r="I248" s="1176"/>
      <c r="J248" s="1138" t="str">
        <f>VLOOKUP(B248,'[25]Gui chi Quynh'!$B$11:$E$396,4,FALSE)</f>
        <v>A3</v>
      </c>
      <c r="K248" s="1138">
        <f t="shared" si="25"/>
        <v>0.6</v>
      </c>
      <c r="L248" s="1139">
        <v>20</v>
      </c>
      <c r="M248" s="1139">
        <f>VLOOKUP(B248,'[26]CN BC'!$H$10:$J$275,3,FALSE)</f>
        <v>20</v>
      </c>
      <c r="N248" s="1139">
        <f t="shared" si="22"/>
        <v>20</v>
      </c>
      <c r="O248" s="1140"/>
      <c r="P248" s="1141">
        <f t="shared" si="23"/>
        <v>6528600</v>
      </c>
      <c r="Q248" s="1646">
        <f t="shared" si="26"/>
        <v>2.79</v>
      </c>
      <c r="R248" s="1580">
        <v>2340000</v>
      </c>
      <c r="S248" s="1647">
        <f t="shared" si="27"/>
        <v>6528600</v>
      </c>
      <c r="T248" s="1142">
        <f t="shared" si="28"/>
        <v>224</v>
      </c>
      <c r="U248" s="1143">
        <f>IFERROR(INDEX('[26]CN BC'!$M$10:$M$276,MATCH(B248,'[26]CN BC'!$H$10:$H$276,0)),"")</f>
        <v>0</v>
      </c>
      <c r="V248" s="1144" t="str">
        <f>VLOOKUP(B248,TH.T4!B245:AC575,28,FALSE)</f>
        <v>Đ-ĐT</v>
      </c>
      <c r="W248" s="1130"/>
      <c r="Y248" s="1147"/>
    </row>
    <row r="249" spans="1:35" s="1146" customFormat="1" ht="33.75" customHeight="1">
      <c r="A249" s="1132">
        <f>_xlfn.AGGREGATE(4,7,A$24:A248)+1</f>
        <v>225</v>
      </c>
      <c r="B249" s="1172" t="s">
        <v>1540</v>
      </c>
      <c r="C249" s="1149" t="s">
        <v>1801</v>
      </c>
      <c r="D249" s="1173" t="s">
        <v>1412</v>
      </c>
      <c r="E249" s="1058" t="str">
        <f>VLOOKUP(B249,TH.Q2!B151:E482,4,FALSE)</f>
        <v>Giảng viên khoa
Điện - Điện tử</v>
      </c>
      <c r="F249" s="1174">
        <v>3.99</v>
      </c>
      <c r="G249" s="1175"/>
      <c r="H249" s="1393">
        <f t="shared" si="24"/>
        <v>0</v>
      </c>
      <c r="I249" s="1176"/>
      <c r="J249" s="1138" t="str">
        <f>VLOOKUP(B249,'[25]Gui chi Quynh'!$B$11:$E$396,4,FALSE)</f>
        <v>A3</v>
      </c>
      <c r="K249" s="1138">
        <f t="shared" si="25"/>
        <v>0.6</v>
      </c>
      <c r="L249" s="1139">
        <v>20</v>
      </c>
      <c r="M249" s="1139">
        <f>VLOOKUP(B249,'[26]CN BC'!$H$10:$J$275,3,FALSE)</f>
        <v>20</v>
      </c>
      <c r="N249" s="1139">
        <f t="shared" si="22"/>
        <v>20</v>
      </c>
      <c r="O249" s="1140"/>
      <c r="P249" s="1141">
        <f t="shared" si="23"/>
        <v>5601960</v>
      </c>
      <c r="Q249" s="1646">
        <f t="shared" si="26"/>
        <v>2.3940000000000001</v>
      </c>
      <c r="R249" s="1580">
        <v>2340000</v>
      </c>
      <c r="S249" s="1647">
        <f t="shared" si="27"/>
        <v>5601960</v>
      </c>
      <c r="T249" s="1142">
        <f t="shared" si="28"/>
        <v>225</v>
      </c>
      <c r="U249" s="1143">
        <f>IFERROR(INDEX('[26]CN BC'!$M$10:$M$276,MATCH(B249,'[26]CN BC'!$H$10:$H$276,0)),"")</f>
        <v>0</v>
      </c>
      <c r="V249" s="1144" t="str">
        <f>VLOOKUP(B249,TH.T4!B246:AC576,28,FALSE)</f>
        <v>Đ-ĐT</v>
      </c>
      <c r="W249" s="1130"/>
      <c r="Y249" s="1147"/>
    </row>
    <row r="250" spans="1:35" s="1148" customFormat="1" ht="33.75" customHeight="1">
      <c r="A250" s="1132">
        <f>_xlfn.AGGREGATE(4,7,A$24:A249)+1</f>
        <v>226</v>
      </c>
      <c r="B250" s="1133" t="s">
        <v>1609</v>
      </c>
      <c r="C250" s="1153" t="s">
        <v>1973</v>
      </c>
      <c r="D250" s="1166" t="s">
        <v>1611</v>
      </c>
      <c r="E250" s="1058" t="str">
        <f>VLOOKUP(B250,TH.Q2!B152:E483,4,FALSE)</f>
        <v>Giảng viên khoa
Điện - Điện tử</v>
      </c>
      <c r="F250" s="1160">
        <v>3.33</v>
      </c>
      <c r="G250" s="1137"/>
      <c r="H250" s="1393">
        <f t="shared" si="24"/>
        <v>0</v>
      </c>
      <c r="I250" s="1138"/>
      <c r="J250" s="1138" t="str">
        <f>VLOOKUP(B250,'[25]Gui chi Quynh'!$B$11:$E$396,4,FALSE)</f>
        <v>A1</v>
      </c>
      <c r="K250" s="1138">
        <f t="shared" si="25"/>
        <v>0.8</v>
      </c>
      <c r="L250" s="1139">
        <v>20</v>
      </c>
      <c r="M250" s="1139">
        <f>VLOOKUP(B250,'[26]CN BC'!$H$10:$J$275,3,FALSE)</f>
        <v>20</v>
      </c>
      <c r="N250" s="1139">
        <f t="shared" si="22"/>
        <v>20</v>
      </c>
      <c r="O250" s="1140"/>
      <c r="P250" s="1141">
        <f t="shared" si="23"/>
        <v>6233760</v>
      </c>
      <c r="Q250" s="1646">
        <f t="shared" si="26"/>
        <v>2.6640000000000001</v>
      </c>
      <c r="R250" s="1580">
        <v>2340000</v>
      </c>
      <c r="S250" s="1647">
        <f t="shared" si="27"/>
        <v>6233760</v>
      </c>
      <c r="T250" s="1142">
        <f t="shared" si="28"/>
        <v>226</v>
      </c>
      <c r="U250" s="1143">
        <f>IFERROR(INDEX('[26]CN BC'!$M$10:$M$276,MATCH(B250,'[26]CN BC'!$H$10:$H$276,0)),"")</f>
        <v>0</v>
      </c>
      <c r="V250" s="1144" t="str">
        <f>VLOOKUP(B250,TH.T4!B247:AC577,28,FALSE)</f>
        <v>Đ-ĐT</v>
      </c>
      <c r="W250" s="1130"/>
      <c r="X250" s="1146"/>
      <c r="Y250" s="1147"/>
      <c r="Z250" s="1146"/>
      <c r="AA250" s="1146"/>
      <c r="AB250" s="1146"/>
      <c r="AC250" s="1146"/>
      <c r="AD250" s="1146"/>
      <c r="AE250" s="1146"/>
    </row>
    <row r="251" spans="1:35" s="1148" customFormat="1" ht="33.75" customHeight="1">
      <c r="A251" s="1132">
        <f>_xlfn.AGGREGATE(4,7,A$24:A250)+1</f>
        <v>227</v>
      </c>
      <c r="B251" s="1133" t="s">
        <v>1610</v>
      </c>
      <c r="C251" s="1153" t="s">
        <v>1974</v>
      </c>
      <c r="D251" s="1166" t="s">
        <v>1612</v>
      </c>
      <c r="E251" s="1058" t="str">
        <f>VLOOKUP(B251,TH.Q2!B153:E484,4,FALSE)</f>
        <v>Giảng viên khoa
Điện - Điện tử</v>
      </c>
      <c r="F251" s="1136">
        <v>2.67</v>
      </c>
      <c r="G251" s="1137"/>
      <c r="H251" s="1393">
        <f t="shared" si="24"/>
        <v>0</v>
      </c>
      <c r="I251" s="1138">
        <v>0.25</v>
      </c>
      <c r="J251" s="1138" t="str">
        <f>VLOOKUP(B251,'[25]Gui chi Quynh'!$B$11:$E$396,4,FALSE)</f>
        <v>A1</v>
      </c>
      <c r="K251" s="1138">
        <f t="shared" si="25"/>
        <v>0.8</v>
      </c>
      <c r="L251" s="1139">
        <v>20</v>
      </c>
      <c r="M251" s="1139">
        <f>VLOOKUP(B251,'[26]CN BC'!$H$10:$J$275,3,FALSE)</f>
        <v>20</v>
      </c>
      <c r="N251" s="1139">
        <f t="shared" si="22"/>
        <v>20</v>
      </c>
      <c r="O251" s="1140"/>
      <c r="P251" s="1141">
        <f t="shared" si="23"/>
        <v>5466240</v>
      </c>
      <c r="Q251" s="1646">
        <f t="shared" si="26"/>
        <v>2.3359999999999999</v>
      </c>
      <c r="R251" s="1580">
        <v>2340000</v>
      </c>
      <c r="S251" s="1647">
        <f t="shared" si="27"/>
        <v>5466240</v>
      </c>
      <c r="T251" s="1142">
        <f t="shared" si="28"/>
        <v>227</v>
      </c>
      <c r="U251" s="1143">
        <f>IFERROR(INDEX('[26]CN BC'!$M$10:$M$276,MATCH(B251,'[26]CN BC'!$H$10:$H$276,0)),"")</f>
        <v>0</v>
      </c>
      <c r="V251" s="1144" t="str">
        <f>VLOOKUP(B251,TH.T4!B248:AC578,28,FALSE)</f>
        <v>Đ-ĐT</v>
      </c>
      <c r="W251" s="1130"/>
      <c r="X251" s="1146"/>
      <c r="Y251" s="1147"/>
      <c r="Z251" s="1146"/>
      <c r="AA251" s="1146"/>
      <c r="AB251" s="1146"/>
      <c r="AC251" s="1146"/>
      <c r="AD251" s="1146"/>
      <c r="AE251" s="1146"/>
    </row>
    <row r="252" spans="1:35" s="1148" customFormat="1" ht="33.75" customHeight="1">
      <c r="A252" s="1132">
        <f>_xlfn.AGGREGATE(4,7,A$24:A251)+1</f>
        <v>228</v>
      </c>
      <c r="B252" s="1223" t="s">
        <v>1838</v>
      </c>
      <c r="C252" s="1153" t="s">
        <v>1975</v>
      </c>
      <c r="D252" s="1159">
        <v>1603205590132</v>
      </c>
      <c r="E252" s="1058" t="str">
        <f>VLOOKUP(B252,TH.Q2!B154:E485,4,FALSE)</f>
        <v>Giảng viên khoa
Điện - Điện tử</v>
      </c>
      <c r="F252" s="1136">
        <v>2.67</v>
      </c>
      <c r="G252" s="1137"/>
      <c r="H252" s="1393">
        <f t="shared" si="24"/>
        <v>0</v>
      </c>
      <c r="I252" s="1138">
        <v>0.25</v>
      </c>
      <c r="J252" s="1138" t="str">
        <f>VLOOKUP(B252,'[25]Gui chi Quynh'!$B$11:$E$396,4,FALSE)</f>
        <v>A1</v>
      </c>
      <c r="K252" s="1138">
        <f t="shared" si="25"/>
        <v>0.8</v>
      </c>
      <c r="L252" s="1139">
        <v>20</v>
      </c>
      <c r="M252" s="1139">
        <f>VLOOKUP(B252,'[26]CN BC'!$H$10:$J$275,3,FALSE)</f>
        <v>20</v>
      </c>
      <c r="N252" s="1139">
        <f t="shared" si="22"/>
        <v>20</v>
      </c>
      <c r="O252" s="1140"/>
      <c r="P252" s="1141">
        <f t="shared" si="23"/>
        <v>5466240</v>
      </c>
      <c r="Q252" s="1646">
        <f t="shared" si="26"/>
        <v>2.3359999999999999</v>
      </c>
      <c r="R252" s="1580">
        <v>2340000</v>
      </c>
      <c r="S252" s="1647">
        <f t="shared" si="27"/>
        <v>5466240</v>
      </c>
      <c r="T252" s="1142">
        <f t="shared" si="28"/>
        <v>228</v>
      </c>
      <c r="U252" s="1143">
        <f>IFERROR(INDEX('[26]CN BC'!$M$10:$M$276,MATCH(B252,'[26]CN BC'!$H$10:$H$276,0)),"")</f>
        <v>0</v>
      </c>
      <c r="V252" s="1144" t="str">
        <f>VLOOKUP(B252,TH.T4!B249:AC579,28,FALSE)</f>
        <v>Đ-ĐT</v>
      </c>
      <c r="W252" s="1130"/>
      <c r="X252" s="1146"/>
      <c r="Y252" s="1147"/>
      <c r="Z252" s="1146"/>
      <c r="AA252" s="1146"/>
      <c r="AB252" s="1146"/>
      <c r="AC252" s="1146"/>
      <c r="AD252" s="1146"/>
      <c r="AE252" s="1146"/>
    </row>
    <row r="253" spans="1:35" s="1148" customFormat="1" ht="33.75" customHeight="1">
      <c r="A253" s="1132">
        <f>_xlfn.AGGREGATE(4,7,A$24:A252)+1</f>
        <v>229</v>
      </c>
      <c r="B253" s="1223" t="s">
        <v>1993</v>
      </c>
      <c r="C253" s="1153"/>
      <c r="D253" s="1225"/>
      <c r="E253" s="1058" t="str">
        <f>VLOOKUP(B253,TH.Q2!B155:E486,4,FALSE)</f>
        <v>Giảng viên khoa Điện - Điện tử</v>
      </c>
      <c r="F253" s="1136">
        <v>3.99</v>
      </c>
      <c r="G253" s="1137"/>
      <c r="H253" s="1393">
        <f t="shared" si="24"/>
        <v>0</v>
      </c>
      <c r="I253" s="1138"/>
      <c r="J253" s="1138" t="str">
        <f>VLOOKUP(B253,'[25]Gui chi Quynh'!$B$11:$E$396,4,FALSE)</f>
        <v>A3</v>
      </c>
      <c r="K253" s="1138">
        <f t="shared" si="25"/>
        <v>0.6</v>
      </c>
      <c r="L253" s="1139">
        <v>20</v>
      </c>
      <c r="M253" s="1139">
        <f>VLOOKUP(B253,'[26]CN BC'!$H$10:$J$275,3,FALSE)</f>
        <v>20</v>
      </c>
      <c r="N253" s="1139">
        <f t="shared" si="22"/>
        <v>20</v>
      </c>
      <c r="O253" s="1140"/>
      <c r="P253" s="1141">
        <f t="shared" si="23"/>
        <v>5601960</v>
      </c>
      <c r="Q253" s="1646">
        <f t="shared" si="26"/>
        <v>2.3940000000000001</v>
      </c>
      <c r="R253" s="1580">
        <v>2340000</v>
      </c>
      <c r="S253" s="1647">
        <f t="shared" si="27"/>
        <v>5601960</v>
      </c>
      <c r="T253" s="1142">
        <f t="shared" si="28"/>
        <v>229</v>
      </c>
      <c r="U253" s="1143">
        <f>IFERROR(INDEX('[26]CN BC'!$M$10:$M$276,MATCH(B253,'[26]CN BC'!$H$10:$H$276,0)),"")</f>
        <v>0</v>
      </c>
      <c r="V253" s="1144" t="str">
        <f>VLOOKUP(B253,TH.T4!B250:AC580,28,FALSE)</f>
        <v>Đ-ĐT</v>
      </c>
      <c r="W253" s="1130"/>
      <c r="X253" s="1146"/>
      <c r="Y253" s="1147"/>
      <c r="Z253" s="1146"/>
      <c r="AA253" s="1146"/>
      <c r="AB253" s="1146"/>
      <c r="AC253" s="1146"/>
      <c r="AD253" s="1146"/>
      <c r="AE253" s="1146"/>
    </row>
    <row r="254" spans="1:35" s="1148" customFormat="1" ht="33.75" customHeight="1">
      <c r="A254" s="1132">
        <f>_xlfn.AGGREGATE(4,7,A$24:A253)+1</f>
        <v>230</v>
      </c>
      <c r="B254" s="1223" t="s">
        <v>2002</v>
      </c>
      <c r="C254" s="1153"/>
      <c r="D254" s="1225"/>
      <c r="E254" s="1058" t="str">
        <f>VLOOKUP(B254,TH.Q2!B156:E487,4,FALSE)</f>
        <v>Giảng viên khoa Điện - Điện tử</v>
      </c>
      <c r="F254" s="1136">
        <v>2.67</v>
      </c>
      <c r="G254" s="1137"/>
      <c r="H254" s="1393">
        <f t="shared" si="24"/>
        <v>0</v>
      </c>
      <c r="I254" s="1138"/>
      <c r="J254" s="1138" t="str">
        <f>VLOOKUP(B254,'[25]Gui chi Quynh'!$B$11:$E$396,4,FALSE)</f>
        <v>A3</v>
      </c>
      <c r="K254" s="1138">
        <f t="shared" si="25"/>
        <v>0.6</v>
      </c>
      <c r="L254" s="1139">
        <v>20</v>
      </c>
      <c r="M254" s="1139">
        <f>VLOOKUP(B254,'[26]CN BC'!$H$10:$J$275,3,FALSE)</f>
        <v>20</v>
      </c>
      <c r="N254" s="1139">
        <f t="shared" si="22"/>
        <v>20</v>
      </c>
      <c r="O254" s="1140"/>
      <c r="P254" s="1141">
        <f t="shared" si="23"/>
        <v>3748680</v>
      </c>
      <c r="Q254" s="1646">
        <f t="shared" si="26"/>
        <v>1.6020000000000001</v>
      </c>
      <c r="R254" s="1580">
        <v>2340000</v>
      </c>
      <c r="S254" s="1647">
        <f t="shared" si="27"/>
        <v>3748680</v>
      </c>
      <c r="T254" s="1142">
        <f t="shared" si="28"/>
        <v>230</v>
      </c>
      <c r="U254" s="1143">
        <f>IFERROR(INDEX('[26]CN BC'!$M$10:$M$276,MATCH(B254,'[26]CN BC'!$H$10:$H$276,0)),"")</f>
        <v>0</v>
      </c>
      <c r="V254" s="1144" t="str">
        <f>VLOOKUP(B254,TH.T4!B251:AC581,28,FALSE)</f>
        <v>Đ-ĐT</v>
      </c>
      <c r="W254" s="1171"/>
      <c r="Y254" s="1158"/>
    </row>
    <row r="255" spans="1:35" s="1148" customFormat="1" ht="33.75" customHeight="1">
      <c r="A255" s="1132">
        <f>_xlfn.AGGREGATE(4,7,A$24:A254)+1</f>
        <v>231</v>
      </c>
      <c r="B255" s="1223" t="s">
        <v>2004</v>
      </c>
      <c r="C255" s="1153"/>
      <c r="D255" s="1225"/>
      <c r="E255" s="1058" t="str">
        <f>VLOOKUP(B255,TH.Q2!B157:E488,4,FALSE)</f>
        <v>Giảng viên khoa Điện - Điện tử</v>
      </c>
      <c r="F255" s="1136">
        <v>2.34</v>
      </c>
      <c r="G255" s="1137"/>
      <c r="H255" s="1393">
        <f t="shared" si="24"/>
        <v>0</v>
      </c>
      <c r="I255" s="1138"/>
      <c r="J255" s="1138" t="str">
        <f>VLOOKUP(B255,'[25]Gui chi Quynh'!$B$11:$E$396,4,FALSE)</f>
        <v>A3</v>
      </c>
      <c r="K255" s="1138">
        <f t="shared" si="25"/>
        <v>0.6</v>
      </c>
      <c r="L255" s="1139">
        <v>20</v>
      </c>
      <c r="M255" s="1139">
        <f>VLOOKUP(B255,'[26]CN BC'!$H$10:$J$275,3,FALSE)</f>
        <v>20</v>
      </c>
      <c r="N255" s="1139">
        <f t="shared" si="22"/>
        <v>20</v>
      </c>
      <c r="O255" s="1140"/>
      <c r="P255" s="1141">
        <f t="shared" si="23"/>
        <v>3285360</v>
      </c>
      <c r="Q255" s="1646">
        <f t="shared" si="26"/>
        <v>1.4039999999999999</v>
      </c>
      <c r="R255" s="1580">
        <v>2340000</v>
      </c>
      <c r="S255" s="1647">
        <f t="shared" si="27"/>
        <v>3285360</v>
      </c>
      <c r="T255" s="1142">
        <f t="shared" si="28"/>
        <v>231</v>
      </c>
      <c r="U255" s="1143">
        <f>IFERROR(INDEX('[26]CN BC'!$M$10:$M$276,MATCH(B255,'[26]CN BC'!$H$10:$H$276,0)),"")</f>
        <v>0</v>
      </c>
      <c r="V255" s="1144" t="str">
        <f>VLOOKUP(B255,TH.T4!B252:AC582,28,FALSE)</f>
        <v>Đ-ĐT</v>
      </c>
      <c r="W255" s="1171"/>
      <c r="Y255" s="1158"/>
    </row>
    <row r="256" spans="1:35" s="1148" customFormat="1" ht="33.75" customHeight="1">
      <c r="A256" s="1132">
        <f>_xlfn.AGGREGATE(4,7,A$24:A255)+1</f>
        <v>232</v>
      </c>
      <c r="B256" s="1133" t="s">
        <v>1914</v>
      </c>
      <c r="C256" s="1153" t="s">
        <v>1803</v>
      </c>
      <c r="D256" s="1154" t="s">
        <v>0</v>
      </c>
      <c r="E256" s="1058" t="str">
        <f>VLOOKUP(B256,TH.Q2!B158:E489,4,FALSE)</f>
        <v>Trưởng khoa Động lực</v>
      </c>
      <c r="F256" s="1136">
        <v>4.6500000000000004</v>
      </c>
      <c r="G256" s="1137"/>
      <c r="H256" s="1393">
        <f t="shared" si="24"/>
        <v>0</v>
      </c>
      <c r="I256" s="1138">
        <v>0.45</v>
      </c>
      <c r="J256" s="1138" t="str">
        <f>VLOOKUP(B256,'[25]Gui chi Quynh'!$B$11:$E$396,4,FALSE)</f>
        <v>A1</v>
      </c>
      <c r="K256" s="1138">
        <f t="shared" si="25"/>
        <v>0.8</v>
      </c>
      <c r="L256" s="1139">
        <v>20</v>
      </c>
      <c r="M256" s="1139">
        <f>VLOOKUP(B256,'[26]CN BC'!$H$10:$J$275,3,FALSE)</f>
        <v>20</v>
      </c>
      <c r="N256" s="1139">
        <f t="shared" si="22"/>
        <v>20</v>
      </c>
      <c r="O256" s="1140"/>
      <c r="P256" s="1141">
        <f t="shared" si="23"/>
        <v>9547200.0000000019</v>
      </c>
      <c r="Q256" s="1646">
        <f t="shared" si="26"/>
        <v>4.080000000000001</v>
      </c>
      <c r="R256" s="1580">
        <v>2340000</v>
      </c>
      <c r="S256" s="1647">
        <f t="shared" si="27"/>
        <v>9547200.0000000019</v>
      </c>
      <c r="T256" s="1142">
        <f t="shared" si="28"/>
        <v>232</v>
      </c>
      <c r="U256" s="1143">
        <f>IFERROR(INDEX('[26]CN BC'!$M$10:$M$276,MATCH(B256,'[26]CN BC'!$H$10:$H$276,0)),"")</f>
        <v>0</v>
      </c>
      <c r="V256" s="1144" t="str">
        <f>VLOOKUP(B256,TH.T4!B253:AC583,28,FALSE)</f>
        <v>ĐL</v>
      </c>
      <c r="W256" s="1167"/>
      <c r="X256" s="1146"/>
      <c r="Y256" s="1147"/>
      <c r="Z256" s="1146"/>
      <c r="AA256" s="1146"/>
      <c r="AB256" s="1146"/>
      <c r="AC256" s="1146"/>
      <c r="AD256" s="1146"/>
      <c r="AE256" s="1146"/>
    </row>
    <row r="257" spans="1:31" s="1148" customFormat="1" ht="33.75" customHeight="1">
      <c r="A257" s="1132">
        <f>_xlfn.AGGREGATE(4,7,A$24:A256)+1</f>
        <v>233</v>
      </c>
      <c r="B257" s="1133" t="s">
        <v>1915</v>
      </c>
      <c r="C257" s="1153" t="s">
        <v>1804</v>
      </c>
      <c r="D257" s="1154" t="s">
        <v>1420</v>
      </c>
      <c r="E257" s="1058" t="str">
        <f>VLOOKUP(B257,TH.Q2!B159:E490,4,FALSE)</f>
        <v>Phó Trưởng khoa
 Động lực</v>
      </c>
      <c r="F257" s="1136">
        <v>4.9800000000000004</v>
      </c>
      <c r="G257" s="1137"/>
      <c r="H257" s="1393">
        <f t="shared" si="24"/>
        <v>0</v>
      </c>
      <c r="I257" s="1138">
        <v>0.35</v>
      </c>
      <c r="J257" s="1138" t="str">
        <f>VLOOKUP(B257,'[25]Gui chi Quynh'!$B$11:$E$396,4,FALSE)</f>
        <v>A2</v>
      </c>
      <c r="K257" s="1138">
        <f t="shared" si="25"/>
        <v>0.7</v>
      </c>
      <c r="L257" s="1139">
        <v>20</v>
      </c>
      <c r="M257" s="1139">
        <f>VLOOKUP(B257,'[26]CN BC'!$H$10:$J$275,3,FALSE)</f>
        <v>20</v>
      </c>
      <c r="N257" s="1139">
        <f t="shared" si="22"/>
        <v>20</v>
      </c>
      <c r="O257" s="1140"/>
      <c r="P257" s="1141">
        <f t="shared" si="23"/>
        <v>8730540</v>
      </c>
      <c r="Q257" s="1646">
        <f t="shared" si="26"/>
        <v>3.7309999999999999</v>
      </c>
      <c r="R257" s="1580">
        <v>2340000</v>
      </c>
      <c r="S257" s="1647">
        <f t="shared" si="27"/>
        <v>8730540</v>
      </c>
      <c r="T257" s="1142">
        <f t="shared" si="28"/>
        <v>233</v>
      </c>
      <c r="U257" s="1143">
        <f>IFERROR(INDEX('[26]CN BC'!$M$10:$M$276,MATCH(B257,'[26]CN BC'!$H$10:$H$276,0)),"")</f>
        <v>0</v>
      </c>
      <c r="V257" s="1144" t="str">
        <f>VLOOKUP(B257,TH.T4!B254:AC584,28,FALSE)</f>
        <v>ĐL</v>
      </c>
      <c r="W257" s="1130"/>
      <c r="X257" s="1146"/>
      <c r="Y257" s="1147"/>
      <c r="Z257" s="1146"/>
      <c r="AA257" s="1146"/>
      <c r="AB257" s="1146"/>
      <c r="AC257" s="1146"/>
      <c r="AD257" s="1146"/>
      <c r="AE257" s="1146"/>
    </row>
    <row r="258" spans="1:31" s="1148" customFormat="1" ht="33.75" customHeight="1">
      <c r="A258" s="1132">
        <f>_xlfn.AGGREGATE(4,7,A$24:A257)+1</f>
        <v>234</v>
      </c>
      <c r="B258" s="1133" t="s">
        <v>1916</v>
      </c>
      <c r="C258" s="1153" t="s">
        <v>1805</v>
      </c>
      <c r="D258" s="1154" t="s">
        <v>1</v>
      </c>
      <c r="E258" s="1058" t="str">
        <f>VLOOKUP(B258,TH.Q2!B160:E491,4,FALSE)</f>
        <v>Giảng viên khoa Động lực</v>
      </c>
      <c r="F258" s="1136">
        <v>4.32</v>
      </c>
      <c r="G258" s="1137"/>
      <c r="H258" s="1393">
        <f t="shared" si="24"/>
        <v>0</v>
      </c>
      <c r="I258" s="1138">
        <v>0.25</v>
      </c>
      <c r="J258" s="1138" t="str">
        <f>VLOOKUP(B258,'[25]Gui chi Quynh'!$B$11:$E$396,4,FALSE)</f>
        <v>A4</v>
      </c>
      <c r="K258" s="1138">
        <f t="shared" si="25"/>
        <v>0.5</v>
      </c>
      <c r="L258" s="1139">
        <v>20</v>
      </c>
      <c r="M258" s="1139">
        <f>VLOOKUP(B258,'[26]CN BC'!$H$10:$J$275,3,FALSE)</f>
        <v>20</v>
      </c>
      <c r="N258" s="1139">
        <f t="shared" si="22"/>
        <v>20</v>
      </c>
      <c r="O258" s="1140"/>
      <c r="P258" s="1141">
        <f t="shared" si="23"/>
        <v>5346900</v>
      </c>
      <c r="Q258" s="1646">
        <f t="shared" si="26"/>
        <v>2.2850000000000001</v>
      </c>
      <c r="R258" s="1580">
        <v>2340000</v>
      </c>
      <c r="S258" s="1647">
        <f t="shared" si="27"/>
        <v>5346900</v>
      </c>
      <c r="T258" s="1142">
        <f t="shared" si="28"/>
        <v>234</v>
      </c>
      <c r="U258" s="1143">
        <f>IFERROR(INDEX('[26]CN BC'!$M$10:$M$276,MATCH(B258,'[26]CN BC'!$H$10:$H$276,0)),"")</f>
        <v>0</v>
      </c>
      <c r="V258" s="1144" t="str">
        <f>VLOOKUP(B258,TH.T4!B255:AC585,28,FALSE)</f>
        <v>ĐL</v>
      </c>
      <c r="W258" s="1130"/>
      <c r="X258" s="1146"/>
      <c r="Y258" s="1147"/>
      <c r="Z258" s="1146"/>
      <c r="AA258" s="1146"/>
      <c r="AB258" s="1146"/>
      <c r="AC258" s="1146"/>
      <c r="AD258" s="1146"/>
      <c r="AE258" s="1146"/>
    </row>
    <row r="259" spans="1:31" s="1148" customFormat="1" ht="33.75" customHeight="1">
      <c r="A259" s="1132">
        <f>_xlfn.AGGREGATE(4,7,A$24:A258)+1</f>
        <v>235</v>
      </c>
      <c r="B259" s="1133" t="s">
        <v>1542</v>
      </c>
      <c r="C259" s="1153" t="s">
        <v>1806</v>
      </c>
      <c r="D259" s="1154" t="s">
        <v>3</v>
      </c>
      <c r="E259" s="383" t="s">
        <v>2414</v>
      </c>
      <c r="F259" s="1160">
        <v>4.32</v>
      </c>
      <c r="G259" s="1137"/>
      <c r="H259" s="1400">
        <f t="shared" si="24"/>
        <v>0</v>
      </c>
      <c r="I259" s="1138"/>
      <c r="J259" s="1138" t="str">
        <f>VLOOKUP(B259,'[25]Gui chi Quynh'!$B$11:$E$396,4,FALSE)</f>
        <v>A4</v>
      </c>
      <c r="K259" s="1138">
        <f t="shared" si="25"/>
        <v>0.5</v>
      </c>
      <c r="L259" s="1139">
        <v>20</v>
      </c>
      <c r="M259" s="1139">
        <f>VLOOKUP(B259,'[26]CN BC'!$H$10:$J$275,3,FALSE)</f>
        <v>20</v>
      </c>
      <c r="N259" s="1139">
        <f t="shared" si="22"/>
        <v>20</v>
      </c>
      <c r="O259" s="1155"/>
      <c r="P259" s="1141">
        <f t="shared" si="23"/>
        <v>5054400</v>
      </c>
      <c r="Q259" s="1646">
        <f t="shared" si="26"/>
        <v>2.16</v>
      </c>
      <c r="R259" s="1580">
        <v>2340000</v>
      </c>
      <c r="S259" s="1647">
        <f t="shared" si="27"/>
        <v>5054400</v>
      </c>
      <c r="T259" s="1142">
        <f t="shared" si="28"/>
        <v>235</v>
      </c>
      <c r="U259" s="1143">
        <f>IFERROR(INDEX('[26]CN BC'!$M$10:$M$276,MATCH(B259,'[26]CN BC'!$H$10:$H$276,0)),"")</f>
        <v>0</v>
      </c>
      <c r="V259" s="1189" t="str">
        <f>VLOOKUP(B259,TH.T4!B256:AC586,28,FALSE)</f>
        <v>ĐL</v>
      </c>
      <c r="W259" s="1171"/>
      <c r="Y259" s="1158"/>
    </row>
    <row r="260" spans="1:31" s="1148" customFormat="1" ht="33.75" customHeight="1">
      <c r="A260" s="1132">
        <f>_xlfn.AGGREGATE(4,7,A$24:A259)+1</f>
        <v>236</v>
      </c>
      <c r="B260" s="1133" t="s">
        <v>1543</v>
      </c>
      <c r="C260" s="1153" t="s">
        <v>1807</v>
      </c>
      <c r="D260" s="1154" t="s">
        <v>4</v>
      </c>
      <c r="E260" s="1058" t="str">
        <f>VLOOKUP(B260,TH.Q2!B162:E493,4,FALSE)</f>
        <v>Giảng viên - Trưởng BM khoa Động lực</v>
      </c>
      <c r="F260" s="1160">
        <v>3.99</v>
      </c>
      <c r="G260" s="1137"/>
      <c r="H260" s="1393">
        <f t="shared" si="24"/>
        <v>0</v>
      </c>
      <c r="I260" s="1138">
        <v>0.25</v>
      </c>
      <c r="J260" s="1138" t="str">
        <f>VLOOKUP(B260,'[25]Gui chi Quynh'!$B$11:$E$396,4,FALSE)</f>
        <v>A3</v>
      </c>
      <c r="K260" s="1138">
        <f t="shared" si="25"/>
        <v>0.6</v>
      </c>
      <c r="L260" s="1139">
        <v>20</v>
      </c>
      <c r="M260" s="1139">
        <f>VLOOKUP(B260,'[26]CN BC'!$H$10:$J$275,3,FALSE)</f>
        <v>20</v>
      </c>
      <c r="N260" s="1139">
        <f t="shared" si="22"/>
        <v>20</v>
      </c>
      <c r="O260" s="1140"/>
      <c r="P260" s="1141">
        <f t="shared" si="23"/>
        <v>5952960</v>
      </c>
      <c r="Q260" s="1646">
        <f t="shared" si="26"/>
        <v>2.544</v>
      </c>
      <c r="R260" s="1580">
        <v>2340000</v>
      </c>
      <c r="S260" s="1647">
        <f t="shared" si="27"/>
        <v>5952960</v>
      </c>
      <c r="T260" s="1142">
        <f t="shared" si="28"/>
        <v>236</v>
      </c>
      <c r="U260" s="1143">
        <f>IFERROR(INDEX('[26]CN BC'!$M$10:$M$276,MATCH(B260,'[26]CN BC'!$H$10:$H$276,0)),"")</f>
        <v>0</v>
      </c>
      <c r="V260" s="1144" t="str">
        <f>VLOOKUP(B260,TH.T4!B257:AC587,28,FALSE)</f>
        <v>ĐL</v>
      </c>
      <c r="W260" s="1130"/>
      <c r="X260" s="1146"/>
      <c r="Y260" s="1147"/>
      <c r="Z260" s="1146"/>
      <c r="AA260" s="1146"/>
      <c r="AB260" s="1146"/>
      <c r="AC260" s="1146"/>
      <c r="AD260" s="1146"/>
      <c r="AE260" s="1146"/>
    </row>
    <row r="261" spans="1:31" s="1148" customFormat="1" ht="27.75" customHeight="1">
      <c r="A261" s="1132">
        <f>_xlfn.AGGREGATE(4,7,A$24:A260)+1</f>
        <v>237</v>
      </c>
      <c r="B261" s="1133" t="s">
        <v>1544</v>
      </c>
      <c r="C261" s="1153" t="s">
        <v>1808</v>
      </c>
      <c r="D261" s="1154" t="s">
        <v>5</v>
      </c>
      <c r="E261" s="383" t="str">
        <f>VLOOKUP(B261,TH.Q2!B163:E494,4,FALSE)</f>
        <v>Giảng viên khoa Động lực</v>
      </c>
      <c r="F261" s="1160">
        <v>3.99</v>
      </c>
      <c r="G261" s="1137"/>
      <c r="H261" s="1400">
        <f t="shared" si="24"/>
        <v>0</v>
      </c>
      <c r="I261" s="1138"/>
      <c r="J261" s="1138" t="str">
        <f>VLOOKUP(B261,'[25]Gui chi Quynh'!$B$11:$E$396,4,FALSE)</f>
        <v>A4</v>
      </c>
      <c r="K261" s="1138">
        <f t="shared" si="25"/>
        <v>0.5</v>
      </c>
      <c r="L261" s="1139">
        <v>20</v>
      </c>
      <c r="M261" s="1139">
        <f>VLOOKUP(B261,'[26]CN BC'!$H$10:$J$275,3,FALSE)</f>
        <v>20</v>
      </c>
      <c r="N261" s="1139">
        <f t="shared" si="22"/>
        <v>20</v>
      </c>
      <c r="O261" s="1155"/>
      <c r="P261" s="1141">
        <f t="shared" si="23"/>
        <v>4668300</v>
      </c>
      <c r="Q261" s="1646">
        <f t="shared" si="26"/>
        <v>1.9950000000000001</v>
      </c>
      <c r="R261" s="1580">
        <v>2340000</v>
      </c>
      <c r="S261" s="1647">
        <f t="shared" si="27"/>
        <v>4668300</v>
      </c>
      <c r="T261" s="1142">
        <f t="shared" si="28"/>
        <v>237</v>
      </c>
      <c r="U261" s="1143">
        <f>IFERROR(INDEX('[26]CN BC'!$M$10:$M$276,MATCH(B261,'[26]CN BC'!$H$10:$H$276,0)),"")</f>
        <v>0</v>
      </c>
      <c r="V261" s="1189" t="str">
        <f>VLOOKUP(B261,TH.T4!B258:AC588,28,FALSE)</f>
        <v>ĐL</v>
      </c>
      <c r="W261" s="1171"/>
      <c r="Y261" s="1158"/>
    </row>
    <row r="262" spans="1:31" s="1148" customFormat="1" ht="27.75" customHeight="1">
      <c r="A262" s="1132">
        <f>_xlfn.AGGREGATE(4,7,A$24:A261)+1</f>
        <v>238</v>
      </c>
      <c r="B262" s="1133" t="s">
        <v>1917</v>
      </c>
      <c r="C262" s="1153" t="s">
        <v>1809</v>
      </c>
      <c r="D262" s="1154" t="s">
        <v>394</v>
      </c>
      <c r="E262" s="383" t="str">
        <f>VLOOKUP(B262,TH.Q2!B164:E495,4,FALSE)</f>
        <v>Giảng viên khoa Động lực</v>
      </c>
      <c r="F262" s="1160">
        <v>3.99</v>
      </c>
      <c r="G262" s="1137"/>
      <c r="H262" s="1400">
        <f t="shared" si="24"/>
        <v>0</v>
      </c>
      <c r="I262" s="1138"/>
      <c r="J262" s="1138" t="str">
        <f>VLOOKUP(B262,'[25]Gui chi Quynh'!$B$11:$E$396,4,FALSE)</f>
        <v>A4</v>
      </c>
      <c r="K262" s="1138">
        <f t="shared" si="25"/>
        <v>0.5</v>
      </c>
      <c r="L262" s="1139">
        <v>20</v>
      </c>
      <c r="M262" s="1139">
        <f>VLOOKUP(B262,'[26]CN BC'!$H$10:$J$275,3,FALSE)</f>
        <v>20</v>
      </c>
      <c r="N262" s="1139">
        <f t="shared" si="22"/>
        <v>20</v>
      </c>
      <c r="O262" s="1155"/>
      <c r="P262" s="1141">
        <f t="shared" si="23"/>
        <v>4668300</v>
      </c>
      <c r="Q262" s="1646">
        <f t="shared" si="26"/>
        <v>1.9950000000000001</v>
      </c>
      <c r="R262" s="1580">
        <v>2340000</v>
      </c>
      <c r="S262" s="1647">
        <f t="shared" si="27"/>
        <v>4668300</v>
      </c>
      <c r="T262" s="1142">
        <f t="shared" si="28"/>
        <v>238</v>
      </c>
      <c r="U262" s="1143">
        <f>IFERROR(INDEX('[26]CN BC'!$M$10:$M$276,MATCH(B262,'[26]CN BC'!$H$10:$H$276,0)),"")</f>
        <v>0</v>
      </c>
      <c r="V262" s="1189" t="str">
        <f>VLOOKUP(B262,TH.T4!B259:AC589,28,FALSE)</f>
        <v>ĐL</v>
      </c>
      <c r="W262" s="1171"/>
      <c r="Y262" s="1158"/>
    </row>
    <row r="263" spans="1:31" s="1148" customFormat="1" ht="27.75" customHeight="1">
      <c r="A263" s="1132">
        <f>_xlfn.AGGREGATE(4,7,A$24:A262)+1</f>
        <v>239</v>
      </c>
      <c r="B263" s="1223" t="s">
        <v>1918</v>
      </c>
      <c r="C263" s="1153" t="s">
        <v>1810</v>
      </c>
      <c r="D263" s="1154" t="s">
        <v>393</v>
      </c>
      <c r="E263" s="383" t="str">
        <f>VLOOKUP(B263,TH.Q2!B165:E496,4,FALSE)</f>
        <v>Giảng viên khoa Động lực</v>
      </c>
      <c r="F263" s="1160">
        <v>3.99</v>
      </c>
      <c r="G263" s="1137"/>
      <c r="H263" s="1400">
        <f t="shared" si="24"/>
        <v>0</v>
      </c>
      <c r="I263" s="1138"/>
      <c r="J263" s="1138" t="str">
        <f>VLOOKUP(B263,'[25]Gui chi Quynh'!$B$11:$E$396,4,FALSE)</f>
        <v>A4</v>
      </c>
      <c r="K263" s="1138">
        <f t="shared" si="25"/>
        <v>0.5</v>
      </c>
      <c r="L263" s="1139">
        <v>20</v>
      </c>
      <c r="M263" s="1139">
        <f>VLOOKUP(B263,'[26]CN BC'!$H$10:$J$275,3,FALSE)</f>
        <v>20</v>
      </c>
      <c r="N263" s="1139">
        <f t="shared" si="22"/>
        <v>20</v>
      </c>
      <c r="O263" s="1155"/>
      <c r="P263" s="1141">
        <f t="shared" si="23"/>
        <v>4668300</v>
      </c>
      <c r="Q263" s="1646">
        <f t="shared" si="26"/>
        <v>1.9950000000000001</v>
      </c>
      <c r="R263" s="1580">
        <v>2340000</v>
      </c>
      <c r="S263" s="1647">
        <f t="shared" si="27"/>
        <v>4668300</v>
      </c>
      <c r="T263" s="1142">
        <f t="shared" si="28"/>
        <v>239</v>
      </c>
      <c r="U263" s="1143">
        <f>IFERROR(INDEX('[26]CN BC'!$M$10:$M$276,MATCH(B263,'[26]CN BC'!$H$10:$H$276,0)),"")</f>
        <v>0</v>
      </c>
      <c r="V263" s="1189" t="str">
        <f>VLOOKUP(B263,TH.T4!B260:AC590,28,FALSE)</f>
        <v>ĐL</v>
      </c>
      <c r="W263" s="1171"/>
      <c r="Y263" s="1158"/>
    </row>
    <row r="264" spans="1:31" s="1148" customFormat="1" ht="27.75" customHeight="1">
      <c r="A264" s="1132">
        <f>_xlfn.AGGREGATE(4,7,A$24:A263)+1</f>
        <v>240</v>
      </c>
      <c r="B264" s="1133" t="s">
        <v>1545</v>
      </c>
      <c r="C264" s="1153" t="s">
        <v>1811</v>
      </c>
      <c r="D264" s="1154" t="s">
        <v>395</v>
      </c>
      <c r="E264" s="383" t="str">
        <f>VLOOKUP(B264,TH.Q2!B166:E497,4,FALSE)</f>
        <v>Giảng viên khoa Động lực</v>
      </c>
      <c r="F264" s="1160">
        <v>3.99</v>
      </c>
      <c r="G264" s="1137"/>
      <c r="H264" s="1400">
        <f t="shared" si="24"/>
        <v>0</v>
      </c>
      <c r="I264" s="1138"/>
      <c r="J264" s="1138" t="str">
        <f>VLOOKUP(B264,'[25]Gui chi Quynh'!$B$11:$E$396,4,FALSE)</f>
        <v>A4</v>
      </c>
      <c r="K264" s="1138">
        <f t="shared" si="25"/>
        <v>0.5</v>
      </c>
      <c r="L264" s="1139">
        <v>20</v>
      </c>
      <c r="M264" s="1139">
        <f>VLOOKUP(B264,'[26]CN BC'!$H$10:$J$275,3,FALSE)</f>
        <v>20</v>
      </c>
      <c r="N264" s="1139">
        <f t="shared" si="22"/>
        <v>20</v>
      </c>
      <c r="O264" s="1155"/>
      <c r="P264" s="1141">
        <f t="shared" si="23"/>
        <v>4668300</v>
      </c>
      <c r="Q264" s="1646">
        <f t="shared" si="26"/>
        <v>1.9950000000000001</v>
      </c>
      <c r="R264" s="1580">
        <v>2340000</v>
      </c>
      <c r="S264" s="1647">
        <f t="shared" si="27"/>
        <v>4668300</v>
      </c>
      <c r="T264" s="1142">
        <f t="shared" si="28"/>
        <v>240</v>
      </c>
      <c r="U264" s="1143">
        <f>IFERROR(INDEX('[26]CN BC'!$M$10:$M$276,MATCH(B264,'[26]CN BC'!$H$10:$H$276,0)),"")</f>
        <v>0</v>
      </c>
      <c r="V264" s="1189" t="str">
        <f>VLOOKUP(B264,TH.T4!B261:AC591,28,FALSE)</f>
        <v>ĐL</v>
      </c>
      <c r="W264" s="1171"/>
      <c r="Y264" s="1158"/>
    </row>
    <row r="265" spans="1:31" s="1148" customFormat="1" ht="27.75" customHeight="1">
      <c r="A265" s="1132">
        <f>_xlfn.AGGREGATE(4,7,A$24:A264)+1</f>
        <v>241</v>
      </c>
      <c r="B265" s="1133" t="s">
        <v>1546</v>
      </c>
      <c r="C265" s="1153" t="s">
        <v>1812</v>
      </c>
      <c r="D265" s="1154" t="s">
        <v>473</v>
      </c>
      <c r="E265" s="1058" t="str">
        <f>VLOOKUP(B265,TH.Q2!B167:E498,4,FALSE)</f>
        <v>Giảng viên khoa Động lực</v>
      </c>
      <c r="F265" s="1160">
        <v>3.66</v>
      </c>
      <c r="G265" s="1137"/>
      <c r="H265" s="1393">
        <f t="shared" si="24"/>
        <v>0</v>
      </c>
      <c r="I265" s="1138"/>
      <c r="J265" s="1138" t="str">
        <f>VLOOKUP(B265,'[25]Gui chi Quynh'!$B$11:$E$396,4,FALSE)</f>
        <v>A4</v>
      </c>
      <c r="K265" s="1138">
        <f t="shared" si="25"/>
        <v>0.5</v>
      </c>
      <c r="L265" s="1139">
        <v>20</v>
      </c>
      <c r="M265" s="1139">
        <f>VLOOKUP(B265,'[26]CN BC'!$H$10:$J$275,3,FALSE)</f>
        <v>20</v>
      </c>
      <c r="N265" s="1139">
        <f t="shared" si="22"/>
        <v>20</v>
      </c>
      <c r="O265" s="1140"/>
      <c r="P265" s="1141">
        <f t="shared" si="23"/>
        <v>4282200</v>
      </c>
      <c r="Q265" s="1646">
        <f t="shared" si="26"/>
        <v>1.83</v>
      </c>
      <c r="R265" s="1580">
        <v>2340000</v>
      </c>
      <c r="S265" s="1647">
        <f t="shared" si="27"/>
        <v>4282200</v>
      </c>
      <c r="T265" s="1142">
        <f t="shared" si="28"/>
        <v>241</v>
      </c>
      <c r="U265" s="1143">
        <f>IFERROR(INDEX('[26]CN BC'!$M$10:$M$276,MATCH(B265,'[26]CN BC'!$H$10:$H$276,0)),"")</f>
        <v>0</v>
      </c>
      <c r="V265" s="1144" t="str">
        <f>VLOOKUP(B265,TH.T4!B262:AC592,28,FALSE)</f>
        <v>ĐL</v>
      </c>
      <c r="W265" s="1167"/>
      <c r="X265" s="1146"/>
      <c r="Y265" s="1147"/>
      <c r="Z265" s="1146"/>
      <c r="AA265" s="1146"/>
      <c r="AB265" s="1146"/>
      <c r="AC265" s="1146"/>
      <c r="AD265" s="1146"/>
      <c r="AE265" s="1146"/>
    </row>
    <row r="266" spans="1:31" s="1148" customFormat="1" ht="27.75" customHeight="1">
      <c r="A266" s="1132">
        <f>_xlfn.AGGREGATE(4,7,A$24:A265)+1</f>
        <v>242</v>
      </c>
      <c r="B266" s="1133" t="s">
        <v>1547</v>
      </c>
      <c r="C266" s="1153" t="s">
        <v>1813</v>
      </c>
      <c r="D266" s="1226" t="s">
        <v>490</v>
      </c>
      <c r="E266" s="1058" t="str">
        <f>VLOOKUP(B266,TH.Q2!B168:E499,4,FALSE)</f>
        <v>Giảng viên khoa Động lực</v>
      </c>
      <c r="F266" s="1160">
        <v>3.66</v>
      </c>
      <c r="G266" s="1137"/>
      <c r="H266" s="1393">
        <f t="shared" si="24"/>
        <v>0</v>
      </c>
      <c r="I266" s="1138"/>
      <c r="J266" s="1138" t="str">
        <f>VLOOKUP(B266,'[25]Gui chi Quynh'!$B$11:$E$396,4,FALSE)</f>
        <v>A4</v>
      </c>
      <c r="K266" s="1138">
        <f t="shared" si="25"/>
        <v>0.5</v>
      </c>
      <c r="L266" s="1139">
        <v>20</v>
      </c>
      <c r="M266" s="1139">
        <f>VLOOKUP(B266,'[26]CN BC'!$H$10:$J$275,3,FALSE)</f>
        <v>20</v>
      </c>
      <c r="N266" s="1139">
        <f t="shared" si="22"/>
        <v>20</v>
      </c>
      <c r="O266" s="1140"/>
      <c r="P266" s="1141">
        <f t="shared" si="23"/>
        <v>4282200</v>
      </c>
      <c r="Q266" s="1646">
        <f t="shared" si="26"/>
        <v>1.83</v>
      </c>
      <c r="R266" s="1580">
        <v>2340000</v>
      </c>
      <c r="S266" s="1647">
        <f t="shared" si="27"/>
        <v>4282200</v>
      </c>
      <c r="T266" s="1142">
        <f t="shared" si="28"/>
        <v>242</v>
      </c>
      <c r="U266" s="1143">
        <f>IFERROR(INDEX('[26]CN BC'!$M$10:$M$276,MATCH(B266,'[26]CN BC'!$H$10:$H$276,0)),"")</f>
        <v>0</v>
      </c>
      <c r="V266" s="1144" t="str">
        <f>VLOOKUP(B266,TH.T4!B263:AC593,28,FALSE)</f>
        <v>ĐL</v>
      </c>
      <c r="W266" s="1130"/>
      <c r="X266" s="1146"/>
      <c r="Y266" s="1147"/>
      <c r="Z266" s="1146"/>
      <c r="AA266" s="1146"/>
      <c r="AB266" s="1146"/>
      <c r="AC266" s="1146"/>
      <c r="AD266" s="1146"/>
      <c r="AE266" s="1146"/>
    </row>
    <row r="267" spans="1:31" s="1148" customFormat="1" ht="27.75" customHeight="1">
      <c r="A267" s="1132">
        <f>_xlfn.AGGREGATE(4,7,A$24:A266)+1</f>
        <v>243</v>
      </c>
      <c r="B267" s="1133" t="s">
        <v>1919</v>
      </c>
      <c r="C267" s="1153" t="s">
        <v>1814</v>
      </c>
      <c r="D267" s="1154" t="s">
        <v>750</v>
      </c>
      <c r="E267" s="1058" t="str">
        <f>VLOOKUP(B267,TH.Q2!B169:E500,4,FALSE)</f>
        <v>Giảng viên khoa Động lực</v>
      </c>
      <c r="F267" s="1160">
        <v>3.66</v>
      </c>
      <c r="G267" s="1137"/>
      <c r="H267" s="1393">
        <f t="shared" si="24"/>
        <v>0</v>
      </c>
      <c r="I267" s="1138"/>
      <c r="J267" s="1138" t="str">
        <f>VLOOKUP(B267,'[25]Gui chi Quynh'!$B$11:$E$396,4,FALSE)</f>
        <v>A3</v>
      </c>
      <c r="K267" s="1138">
        <f t="shared" si="25"/>
        <v>0.6</v>
      </c>
      <c r="L267" s="1139">
        <v>20</v>
      </c>
      <c r="M267" s="1139">
        <f>VLOOKUP(B267,'[26]CN BC'!$H$10:$J$275,3,FALSE)</f>
        <v>20</v>
      </c>
      <c r="N267" s="1139">
        <f t="shared" si="22"/>
        <v>20</v>
      </c>
      <c r="O267" s="1140"/>
      <c r="P267" s="1141">
        <f t="shared" si="23"/>
        <v>5138640</v>
      </c>
      <c r="Q267" s="1646">
        <f t="shared" si="26"/>
        <v>2.1960000000000002</v>
      </c>
      <c r="R267" s="1580">
        <v>2340000</v>
      </c>
      <c r="S267" s="1647">
        <f t="shared" si="27"/>
        <v>5138640</v>
      </c>
      <c r="T267" s="1142">
        <f t="shared" si="28"/>
        <v>243</v>
      </c>
      <c r="U267" s="1143">
        <f>IFERROR(INDEX('[26]CN BC'!$M$10:$M$276,MATCH(B267,'[26]CN BC'!$H$10:$H$276,0)),"")</f>
        <v>0</v>
      </c>
      <c r="V267" s="1144" t="str">
        <f>VLOOKUP(B267,TH.T4!B264:AC594,28,FALSE)</f>
        <v>ĐL</v>
      </c>
      <c r="W267" s="1130"/>
      <c r="X267" s="1146"/>
      <c r="Y267" s="1147"/>
      <c r="Z267" s="1146"/>
      <c r="AA267" s="1146"/>
      <c r="AB267" s="1146"/>
      <c r="AC267" s="1146"/>
      <c r="AD267" s="1146"/>
      <c r="AE267" s="1146"/>
    </row>
    <row r="268" spans="1:31" s="1148" customFormat="1" ht="27.75" customHeight="1">
      <c r="A268" s="1132">
        <f>_xlfn.AGGREGATE(4,7,A$24:A267)+1</f>
        <v>244</v>
      </c>
      <c r="B268" s="1133" t="s">
        <v>1548</v>
      </c>
      <c r="C268" s="1153" t="s">
        <v>1815</v>
      </c>
      <c r="D268" s="1154" t="s">
        <v>752</v>
      </c>
      <c r="E268" s="1058" t="str">
        <f>VLOOKUP(B268,TH.Q2!B170:E501,4,FALSE)</f>
        <v>Giảng viên khoa Động lực</v>
      </c>
      <c r="F268" s="1160">
        <v>3.66</v>
      </c>
      <c r="G268" s="1137"/>
      <c r="H268" s="1393">
        <f t="shared" si="24"/>
        <v>0</v>
      </c>
      <c r="I268" s="1138"/>
      <c r="J268" s="1138" t="str">
        <f>VLOOKUP(B268,'[25]Gui chi Quynh'!$B$11:$E$396,4,FALSE)</f>
        <v>A4</v>
      </c>
      <c r="K268" s="1138">
        <f t="shared" si="25"/>
        <v>0.5</v>
      </c>
      <c r="L268" s="1139">
        <v>20</v>
      </c>
      <c r="M268" s="1139">
        <f>VLOOKUP(B268,'[26]CN BC'!$H$10:$J$275,3,FALSE)</f>
        <v>20</v>
      </c>
      <c r="N268" s="1139">
        <f t="shared" si="22"/>
        <v>20</v>
      </c>
      <c r="O268" s="1140"/>
      <c r="P268" s="1141">
        <f t="shared" si="23"/>
        <v>4282200</v>
      </c>
      <c r="Q268" s="1646">
        <f t="shared" si="26"/>
        <v>1.83</v>
      </c>
      <c r="R268" s="1580">
        <v>2340000</v>
      </c>
      <c r="S268" s="1647">
        <f t="shared" si="27"/>
        <v>4282200</v>
      </c>
      <c r="T268" s="1142">
        <f t="shared" si="28"/>
        <v>244</v>
      </c>
      <c r="U268" s="1143">
        <f>IFERROR(INDEX('[26]CN BC'!$M$10:$M$276,MATCH(B268,'[26]CN BC'!$H$10:$H$276,0)),"")</f>
        <v>0</v>
      </c>
      <c r="V268" s="1144" t="str">
        <f>VLOOKUP(B268,TH.T4!B265:AC595,28,FALSE)</f>
        <v>ĐL</v>
      </c>
      <c r="W268" s="1171"/>
      <c r="Y268" s="1158"/>
    </row>
    <row r="269" spans="1:31" s="1148" customFormat="1" ht="27.75" customHeight="1">
      <c r="A269" s="1132">
        <f>_xlfn.AGGREGATE(4,7,A$24:A268)+1</f>
        <v>245</v>
      </c>
      <c r="B269" s="1133" t="s">
        <v>1549</v>
      </c>
      <c r="C269" s="1153" t="s">
        <v>1816</v>
      </c>
      <c r="D269" s="1150" t="s">
        <v>1429</v>
      </c>
      <c r="E269" s="383" t="str">
        <f>VLOOKUP(B269,TH.Q2!B171:E502,4,FALSE)</f>
        <v>Giảng viên khoa Động lực</v>
      </c>
      <c r="F269" s="1231">
        <v>3.66</v>
      </c>
      <c r="G269" s="1137"/>
      <c r="H269" s="1400">
        <f t="shared" si="24"/>
        <v>0</v>
      </c>
      <c r="I269" s="1138">
        <v>0.25</v>
      </c>
      <c r="J269" s="1138" t="str">
        <f>VLOOKUP(B269,'[25]Gui chi Quynh'!$B$11:$E$396,4,FALSE)</f>
        <v>A4</v>
      </c>
      <c r="K269" s="1138">
        <f t="shared" si="25"/>
        <v>0.5</v>
      </c>
      <c r="L269" s="1139">
        <v>20</v>
      </c>
      <c r="M269" s="1139">
        <f>VLOOKUP(B269,'[26]CN BC'!$H$10:$J$275,3,FALSE)</f>
        <v>20</v>
      </c>
      <c r="N269" s="1139">
        <f t="shared" si="22"/>
        <v>20</v>
      </c>
      <c r="O269" s="1155"/>
      <c r="P269" s="1141">
        <f t="shared" si="23"/>
        <v>4574700</v>
      </c>
      <c r="Q269" s="1646">
        <f t="shared" si="26"/>
        <v>1.9550000000000001</v>
      </c>
      <c r="R269" s="1580">
        <v>2340000</v>
      </c>
      <c r="S269" s="1647">
        <f t="shared" si="27"/>
        <v>4574700</v>
      </c>
      <c r="T269" s="1142">
        <f t="shared" si="28"/>
        <v>245</v>
      </c>
      <c r="U269" s="1143">
        <f>IFERROR(INDEX('[26]CN BC'!$M$10:$M$276,MATCH(B269,'[26]CN BC'!$H$10:$H$276,0)),"")</f>
        <v>0</v>
      </c>
      <c r="V269" s="1189" t="str">
        <f>VLOOKUP(B269,TH.T4!B266:AC596,28,FALSE)</f>
        <v>ĐL</v>
      </c>
      <c r="W269" s="1171"/>
      <c r="Y269" s="1158"/>
    </row>
    <row r="270" spans="1:31" s="1148" customFormat="1" ht="27.75" customHeight="1">
      <c r="A270" s="1132">
        <f>_xlfn.AGGREGATE(4,7,A$24:A269)+1</f>
        <v>246</v>
      </c>
      <c r="B270" s="1133" t="s">
        <v>1550</v>
      </c>
      <c r="C270" s="1153" t="s">
        <v>1817</v>
      </c>
      <c r="D270" s="1150" t="s">
        <v>1430</v>
      </c>
      <c r="E270" s="383" t="str">
        <f>VLOOKUP(B270,TH.Q2!B172:E503,4,FALSE)</f>
        <v>Giảng viên khoa Động lực</v>
      </c>
      <c r="F270" s="1231">
        <v>3.66</v>
      </c>
      <c r="G270" s="1137"/>
      <c r="H270" s="1400">
        <f t="shared" si="24"/>
        <v>0</v>
      </c>
      <c r="I270" s="1138"/>
      <c r="J270" s="1138" t="str">
        <f>VLOOKUP(B270,'[25]Gui chi Quynh'!$B$11:$E$396,4,FALSE)</f>
        <v>A3</v>
      </c>
      <c r="K270" s="1138">
        <f t="shared" si="25"/>
        <v>0.6</v>
      </c>
      <c r="L270" s="1139">
        <v>20</v>
      </c>
      <c r="M270" s="1139">
        <f>VLOOKUP(B270,'[26]CN BC'!$H$10:$J$275,3,FALSE)</f>
        <v>20</v>
      </c>
      <c r="N270" s="1139">
        <f t="shared" si="22"/>
        <v>20</v>
      </c>
      <c r="O270" s="1155"/>
      <c r="P270" s="1141">
        <f t="shared" si="23"/>
        <v>5138640</v>
      </c>
      <c r="Q270" s="1646">
        <f t="shared" si="26"/>
        <v>2.1960000000000002</v>
      </c>
      <c r="R270" s="1580">
        <v>2340000</v>
      </c>
      <c r="S270" s="1647">
        <f t="shared" si="27"/>
        <v>5138640</v>
      </c>
      <c r="T270" s="1142">
        <f t="shared" si="28"/>
        <v>246</v>
      </c>
      <c r="U270" s="1143">
        <f>IFERROR(INDEX('[26]CN BC'!$M$10:$M$276,MATCH(B270,'[26]CN BC'!$H$10:$H$276,0)),"")</f>
        <v>0</v>
      </c>
      <c r="V270" s="1189" t="str">
        <f>VLOOKUP(B270,TH.T4!B267:AC597,28,FALSE)</f>
        <v>ĐL</v>
      </c>
      <c r="W270" s="1227"/>
      <c r="Y270" s="1158"/>
    </row>
    <row r="271" spans="1:31" s="1148" customFormat="1" ht="27.75" customHeight="1">
      <c r="A271" s="1132">
        <f>_xlfn.AGGREGATE(4,7,A$24:A270)+1</f>
        <v>247</v>
      </c>
      <c r="B271" s="1133" t="s">
        <v>1836</v>
      </c>
      <c r="C271" s="1153" t="s">
        <v>1976</v>
      </c>
      <c r="D271" s="1198" t="s">
        <v>1977</v>
      </c>
      <c r="E271" s="1058" t="str">
        <f>VLOOKUP(B271,TH.Q2!B173:E504,4,FALSE)</f>
        <v>Giảng viên khoa Động lực</v>
      </c>
      <c r="F271" s="1231">
        <v>3</v>
      </c>
      <c r="G271" s="1137"/>
      <c r="H271" s="1393">
        <f t="shared" si="24"/>
        <v>0</v>
      </c>
      <c r="I271" s="1138"/>
      <c r="J271" s="1138" t="str">
        <f>VLOOKUP(B271,'[25]Gui chi Quynh'!$B$11:$E$396,4,FALSE)</f>
        <v>A4</v>
      </c>
      <c r="K271" s="1138">
        <f t="shared" si="25"/>
        <v>0.5</v>
      </c>
      <c r="L271" s="1139">
        <v>20</v>
      </c>
      <c r="M271" s="1139">
        <f>VLOOKUP(B271,'[26]CN BC'!$H$10:$J$275,3,FALSE)</f>
        <v>20</v>
      </c>
      <c r="N271" s="1139">
        <f t="shared" si="22"/>
        <v>20</v>
      </c>
      <c r="O271" s="1140"/>
      <c r="P271" s="1141">
        <f t="shared" si="23"/>
        <v>3510000</v>
      </c>
      <c r="Q271" s="1646">
        <f t="shared" si="26"/>
        <v>1.5</v>
      </c>
      <c r="R271" s="1580">
        <v>2340000</v>
      </c>
      <c r="S271" s="1647">
        <f t="shared" si="27"/>
        <v>3510000</v>
      </c>
      <c r="T271" s="1142">
        <f t="shared" si="28"/>
        <v>247</v>
      </c>
      <c r="U271" s="1143">
        <f>IFERROR(INDEX('[26]CN BC'!$M$10:$M$276,MATCH(B271,'[26]CN BC'!$H$10:$H$276,0)),"")</f>
        <v>0</v>
      </c>
      <c r="V271" s="1144" t="str">
        <f>VLOOKUP(B271,TH.T4!B268:AC598,28,FALSE)</f>
        <v>ĐL</v>
      </c>
      <c r="W271" s="1167"/>
      <c r="X271" s="1146"/>
      <c r="Y271" s="1147"/>
      <c r="Z271" s="1146"/>
      <c r="AA271" s="1146"/>
      <c r="AB271" s="1146"/>
      <c r="AC271" s="1146"/>
      <c r="AD271" s="1146"/>
      <c r="AE271" s="1146"/>
    </row>
    <row r="272" spans="1:31" s="1148" customFormat="1" ht="27.75" customHeight="1">
      <c r="A272" s="1132">
        <f>_xlfn.AGGREGATE(4,7,A$24:A271)+1</f>
        <v>248</v>
      </c>
      <c r="B272" s="1133" t="s">
        <v>1837</v>
      </c>
      <c r="C272" s="1153" t="s">
        <v>1978</v>
      </c>
      <c r="D272" s="1198" t="s">
        <v>1979</v>
      </c>
      <c r="E272" s="1058" t="str">
        <f>VLOOKUP(B272,TH.Q2!B174:E505,4,FALSE)</f>
        <v>Giảng viên khoa Động lực</v>
      </c>
      <c r="F272" s="1226">
        <v>2.67</v>
      </c>
      <c r="G272" s="1137"/>
      <c r="H272" s="1393">
        <f t="shared" si="24"/>
        <v>0</v>
      </c>
      <c r="I272" s="1138"/>
      <c r="J272" s="1138" t="str">
        <f>VLOOKUP(B272,'[25]Gui chi Quynh'!$B$11:$E$396,4,FALSE)</f>
        <v>A4</v>
      </c>
      <c r="K272" s="1138">
        <f t="shared" si="25"/>
        <v>0.5</v>
      </c>
      <c r="L272" s="1139">
        <v>20</v>
      </c>
      <c r="M272" s="1139">
        <f>VLOOKUP(B272,'[26]CN BC'!$H$10:$J$275,3,FALSE)</f>
        <v>20</v>
      </c>
      <c r="N272" s="1139">
        <f t="shared" si="22"/>
        <v>20</v>
      </c>
      <c r="O272" s="1140"/>
      <c r="P272" s="1141">
        <f t="shared" si="23"/>
        <v>3123900</v>
      </c>
      <c r="Q272" s="1646">
        <f t="shared" si="26"/>
        <v>1.335</v>
      </c>
      <c r="R272" s="1580">
        <v>2340000</v>
      </c>
      <c r="S272" s="1647">
        <f t="shared" si="27"/>
        <v>3123900</v>
      </c>
      <c r="T272" s="1142">
        <f t="shared" si="28"/>
        <v>248</v>
      </c>
      <c r="U272" s="1143">
        <f>IFERROR(INDEX('[26]CN BC'!$M$10:$M$276,MATCH(B272,'[26]CN BC'!$H$10:$H$276,0)),"")</f>
        <v>0</v>
      </c>
      <c r="V272" s="1144" t="str">
        <f>VLOOKUP(B272,TH.T4!B269:AC599,28,FALSE)</f>
        <v>ĐL</v>
      </c>
      <c r="W272" s="1167"/>
      <c r="X272" s="1146"/>
      <c r="Y272" s="1147"/>
      <c r="Z272" s="1146"/>
      <c r="AA272" s="1146"/>
      <c r="AB272" s="1146"/>
      <c r="AC272" s="1146"/>
      <c r="AD272" s="1146"/>
      <c r="AE272" s="1146"/>
    </row>
    <row r="273" spans="1:35" s="1148" customFormat="1" ht="27.75" customHeight="1">
      <c r="A273" s="1132">
        <f>_xlfn.AGGREGATE(4,7,A$24:A272)+1</f>
        <v>249</v>
      </c>
      <c r="B273" s="1223" t="s">
        <v>1839</v>
      </c>
      <c r="C273" s="1153" t="s">
        <v>1980</v>
      </c>
      <c r="D273" s="1198" t="s">
        <v>1981</v>
      </c>
      <c r="E273" s="1058" t="str">
        <f>VLOOKUP(B273,TH.Q2!B175:E506,4,FALSE)</f>
        <v>Giảng viên khoa Động lực</v>
      </c>
      <c r="F273" s="1231">
        <v>3</v>
      </c>
      <c r="G273" s="1137"/>
      <c r="H273" s="1393">
        <f t="shared" si="24"/>
        <v>0</v>
      </c>
      <c r="I273" s="1138"/>
      <c r="J273" s="1138" t="str">
        <f>VLOOKUP(B273,'[25]Gui chi Quynh'!$B$11:$E$396,4,FALSE)</f>
        <v>A4</v>
      </c>
      <c r="K273" s="1138">
        <f t="shared" si="25"/>
        <v>0.5</v>
      </c>
      <c r="L273" s="1139">
        <v>20</v>
      </c>
      <c r="M273" s="1139">
        <f>VLOOKUP(B273,'[26]CN BC'!$H$10:$J$275,3,FALSE)</f>
        <v>20</v>
      </c>
      <c r="N273" s="1139">
        <f t="shared" si="22"/>
        <v>20</v>
      </c>
      <c r="O273" s="1140"/>
      <c r="P273" s="1141">
        <f t="shared" si="23"/>
        <v>3510000</v>
      </c>
      <c r="Q273" s="1646">
        <f t="shared" si="26"/>
        <v>1.5</v>
      </c>
      <c r="R273" s="1580">
        <v>2340000</v>
      </c>
      <c r="S273" s="1647">
        <f t="shared" si="27"/>
        <v>3510000</v>
      </c>
      <c r="T273" s="1142">
        <f t="shared" si="28"/>
        <v>249</v>
      </c>
      <c r="U273" s="1143">
        <f>IFERROR(INDEX('[26]CN BC'!$M$10:$M$276,MATCH(B273,'[26]CN BC'!$H$10:$H$276,0)),"")</f>
        <v>0</v>
      </c>
      <c r="V273" s="1144" t="str">
        <f>VLOOKUP(B273,TH.T4!B270:AC600,28,FALSE)</f>
        <v>ĐL</v>
      </c>
      <c r="W273" s="1167"/>
      <c r="X273" s="1146"/>
      <c r="Y273" s="1147"/>
      <c r="Z273" s="1146"/>
      <c r="AA273" s="1146"/>
      <c r="AB273" s="1146"/>
      <c r="AC273" s="1146"/>
      <c r="AD273" s="1146"/>
      <c r="AE273" s="1146"/>
    </row>
    <row r="274" spans="1:35" s="1148" customFormat="1" ht="27.75" customHeight="1">
      <c r="A274" s="1132">
        <f>_xlfn.AGGREGATE(4,7,A$24:A273)+1</f>
        <v>250</v>
      </c>
      <c r="B274" s="1223" t="s">
        <v>1844</v>
      </c>
      <c r="C274" s="1153" t="s">
        <v>1982</v>
      </c>
      <c r="D274" s="1198" t="s">
        <v>1983</v>
      </c>
      <c r="E274" s="1058" t="str">
        <f>VLOOKUP(B274,TH.Q2!B176:E507,4,FALSE)</f>
        <v>Giảng viên khoa Động lực</v>
      </c>
      <c r="F274" s="1231">
        <v>3.66</v>
      </c>
      <c r="G274" s="1137"/>
      <c r="H274" s="1393">
        <f t="shared" si="24"/>
        <v>0</v>
      </c>
      <c r="I274" s="1138"/>
      <c r="J274" s="1138" t="str">
        <f>VLOOKUP(B274,'[25]Gui chi Quynh'!$B$11:$E$396,4,FALSE)</f>
        <v>A3</v>
      </c>
      <c r="K274" s="1138">
        <f t="shared" si="25"/>
        <v>0.6</v>
      </c>
      <c r="L274" s="1139">
        <v>20</v>
      </c>
      <c r="M274" s="1139">
        <f>VLOOKUP(B274,'[26]CN BC'!$H$10:$J$275,3,FALSE)</f>
        <v>21</v>
      </c>
      <c r="N274" s="1139">
        <f t="shared" si="22"/>
        <v>20</v>
      </c>
      <c r="O274" s="1140"/>
      <c r="P274" s="1141">
        <f t="shared" si="23"/>
        <v>5138640</v>
      </c>
      <c r="Q274" s="1646">
        <f t="shared" si="26"/>
        <v>2.1960000000000002</v>
      </c>
      <c r="R274" s="1580">
        <v>2340000</v>
      </c>
      <c r="S274" s="1647">
        <f t="shared" si="27"/>
        <v>5138640</v>
      </c>
      <c r="T274" s="1142">
        <f t="shared" si="28"/>
        <v>250</v>
      </c>
      <c r="U274" s="1143" t="str">
        <f>IFERROR(INDEX('[26]CN BC'!$M$10:$M$276,MATCH(B274,'[26]CN BC'!$H$10:$H$276,0)),"")</f>
        <v>Cộng 1 ngày tham gia ẩm thực 3 miền 17/11</v>
      </c>
      <c r="V274" s="1144" t="str">
        <f>VLOOKUP(B274,TH.T4!B271:AC601,28,FALSE)</f>
        <v>ĐL</v>
      </c>
      <c r="W274" s="1167"/>
      <c r="X274" s="1146"/>
      <c r="Y274" s="1147"/>
      <c r="Z274" s="1146"/>
      <c r="AA274" s="1146"/>
      <c r="AB274" s="1146"/>
      <c r="AC274" s="1146"/>
      <c r="AD274" s="1146"/>
      <c r="AE274" s="1146"/>
    </row>
    <row r="275" spans="1:35" s="1148" customFormat="1" ht="27.75" customHeight="1">
      <c r="A275" s="1132">
        <f>_xlfn.AGGREGATE(4,7,A$24:A274)+1</f>
        <v>251</v>
      </c>
      <c r="B275" s="1223" t="s">
        <v>1926</v>
      </c>
      <c r="C275" s="1153" t="s">
        <v>1984</v>
      </c>
      <c r="D275" s="1230" t="s">
        <v>1985</v>
      </c>
      <c r="E275" s="1058" t="str">
        <f>VLOOKUP(B275,TH.Q2!B177:E508,4,FALSE)</f>
        <v>Giảng viên khoa Động lực</v>
      </c>
      <c r="F275" s="1232">
        <v>2.67</v>
      </c>
      <c r="G275" s="1137"/>
      <c r="H275" s="1393">
        <f t="shared" si="24"/>
        <v>0</v>
      </c>
      <c r="I275" s="1138"/>
      <c r="J275" s="1138" t="str">
        <f>VLOOKUP(B275,'[25]Gui chi Quynh'!$B$11:$E$396,4,FALSE)</f>
        <v>A4</v>
      </c>
      <c r="K275" s="1138">
        <f t="shared" si="25"/>
        <v>0.5</v>
      </c>
      <c r="L275" s="1139">
        <v>20</v>
      </c>
      <c r="M275" s="1139">
        <f>VLOOKUP(B275,'[26]CN BC'!$H$10:$J$275,3,FALSE)</f>
        <v>20</v>
      </c>
      <c r="N275" s="1139">
        <f t="shared" si="22"/>
        <v>20</v>
      </c>
      <c r="O275" s="1140"/>
      <c r="P275" s="1141">
        <f t="shared" si="23"/>
        <v>3123900</v>
      </c>
      <c r="Q275" s="1646">
        <f t="shared" si="26"/>
        <v>1.335</v>
      </c>
      <c r="R275" s="1580">
        <v>2340000</v>
      </c>
      <c r="S275" s="1647">
        <f t="shared" si="27"/>
        <v>3123900</v>
      </c>
      <c r="T275" s="1142">
        <f t="shared" si="28"/>
        <v>251</v>
      </c>
      <c r="U275" s="1143">
        <f>IFERROR(INDEX('[26]CN BC'!$M$10:$M$276,MATCH(B275,'[26]CN BC'!$H$10:$H$276,0)),"")</f>
        <v>0</v>
      </c>
      <c r="V275" s="1144" t="str">
        <f>VLOOKUP(B275,TH.T4!B272:AC602,28,FALSE)</f>
        <v>ĐL</v>
      </c>
      <c r="W275" s="1167"/>
      <c r="X275" s="1146"/>
      <c r="Y275" s="1147"/>
      <c r="Z275" s="1146"/>
      <c r="AA275" s="1146"/>
      <c r="AB275" s="1146"/>
      <c r="AC275" s="1146"/>
      <c r="AD275" s="1146"/>
      <c r="AE275" s="1146"/>
    </row>
    <row r="276" spans="1:35" s="1148" customFormat="1" ht="27.75" customHeight="1">
      <c r="A276" s="1132">
        <f>_xlfn.AGGREGATE(4,7,A$24:A275)+1</f>
        <v>252</v>
      </c>
      <c r="B276" s="1223" t="s">
        <v>1941</v>
      </c>
      <c r="C276" s="1153" t="s">
        <v>1989</v>
      </c>
      <c r="D276" s="1230" t="s">
        <v>1988</v>
      </c>
      <c r="E276" s="1058" t="str">
        <f>VLOOKUP(B276,TH.Q2!B178:E509,4,FALSE)</f>
        <v>Giảng viên khoa Động lực</v>
      </c>
      <c r="F276" s="1232">
        <v>2.34</v>
      </c>
      <c r="G276" s="1137"/>
      <c r="H276" s="1393">
        <f t="shared" si="24"/>
        <v>0</v>
      </c>
      <c r="I276" s="1138"/>
      <c r="J276" s="1138" t="str">
        <f>VLOOKUP(B276,'[25]Gui chi Quynh'!$B$11:$E$396,4,FALSE)</f>
        <v>A4</v>
      </c>
      <c r="K276" s="1138">
        <f t="shared" si="25"/>
        <v>0.5</v>
      </c>
      <c r="L276" s="1139">
        <v>20</v>
      </c>
      <c r="M276" s="1139">
        <f>VLOOKUP(B276,'[26]CN BC'!$H$10:$J$275,3,FALSE)</f>
        <v>20</v>
      </c>
      <c r="N276" s="1139">
        <f t="shared" si="22"/>
        <v>20</v>
      </c>
      <c r="O276" s="1140"/>
      <c r="P276" s="1141">
        <f t="shared" si="23"/>
        <v>2737800</v>
      </c>
      <c r="Q276" s="1646">
        <f t="shared" si="26"/>
        <v>1.17</v>
      </c>
      <c r="R276" s="1580">
        <v>2340000</v>
      </c>
      <c r="S276" s="1647">
        <f t="shared" si="27"/>
        <v>2737800</v>
      </c>
      <c r="T276" s="1142">
        <f t="shared" si="28"/>
        <v>252</v>
      </c>
      <c r="U276" s="1143">
        <f>IFERROR(INDEX('[26]CN BC'!$M$10:$M$276,MATCH(B276,'[26]CN BC'!$H$10:$H$276,0)),"")</f>
        <v>0</v>
      </c>
      <c r="V276" s="1144" t="str">
        <f>VLOOKUP(B276,TH.T4!B274:AC604,28,FALSE)</f>
        <v>ĐL</v>
      </c>
      <c r="W276" s="1167"/>
      <c r="X276" s="1146"/>
      <c r="Y276" s="1147"/>
      <c r="Z276" s="1146"/>
      <c r="AA276" s="1146"/>
      <c r="AB276" s="1146"/>
      <c r="AC276" s="1146"/>
      <c r="AD276" s="1146"/>
      <c r="AE276" s="1146"/>
    </row>
    <row r="277" spans="1:35" s="1148" customFormat="1" ht="27.75" customHeight="1">
      <c r="A277" s="1132">
        <f>_xlfn.AGGREGATE(4,7,A$24:A276)+1</f>
        <v>253</v>
      </c>
      <c r="B277" s="1223" t="s">
        <v>1945</v>
      </c>
      <c r="C277" s="1132" t="s">
        <v>1948</v>
      </c>
      <c r="D277" s="1150" t="s">
        <v>1949</v>
      </c>
      <c r="E277" s="1058" t="str">
        <f>VLOOKUP(B277,TH.Q2!B180:E511,4,FALSE)</f>
        <v>Giảng viên khoa Động lực</v>
      </c>
      <c r="F277" s="1232">
        <v>3.66</v>
      </c>
      <c r="G277" s="1137"/>
      <c r="H277" s="1393">
        <f t="shared" si="24"/>
        <v>0</v>
      </c>
      <c r="I277" s="1138"/>
      <c r="J277" s="1138" t="str">
        <f>VLOOKUP(B277,'[25]Gui chi Quynh'!$B$11:$E$396,4,FALSE)</f>
        <v>A4</v>
      </c>
      <c r="K277" s="1138">
        <f t="shared" si="25"/>
        <v>0.5</v>
      </c>
      <c r="L277" s="1139">
        <v>20</v>
      </c>
      <c r="M277" s="1139">
        <f>VLOOKUP(B277,'[26]CN BC'!$H$10:$J$275,3,FALSE)</f>
        <v>20</v>
      </c>
      <c r="N277" s="1139">
        <f t="shared" si="22"/>
        <v>20</v>
      </c>
      <c r="O277" s="1140"/>
      <c r="P277" s="1141">
        <f t="shared" si="23"/>
        <v>4282200</v>
      </c>
      <c r="Q277" s="1646">
        <f t="shared" si="26"/>
        <v>1.83</v>
      </c>
      <c r="R277" s="1580">
        <v>2340000</v>
      </c>
      <c r="S277" s="1647">
        <f t="shared" si="27"/>
        <v>4282200</v>
      </c>
      <c r="T277" s="1142">
        <f t="shared" si="28"/>
        <v>253</v>
      </c>
      <c r="U277" s="1143">
        <f>IFERROR(INDEX('[26]CN BC'!$M$10:$M$276,MATCH(B277,'[26]CN BC'!$H$10:$H$276,0)),"")</f>
        <v>0</v>
      </c>
      <c r="V277" s="1144" t="str">
        <f>VLOOKUP(B277,TH.T4!B276:AC606,28,FALSE)</f>
        <v>ĐL</v>
      </c>
      <c r="W277" s="1167"/>
      <c r="X277" s="1146"/>
      <c r="Y277" s="1158"/>
    </row>
    <row r="278" spans="1:35" s="1148" customFormat="1" ht="27.75" customHeight="1">
      <c r="A278" s="1132">
        <f>_xlfn.AGGREGATE(4,7,A$24:A277)+1</f>
        <v>254</v>
      </c>
      <c r="B278" s="1223" t="s">
        <v>2003</v>
      </c>
      <c r="C278" s="1132"/>
      <c r="D278" s="1150"/>
      <c r="E278" s="1058" t="str">
        <f>VLOOKUP(B278,TH.Q2!B181:E512,4,FALSE)</f>
        <v>Giảng viên khoa Động lực</v>
      </c>
      <c r="F278" s="1231">
        <v>3.33</v>
      </c>
      <c r="G278" s="1137"/>
      <c r="H278" s="1393">
        <f t="shared" si="24"/>
        <v>0</v>
      </c>
      <c r="I278" s="1138"/>
      <c r="J278" s="1138" t="str">
        <f>VLOOKUP(B278,'[25]Gui chi Quynh'!$B$11:$E$396,4,FALSE)</f>
        <v>A4</v>
      </c>
      <c r="K278" s="1138">
        <f t="shared" si="25"/>
        <v>0.5</v>
      </c>
      <c r="L278" s="1139">
        <v>20</v>
      </c>
      <c r="M278" s="1139">
        <f>VLOOKUP(B278,'[26]CN BC'!$H$10:$J$275,3,FALSE)</f>
        <v>20</v>
      </c>
      <c r="N278" s="1139">
        <f t="shared" si="22"/>
        <v>20</v>
      </c>
      <c r="O278" s="1140"/>
      <c r="P278" s="1141">
        <f t="shared" si="23"/>
        <v>3896100</v>
      </c>
      <c r="Q278" s="1646">
        <f t="shared" si="26"/>
        <v>1.665</v>
      </c>
      <c r="R278" s="1580">
        <v>2340000</v>
      </c>
      <c r="S278" s="1647">
        <f t="shared" si="27"/>
        <v>3896100</v>
      </c>
      <c r="T278" s="1142">
        <f t="shared" si="28"/>
        <v>254</v>
      </c>
      <c r="U278" s="1143">
        <f>IFERROR(INDEX('[26]CN BC'!$M$10:$M$276,MATCH(B278,'[26]CN BC'!$H$10:$H$276,0)),"")</f>
        <v>0</v>
      </c>
      <c r="V278" s="1144" t="str">
        <f>VLOOKUP(B278,TH.T4!B277:AC607,28,FALSE)</f>
        <v>ĐL</v>
      </c>
      <c r="W278" s="1167"/>
      <c r="X278" s="1146"/>
      <c r="Y278" s="1158"/>
    </row>
    <row r="279" spans="1:35" s="1148" customFormat="1" ht="27.75" customHeight="1">
      <c r="A279" s="1132">
        <f>_xlfn.AGGREGATE(4,7,A$24:A278)+1</f>
        <v>255</v>
      </c>
      <c r="B279" s="1223" t="s">
        <v>2010</v>
      </c>
      <c r="C279" s="1132"/>
      <c r="D279" s="1150"/>
      <c r="E279" s="1058" t="str">
        <f>VLOOKUP(B279,TH.Q2!B182:E513,4,FALSE)</f>
        <v>Giảng viên khoa Động lực</v>
      </c>
      <c r="F279" s="1231">
        <v>2.34</v>
      </c>
      <c r="G279" s="1137"/>
      <c r="H279" s="1393">
        <f t="shared" si="24"/>
        <v>0</v>
      </c>
      <c r="I279" s="1138"/>
      <c r="J279" s="1138" t="str">
        <f>VLOOKUP(B279,'[25]Gui chi Quynh'!$B$11:$E$396,4,FALSE)</f>
        <v>A4</v>
      </c>
      <c r="K279" s="1138">
        <f t="shared" si="25"/>
        <v>0.5</v>
      </c>
      <c r="L279" s="1139">
        <v>20</v>
      </c>
      <c r="M279" s="1139">
        <f>VLOOKUP(B279,'[26]CN BC'!$H$10:$J$275,3,FALSE)</f>
        <v>20</v>
      </c>
      <c r="N279" s="1139">
        <f t="shared" si="22"/>
        <v>20</v>
      </c>
      <c r="O279" s="1140"/>
      <c r="P279" s="1141">
        <f t="shared" si="23"/>
        <v>2737800</v>
      </c>
      <c r="Q279" s="1646">
        <f t="shared" si="26"/>
        <v>1.17</v>
      </c>
      <c r="R279" s="1580">
        <v>2340000</v>
      </c>
      <c r="S279" s="1647">
        <f t="shared" si="27"/>
        <v>2737800</v>
      </c>
      <c r="T279" s="1142">
        <f t="shared" si="28"/>
        <v>255</v>
      </c>
      <c r="U279" s="1143">
        <f>IFERROR(INDEX('[26]CN BC'!$M$10:$M$276,MATCH(B279,'[26]CN BC'!$H$10:$H$276,0)),"")</f>
        <v>0</v>
      </c>
      <c r="V279" s="1144" t="str">
        <f>VLOOKUP(B279,TH.T4!B278:AC608,28,FALSE)</f>
        <v>ĐL</v>
      </c>
      <c r="W279" s="1227"/>
      <c r="Y279" s="1158"/>
    </row>
    <row r="280" spans="1:35" s="1148" customFormat="1" ht="34.5" customHeight="1">
      <c r="A280" s="1132">
        <f>_xlfn.AGGREGATE(4,7,A$24:A279)+1</f>
        <v>256</v>
      </c>
      <c r="B280" s="1133" t="s">
        <v>1554</v>
      </c>
      <c r="C280" s="1153" t="s">
        <v>1818</v>
      </c>
      <c r="D280" s="1196" t="s">
        <v>1570</v>
      </c>
      <c r="E280" s="1058" t="str">
        <f>VLOOKUP(B280,TH.Q2!B183:E514,4,FALSE)</f>
        <v>Giảng viên khoa Xây dựng - Nhiệt lạnh</v>
      </c>
      <c r="F280" s="1160">
        <v>3.66</v>
      </c>
      <c r="G280" s="1137"/>
      <c r="H280" s="1400">
        <f t="shared" si="24"/>
        <v>0</v>
      </c>
      <c r="I280" s="1138">
        <v>0.45</v>
      </c>
      <c r="J280" s="1138" t="str">
        <f>VLOOKUP(B280,'[25]Gui chi Quynh'!$B$11:$E$396,4,FALSE)</f>
        <v>A3</v>
      </c>
      <c r="K280" s="1138">
        <f t="shared" si="25"/>
        <v>0.6</v>
      </c>
      <c r="L280" s="1139">
        <v>20</v>
      </c>
      <c r="M280" s="1139">
        <f>VLOOKUP(B280,'[26]CN BC'!$H$10:$J$275,3,FALSE)</f>
        <v>20</v>
      </c>
      <c r="N280" s="1139">
        <f t="shared" si="22"/>
        <v>20</v>
      </c>
      <c r="O280" s="1140"/>
      <c r="P280" s="1141">
        <f t="shared" si="23"/>
        <v>5770440</v>
      </c>
      <c r="Q280" s="1646">
        <f t="shared" si="26"/>
        <v>2.4660000000000002</v>
      </c>
      <c r="R280" s="1580">
        <v>2340000</v>
      </c>
      <c r="S280" s="1647">
        <f t="shared" si="27"/>
        <v>5770440</v>
      </c>
      <c r="T280" s="1142">
        <f t="shared" si="28"/>
        <v>256</v>
      </c>
      <c r="U280" s="1143">
        <f>IFERROR(INDEX('[26]CN BC'!$M$10:$M$276,MATCH(B280,'[26]CN BC'!$H$10:$H$276,0)),"")</f>
        <v>0</v>
      </c>
      <c r="V280" s="1144" t="str">
        <f>VLOOKUP(B280,TH.T4!B279:AC609,28,FALSE)</f>
        <v>XD-NL</v>
      </c>
      <c r="W280" s="1130"/>
      <c r="X280" s="1146"/>
      <c r="Y280" s="1147"/>
      <c r="Z280" s="1146"/>
      <c r="AA280" s="1146"/>
      <c r="AB280" s="1146"/>
      <c r="AC280" s="1146"/>
      <c r="AD280" s="1146"/>
      <c r="AE280" s="1146"/>
    </row>
    <row r="281" spans="1:35" s="1148" customFormat="1" ht="34.5" customHeight="1">
      <c r="A281" s="1132">
        <f>_xlfn.AGGREGATE(4,7,A$24:A280)+1</f>
        <v>257</v>
      </c>
      <c r="B281" s="1133" t="s">
        <v>1920</v>
      </c>
      <c r="C281" s="1153" t="s">
        <v>1819</v>
      </c>
      <c r="D281" s="1154" t="s">
        <v>1414</v>
      </c>
      <c r="E281" s="1058" t="str">
        <f>VLOOKUP(B281,TH.Q2!B184:E515,4,FALSE)</f>
        <v>Giảng viên khoa Xây dựng - Nhiệt lạnh</v>
      </c>
      <c r="F281" s="1136">
        <v>4.6500000000000004</v>
      </c>
      <c r="G281" s="1137"/>
      <c r="H281" s="1400">
        <f t="shared" si="24"/>
        <v>0</v>
      </c>
      <c r="I281" s="1138">
        <v>0.25</v>
      </c>
      <c r="J281" s="1138" t="str">
        <f>VLOOKUP(B281,'[25]Gui chi Quynh'!$B$11:$E$396,4,FALSE)</f>
        <v>A3</v>
      </c>
      <c r="K281" s="1138">
        <f t="shared" si="25"/>
        <v>0.6</v>
      </c>
      <c r="L281" s="1139">
        <v>20</v>
      </c>
      <c r="M281" s="1139">
        <f>VLOOKUP(B281,'[26]CN BC'!$H$10:$J$275,3,FALSE)</f>
        <v>20</v>
      </c>
      <c r="N281" s="1139">
        <f t="shared" ref="N281:N288" si="29">IF(M281&gt;=L281,L281,IF(M281&lt;L281,M281))</f>
        <v>20</v>
      </c>
      <c r="O281" s="1140"/>
      <c r="P281" s="1141">
        <f t="shared" ref="P281:P288" si="30">(((F281+H281+I281)*$P$21/L281*N281)*K281)+O281</f>
        <v>6879600</v>
      </c>
      <c r="Q281" s="1646">
        <f t="shared" si="26"/>
        <v>2.94</v>
      </c>
      <c r="R281" s="1580">
        <v>2340000</v>
      </c>
      <c r="S281" s="1647">
        <f t="shared" si="27"/>
        <v>6879600</v>
      </c>
      <c r="T281" s="1142">
        <f t="shared" si="28"/>
        <v>257</v>
      </c>
      <c r="U281" s="1143">
        <f>IFERROR(INDEX('[26]CN BC'!$M$10:$M$276,MATCH(B281,'[26]CN BC'!$H$10:$H$276,0)),"")</f>
        <v>0</v>
      </c>
      <c r="V281" s="1144" t="str">
        <f>VLOOKUP(B281,TH.T4!B280:AC610,28,FALSE)</f>
        <v>XD-NL</v>
      </c>
      <c r="W281" s="1130"/>
      <c r="X281" s="1146"/>
      <c r="Y281" s="1147"/>
      <c r="Z281" s="1146"/>
      <c r="AA281" s="1146"/>
      <c r="AB281" s="1146"/>
      <c r="AC281" s="1146"/>
      <c r="AD281" s="1146"/>
      <c r="AE281" s="1146"/>
    </row>
    <row r="282" spans="1:35" s="1148" customFormat="1" ht="34.5" customHeight="1">
      <c r="A282" s="1132">
        <f>_xlfn.AGGREGATE(4,7,A$24:A281)+1</f>
        <v>258</v>
      </c>
      <c r="B282" s="1133" t="s">
        <v>1921</v>
      </c>
      <c r="C282" s="1149" t="s">
        <v>1820</v>
      </c>
      <c r="D282" s="1154" t="s">
        <v>1415</v>
      </c>
      <c r="E282" s="1058" t="str">
        <f>VLOOKUP(B282,TH.Q2!B185:E516,4,FALSE)</f>
        <v>Giảng viên khoa Xây dựng - Nhiệt lạnh</v>
      </c>
      <c r="F282" s="1136">
        <v>4.6500000000000004</v>
      </c>
      <c r="G282" s="1137"/>
      <c r="H282" s="1400">
        <f t="shared" ref="H282:H288" si="31">ROUND(F282*G282,3)</f>
        <v>0</v>
      </c>
      <c r="I282" s="1138">
        <v>0.25</v>
      </c>
      <c r="J282" s="1138" t="str">
        <f>VLOOKUP(B282,'[25]Gui chi Quynh'!$B$11:$E$396,4,FALSE)</f>
        <v>A3</v>
      </c>
      <c r="K282" s="1138">
        <f t="shared" ref="K282:K288" si="32">IF(J282="A1",0.8,IF(J282="A2",0.7,IF(J282="A3",0.6,IF(J282="A4",0.5,IF(J282="B1",0.35,IF(J282="B2",0.25,IF(J282="C1",0.15,IF(J282="C2",0.1,0))))))))</f>
        <v>0.6</v>
      </c>
      <c r="L282" s="1139">
        <v>20</v>
      </c>
      <c r="M282" s="1139">
        <f>VLOOKUP(B282,'[26]CN BC'!$H$10:$J$275,3,FALSE)</f>
        <v>20</v>
      </c>
      <c r="N282" s="1139">
        <f t="shared" si="29"/>
        <v>20</v>
      </c>
      <c r="O282" s="1140"/>
      <c r="P282" s="1141">
        <f t="shared" si="30"/>
        <v>6879600</v>
      </c>
      <c r="Q282" s="1646">
        <f t="shared" ref="Q282:Q345" si="33">P282/R282</f>
        <v>2.94</v>
      </c>
      <c r="R282" s="1580">
        <v>2340000</v>
      </c>
      <c r="S282" s="1647">
        <f t="shared" ref="S282:S345" si="34">Q282*R282</f>
        <v>6879600</v>
      </c>
      <c r="T282" s="1142">
        <f t="shared" si="28"/>
        <v>258</v>
      </c>
      <c r="U282" s="1143">
        <f>IFERROR(INDEX('[26]CN BC'!$M$10:$M$276,MATCH(B282,'[26]CN BC'!$H$10:$H$276,0)),"")</f>
        <v>0</v>
      </c>
      <c r="V282" s="1144" t="str">
        <f>VLOOKUP(B282,TH.T4!B281:AC611,28,FALSE)</f>
        <v>XD-NL</v>
      </c>
      <c r="W282" s="1130"/>
      <c r="X282" s="1146"/>
      <c r="Y282" s="1147"/>
      <c r="Z282" s="1146"/>
      <c r="AA282" s="1146"/>
      <c r="AB282" s="1146"/>
      <c r="AC282" s="1146"/>
      <c r="AD282" s="1146"/>
      <c r="AE282" s="1146"/>
      <c r="AF282" s="1146"/>
      <c r="AG282" s="1146"/>
      <c r="AH282" s="1146"/>
      <c r="AI282" s="1146"/>
    </row>
    <row r="283" spans="1:35" s="1148" customFormat="1" ht="34.5" customHeight="1">
      <c r="A283" s="1132">
        <f>_xlfn.AGGREGATE(4,7,A$24:A282)+1</f>
        <v>259</v>
      </c>
      <c r="B283" s="1133" t="s">
        <v>1922</v>
      </c>
      <c r="C283" s="1153" t="s">
        <v>1821</v>
      </c>
      <c r="D283" s="1154" t="s">
        <v>392</v>
      </c>
      <c r="E283" s="1058" t="str">
        <f>VLOOKUP(B283,TH.Q2!B186:E517,4,FALSE)</f>
        <v>Giảng viên khoa Xây dựng - Nhiệt lạnh</v>
      </c>
      <c r="F283" s="1160">
        <v>3.66</v>
      </c>
      <c r="G283" s="1137"/>
      <c r="H283" s="1393">
        <f t="shared" si="31"/>
        <v>0</v>
      </c>
      <c r="I283" s="1138"/>
      <c r="J283" s="1138" t="str">
        <f>VLOOKUP(B283,'[25]Gui chi Quynh'!$B$11:$E$396,4,FALSE)</f>
        <v>A3</v>
      </c>
      <c r="K283" s="1138">
        <f t="shared" si="32"/>
        <v>0.6</v>
      </c>
      <c r="L283" s="1139">
        <v>20</v>
      </c>
      <c r="M283" s="1139">
        <f>VLOOKUP(B283,'[26]CN BC'!$H$10:$J$275,3,FALSE)</f>
        <v>20</v>
      </c>
      <c r="N283" s="1139">
        <f t="shared" si="29"/>
        <v>20</v>
      </c>
      <c r="O283" s="1140"/>
      <c r="P283" s="1141">
        <f t="shared" si="30"/>
        <v>5138640</v>
      </c>
      <c r="Q283" s="1646">
        <f t="shared" si="33"/>
        <v>2.1960000000000002</v>
      </c>
      <c r="R283" s="1580">
        <v>2340000</v>
      </c>
      <c r="S283" s="1647">
        <f t="shared" si="34"/>
        <v>5138640</v>
      </c>
      <c r="T283" s="1142">
        <f t="shared" si="28"/>
        <v>259</v>
      </c>
      <c r="U283" s="1143">
        <f>IFERROR(INDEX('[26]CN BC'!$M$10:$M$276,MATCH(B283,'[26]CN BC'!$H$10:$H$276,0)),"")</f>
        <v>0</v>
      </c>
      <c r="V283" s="1144" t="str">
        <f>VLOOKUP(B283,TH.T4!B282:AC612,28,FALSE)</f>
        <v>XD-NL</v>
      </c>
      <c r="W283" s="1171"/>
      <c r="Y283" s="1158"/>
    </row>
    <row r="284" spans="1:35" s="1148" customFormat="1" ht="34.5" customHeight="1">
      <c r="A284" s="1132">
        <f>_xlfn.AGGREGATE(4,7,A$24:A283)+1</f>
        <v>260</v>
      </c>
      <c r="B284" s="1133" t="s">
        <v>1923</v>
      </c>
      <c r="C284" s="1153" t="s">
        <v>1822</v>
      </c>
      <c r="D284" s="1168" t="s">
        <v>511</v>
      </c>
      <c r="E284" s="1058" t="str">
        <f>VLOOKUP(B284,TH.Q2!B187:E518,4,FALSE)</f>
        <v>Giảng viên khoa Xây dựng - Nhiệt lạnh</v>
      </c>
      <c r="F284" s="1160">
        <v>3.66</v>
      </c>
      <c r="G284" s="1137"/>
      <c r="H284" s="1393">
        <f t="shared" si="31"/>
        <v>0</v>
      </c>
      <c r="I284" s="1138"/>
      <c r="J284" s="1138" t="str">
        <f>VLOOKUP(B284,'[25]Gui chi Quynh'!$B$11:$E$396,4,FALSE)</f>
        <v>A3</v>
      </c>
      <c r="K284" s="1138">
        <f t="shared" si="32"/>
        <v>0.6</v>
      </c>
      <c r="L284" s="1139">
        <v>20</v>
      </c>
      <c r="M284" s="1139">
        <f>VLOOKUP(B284,'[26]CN BC'!$H$10:$J$275,3,FALSE)</f>
        <v>20</v>
      </c>
      <c r="N284" s="1139">
        <f t="shared" si="29"/>
        <v>20</v>
      </c>
      <c r="O284" s="1140"/>
      <c r="P284" s="1141">
        <f t="shared" si="30"/>
        <v>5138640</v>
      </c>
      <c r="Q284" s="1646">
        <f t="shared" si="33"/>
        <v>2.1960000000000002</v>
      </c>
      <c r="R284" s="1580">
        <v>2340000</v>
      </c>
      <c r="S284" s="1647">
        <f t="shared" si="34"/>
        <v>5138640</v>
      </c>
      <c r="T284" s="1142">
        <f t="shared" si="28"/>
        <v>260</v>
      </c>
      <c r="U284" s="1143">
        <f>IFERROR(INDEX('[26]CN BC'!$M$10:$M$276,MATCH(B284,'[26]CN BC'!$H$10:$H$276,0)),"")</f>
        <v>0</v>
      </c>
      <c r="V284" s="1144" t="str">
        <f>VLOOKUP(B284,TH.T4!B283:AC613,28,FALSE)</f>
        <v>XD-NL</v>
      </c>
      <c r="W284" s="1130"/>
      <c r="X284" s="1146"/>
      <c r="Y284" s="1158"/>
    </row>
    <row r="285" spans="1:35" s="1148" customFormat="1" ht="34.5" customHeight="1">
      <c r="A285" s="1132">
        <f>_xlfn.AGGREGATE(4,7,A$24:A284)+1</f>
        <v>261</v>
      </c>
      <c r="B285" s="1133" t="s">
        <v>1552</v>
      </c>
      <c r="C285" s="1153" t="s">
        <v>1823</v>
      </c>
      <c r="D285" s="1154" t="s">
        <v>1418</v>
      </c>
      <c r="E285" s="1058" t="str">
        <f>VLOOKUP(B285,TH.Q2!B188:E519,4,FALSE)</f>
        <v>Giảng viên khoa Xây dựng - Nhiệt lạnh</v>
      </c>
      <c r="F285" s="1136">
        <v>4.32</v>
      </c>
      <c r="G285" s="1137"/>
      <c r="H285" s="1393">
        <f t="shared" si="31"/>
        <v>0</v>
      </c>
      <c r="I285" s="1138"/>
      <c r="J285" s="1138" t="str">
        <f>VLOOKUP(B285,'[25]Gui chi Quynh'!$B$11:$E$396,4,FALSE)</f>
        <v>A4</v>
      </c>
      <c r="K285" s="1138">
        <f t="shared" si="32"/>
        <v>0.5</v>
      </c>
      <c r="L285" s="1139">
        <v>20</v>
      </c>
      <c r="M285" s="1139">
        <f>VLOOKUP(B285,'[26]CN BC'!$H$10:$J$275,3,FALSE)</f>
        <v>20</v>
      </c>
      <c r="N285" s="1139">
        <f t="shared" si="29"/>
        <v>20</v>
      </c>
      <c r="O285" s="1140"/>
      <c r="P285" s="1141">
        <f t="shared" si="30"/>
        <v>5054400</v>
      </c>
      <c r="Q285" s="1646">
        <f t="shared" si="33"/>
        <v>2.16</v>
      </c>
      <c r="R285" s="1580">
        <v>2340000</v>
      </c>
      <c r="S285" s="1647">
        <f t="shared" si="34"/>
        <v>5054400</v>
      </c>
      <c r="T285" s="1142">
        <f t="shared" si="28"/>
        <v>261</v>
      </c>
      <c r="U285" s="1143">
        <f>IFERROR(INDEX('[26]CN BC'!$M$10:$M$276,MATCH(B285,'[26]CN BC'!$H$10:$H$276,0)),"")</f>
        <v>0</v>
      </c>
      <c r="V285" s="1144" t="str">
        <f>VLOOKUP(B285,TH.T4!B284:AC614,28,FALSE)</f>
        <v>XD-NL</v>
      </c>
      <c r="W285" s="1130"/>
      <c r="X285" s="1146"/>
      <c r="Y285" s="1158"/>
    </row>
    <row r="286" spans="1:35" s="1148" customFormat="1" ht="34.5" customHeight="1">
      <c r="A286" s="1132">
        <f>_xlfn.AGGREGATE(4,7,A$24:A285)+1</f>
        <v>262</v>
      </c>
      <c r="B286" s="1133" t="s">
        <v>1940</v>
      </c>
      <c r="C286" s="1153" t="s">
        <v>1991</v>
      </c>
      <c r="D286" s="1154" t="s">
        <v>1992</v>
      </c>
      <c r="E286" s="1058" t="str">
        <f>VLOOKUP(B286,TH.Q2!B189:E520,4,FALSE)</f>
        <v>Giảng viên khoa Xây dựng - Nhiệt lạnh</v>
      </c>
      <c r="F286" s="1160">
        <v>3.33</v>
      </c>
      <c r="G286" s="1137"/>
      <c r="H286" s="1393">
        <f t="shared" si="31"/>
        <v>0</v>
      </c>
      <c r="I286" s="1138"/>
      <c r="J286" s="1138" t="str">
        <f>VLOOKUP(B286,'[25]Gui chi Quynh'!$B$11:$E$396,4,FALSE)</f>
        <v>A2</v>
      </c>
      <c r="K286" s="1138">
        <f t="shared" si="32"/>
        <v>0.7</v>
      </c>
      <c r="L286" s="1139">
        <v>20</v>
      </c>
      <c r="M286" s="1139">
        <f>VLOOKUP(B286,'[26]CN BC'!$H$10:$J$275,3,FALSE)</f>
        <v>20</v>
      </c>
      <c r="N286" s="1139">
        <f t="shared" si="29"/>
        <v>20</v>
      </c>
      <c r="O286" s="1140"/>
      <c r="P286" s="1141">
        <f t="shared" si="30"/>
        <v>5454540</v>
      </c>
      <c r="Q286" s="1646">
        <f t="shared" si="33"/>
        <v>2.331</v>
      </c>
      <c r="R286" s="1580">
        <v>2340000</v>
      </c>
      <c r="S286" s="1647">
        <f t="shared" si="34"/>
        <v>5454540</v>
      </c>
      <c r="T286" s="1142">
        <f t="shared" si="28"/>
        <v>262</v>
      </c>
      <c r="U286" s="1143">
        <f>IFERROR(INDEX('[26]CN BC'!$M$10:$M$276,MATCH(B286,'[26]CN BC'!$H$10:$H$276,0)),"")</f>
        <v>0</v>
      </c>
      <c r="V286" s="1144" t="str">
        <f>VLOOKUP(B286,TH.T4!B285:AC615,28,FALSE)</f>
        <v>XD-NL</v>
      </c>
      <c r="W286" s="1130"/>
      <c r="X286" s="1146"/>
      <c r="Y286" s="1147"/>
      <c r="Z286" s="1146"/>
      <c r="AA286" s="1146"/>
      <c r="AB286" s="1146"/>
      <c r="AC286" s="1146"/>
      <c r="AD286" s="1146"/>
      <c r="AE286" s="1146"/>
    </row>
    <row r="287" spans="1:35" s="1146" customFormat="1" ht="34.5" customHeight="1">
      <c r="A287" s="1132">
        <f>_xlfn.AGGREGATE(4,7,A$24:A286)+1</f>
        <v>263</v>
      </c>
      <c r="B287" s="1172" t="s">
        <v>1553</v>
      </c>
      <c r="C287" s="1149" t="s">
        <v>1824</v>
      </c>
      <c r="D287" s="1233">
        <v>1603205246186</v>
      </c>
      <c r="E287" s="1058" t="str">
        <f>VLOOKUP(B287,TH.Q2!B190:E521,4,FALSE)</f>
        <v>Giảng viên khoa Xây dựng - Nhiệt lạnh</v>
      </c>
      <c r="F287" s="1136">
        <v>4.9800000000000004</v>
      </c>
      <c r="G287" s="1137">
        <v>0.05</v>
      </c>
      <c r="H287" s="1393">
        <f t="shared" si="31"/>
        <v>0.249</v>
      </c>
      <c r="I287" s="1138"/>
      <c r="J287" s="1138" t="str">
        <f>VLOOKUP(B287,'[25]Gui chi Quynh'!$B$11:$E$396,4,FALSE)</f>
        <v>A3</v>
      </c>
      <c r="K287" s="1138">
        <f t="shared" si="32"/>
        <v>0.6</v>
      </c>
      <c r="L287" s="1139">
        <v>20</v>
      </c>
      <c r="M287" s="1139">
        <f>VLOOKUP(B287,'[26]CN BC'!$H$10:$J$275,3,FALSE)</f>
        <v>20</v>
      </c>
      <c r="N287" s="1139">
        <f t="shared" si="29"/>
        <v>20</v>
      </c>
      <c r="O287" s="1140"/>
      <c r="P287" s="1141">
        <f t="shared" si="30"/>
        <v>7341516</v>
      </c>
      <c r="Q287" s="1646">
        <f t="shared" si="33"/>
        <v>3.1374</v>
      </c>
      <c r="R287" s="1580">
        <v>2340000</v>
      </c>
      <c r="S287" s="1647">
        <f t="shared" si="34"/>
        <v>7341516</v>
      </c>
      <c r="T287" s="1142">
        <f t="shared" si="28"/>
        <v>263</v>
      </c>
      <c r="U287" s="1143">
        <f>IFERROR(INDEX('[26]CN BC'!$M$10:$M$276,MATCH(B287,'[26]CN BC'!$H$10:$H$276,0)),"")</f>
        <v>0</v>
      </c>
      <c r="V287" s="1144" t="str">
        <f>VLOOKUP(B287,TH.T4!B286:AC616,28,FALSE)</f>
        <v>XD-NL</v>
      </c>
      <c r="W287" s="1628"/>
      <c r="Y287" s="1147"/>
    </row>
    <row r="288" spans="1:35" s="1148" customFormat="1" ht="34.5" customHeight="1">
      <c r="A288" s="1132">
        <f>_xlfn.AGGREGATE(4,7,A$24:A287)+1</f>
        <v>264</v>
      </c>
      <c r="B288" s="1133" t="s">
        <v>1560</v>
      </c>
      <c r="C288" s="1234" t="s">
        <v>1825</v>
      </c>
      <c r="D288" s="1235">
        <v>1603215002692</v>
      </c>
      <c r="E288" s="1058" t="str">
        <f>VLOOKUP(B288,TH.Q2!B191:E522,4,FALSE)</f>
        <v>Phó Trưởng khoa Xây dựng - Nhiệt lạnh</v>
      </c>
      <c r="F288" s="1346">
        <v>3.33</v>
      </c>
      <c r="G288" s="1344"/>
      <c r="H288" s="1402">
        <f t="shared" si="31"/>
        <v>0</v>
      </c>
      <c r="I288" s="1138">
        <v>0.35</v>
      </c>
      <c r="J288" s="1138" t="str">
        <f>VLOOKUP(B288,'[25]Gui chi Quynh'!$B$11:$E$396,4,FALSE)</f>
        <v>A2</v>
      </c>
      <c r="K288" s="1138">
        <f t="shared" si="32"/>
        <v>0.7</v>
      </c>
      <c r="L288" s="1139">
        <v>20</v>
      </c>
      <c r="M288" s="1139">
        <f>VLOOKUP(B288,'[26]CN BC'!$H$10:$J$275,3,FALSE)</f>
        <v>20</v>
      </c>
      <c r="N288" s="1139">
        <f t="shared" si="29"/>
        <v>20</v>
      </c>
      <c r="O288" s="1140"/>
      <c r="P288" s="1141">
        <f t="shared" si="30"/>
        <v>6027840</v>
      </c>
      <c r="Q288" s="1646">
        <f t="shared" si="33"/>
        <v>2.5760000000000001</v>
      </c>
      <c r="R288" s="1580">
        <v>2340000</v>
      </c>
      <c r="S288" s="1647">
        <f t="shared" si="34"/>
        <v>6027840</v>
      </c>
      <c r="T288" s="1142">
        <f t="shared" si="28"/>
        <v>264</v>
      </c>
      <c r="U288" s="1143">
        <f>IFERROR(INDEX('[26]CN BC'!$M$10:$M$276,MATCH(B288,'[26]CN BC'!$H$10:$H$276,0)),"")</f>
        <v>0</v>
      </c>
      <c r="V288" s="1144" t="str">
        <f>VLOOKUP(B288,TH.T4!B287:AC617,28,FALSE)</f>
        <v>XD-NL</v>
      </c>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_xlfn.AGGREGATE(4,7,A$24:A288)+1</f>
        <v>265</v>
      </c>
      <c r="B289" s="1476" t="s">
        <v>2029</v>
      </c>
      <c r="C289" s="1497"/>
      <c r="D289" s="1498"/>
      <c r="E289" s="1058" t="str">
        <f>VLOOKUP(B289,TH.Q2!B192:E523,4,FALSE)</f>
        <v xml:space="preserve">NV Bảo vệ </v>
      </c>
      <c r="F289" s="1503"/>
      <c r="G289" s="1500"/>
      <c r="H289" s="1504"/>
      <c r="I289" s="1505"/>
      <c r="J289" s="1505"/>
      <c r="K289" s="1505"/>
      <c r="L289" s="1506"/>
      <c r="M289" s="1506"/>
      <c r="N289" s="1506"/>
      <c r="O289" s="1507"/>
      <c r="P289" s="1508">
        <v>3077835</v>
      </c>
      <c r="Q289" s="1646">
        <f t="shared" si="33"/>
        <v>1.3153141025641026</v>
      </c>
      <c r="R289" s="1580">
        <v>2340000</v>
      </c>
      <c r="S289" s="1647">
        <f t="shared" si="34"/>
        <v>3077835</v>
      </c>
      <c r="T289" s="1142">
        <f t="shared" si="28"/>
        <v>265</v>
      </c>
      <c r="U289" s="1143">
        <f>VLOOKUP(B289,'[26]CN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_xlfn.AGGREGATE(4,7,A$24:A289)+1</f>
        <v>266</v>
      </c>
      <c r="B290" s="1476" t="s">
        <v>2035</v>
      </c>
      <c r="C290" s="1497"/>
      <c r="D290" s="1498"/>
      <c r="E290" s="1058" t="str">
        <f>VLOOKUP(B290,TH.Q2!B193:E524,4,FALSE)</f>
        <v>NV Bảo vệ</v>
      </c>
      <c r="F290" s="1503"/>
      <c r="G290" s="1500"/>
      <c r="H290" s="1504"/>
      <c r="I290" s="1505"/>
      <c r="J290" s="1505"/>
      <c r="K290" s="1505"/>
      <c r="L290" s="1506"/>
      <c r="M290" s="1506"/>
      <c r="N290" s="1506"/>
      <c r="O290" s="1507"/>
      <c r="P290" s="1508">
        <v>2296728</v>
      </c>
      <c r="Q290" s="1646">
        <f t="shared" si="33"/>
        <v>0.9815076923076923</v>
      </c>
      <c r="R290" s="1580">
        <v>2340000</v>
      </c>
      <c r="S290" s="1647">
        <f t="shared" si="34"/>
        <v>2296728</v>
      </c>
      <c r="T290" s="1142">
        <f t="shared" si="28"/>
        <v>266</v>
      </c>
      <c r="U290" s="1143" t="str">
        <f>VLOOKUP(B290,'[26]CN HĐ'!$H$10:$M$73,6,FALSE)</f>
        <v>Trừ 1 ngày nghỉ phép 7/11</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132">
        <f>_xlfn.AGGREGATE(4,7,A$24:A290)+1</f>
        <v>267</v>
      </c>
      <c r="B291" s="1476" t="s">
        <v>2037</v>
      </c>
      <c r="C291" s="1497"/>
      <c r="D291" s="1498"/>
      <c r="E291" s="1058" t="str">
        <f>VLOOKUP(B291,TH.Q2!B194:E525,4,FALSE)</f>
        <v>NV Bảo vệ</v>
      </c>
      <c r="F291" s="1503"/>
      <c r="G291" s="1500"/>
      <c r="H291" s="1504"/>
      <c r="I291" s="1505"/>
      <c r="J291" s="1505"/>
      <c r="K291" s="1505"/>
      <c r="L291" s="1506"/>
      <c r="M291" s="1506"/>
      <c r="N291" s="1506"/>
      <c r="O291" s="1507"/>
      <c r="P291" s="1508">
        <v>5519488</v>
      </c>
      <c r="Q291" s="1646">
        <f t="shared" si="33"/>
        <v>2.3587555555555557</v>
      </c>
      <c r="R291" s="1580">
        <v>2340000</v>
      </c>
      <c r="S291" s="1647">
        <f t="shared" si="34"/>
        <v>5519488</v>
      </c>
      <c r="T291" s="1142">
        <f t="shared" si="28"/>
        <v>267</v>
      </c>
      <c r="U291" s="1143">
        <f>VLOOKUP(B291,'[26]CN HĐ'!$H$10:$M$73,6,FALSE)</f>
        <v>0</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_xlfn.AGGREGATE(4,7,A$24:A291)+1</f>
        <v>268</v>
      </c>
      <c r="B292" s="1476" t="s">
        <v>2039</v>
      </c>
      <c r="C292" s="1497"/>
      <c r="D292" s="1498"/>
      <c r="E292" s="1058" t="str">
        <f>VLOOKUP(B292,TH.Q2!B195:E526,4,FALSE)</f>
        <v xml:space="preserve">NV Bảo vệ </v>
      </c>
      <c r="F292" s="1503"/>
      <c r="G292" s="1500"/>
      <c r="H292" s="1504"/>
      <c r="I292" s="1505"/>
      <c r="J292" s="1505"/>
      <c r="K292" s="1505"/>
      <c r="L292" s="1506"/>
      <c r="M292" s="1506"/>
      <c r="N292" s="1506"/>
      <c r="O292" s="1507"/>
      <c r="P292" s="1508">
        <v>3231727</v>
      </c>
      <c r="Q292" s="1646">
        <f t="shared" si="33"/>
        <v>1.3810799145299146</v>
      </c>
      <c r="R292" s="1580">
        <v>2340000</v>
      </c>
      <c r="S292" s="1647">
        <f t="shared" si="34"/>
        <v>3231727.0000000005</v>
      </c>
      <c r="T292" s="1142">
        <f t="shared" ref="T292:T352" si="35">A292</f>
        <v>268</v>
      </c>
      <c r="U292" s="1143">
        <f>VLOOKUP(B292,'[26]CN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_xlfn.AGGREGATE(4,7,A$24:A292)+1</f>
        <v>269</v>
      </c>
      <c r="B293" s="1476" t="s">
        <v>2041</v>
      </c>
      <c r="C293" s="1497"/>
      <c r="D293" s="1498"/>
      <c r="E293" s="1058" t="str">
        <f>VLOOKUP(B293,TH.Q2!B196:E527,4,FALSE)</f>
        <v>Nhân viên bảo vệ</v>
      </c>
      <c r="F293" s="1503"/>
      <c r="G293" s="1500"/>
      <c r="H293" s="1504"/>
      <c r="I293" s="1505"/>
      <c r="J293" s="1505"/>
      <c r="K293" s="1505"/>
      <c r="L293" s="1506"/>
      <c r="M293" s="1506"/>
      <c r="N293" s="1506"/>
      <c r="O293" s="1507"/>
      <c r="P293" s="1508">
        <v>5071207</v>
      </c>
      <c r="Q293" s="1646">
        <f t="shared" si="33"/>
        <v>2.1671824786324785</v>
      </c>
      <c r="R293" s="1580">
        <v>2340000</v>
      </c>
      <c r="S293" s="1647">
        <f t="shared" si="34"/>
        <v>5071207</v>
      </c>
      <c r="T293" s="1142">
        <f t="shared" si="35"/>
        <v>269</v>
      </c>
      <c r="U293" s="1143">
        <f>VLOOKUP(B293,'[26]CN HĐ'!$H$10:$M$73,6,FALSE)</f>
        <v>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_xlfn.AGGREGATE(4,7,A$24:A293)+1</f>
        <v>270</v>
      </c>
      <c r="B294" s="1476" t="s">
        <v>2043</v>
      </c>
      <c r="C294" s="1497"/>
      <c r="D294" s="1498"/>
      <c r="E294" s="1058" t="str">
        <f>VLOOKUP(B294,TH.Q2!B197:E528,4,FALSE)</f>
        <v xml:space="preserve">NV Bảo vệ </v>
      </c>
      <c r="F294" s="1503"/>
      <c r="G294" s="1500"/>
      <c r="H294" s="1504"/>
      <c r="I294" s="1505"/>
      <c r="J294" s="1505"/>
      <c r="K294" s="1505"/>
      <c r="L294" s="1506"/>
      <c r="M294" s="1506"/>
      <c r="N294" s="1506"/>
      <c r="O294" s="1507"/>
      <c r="P294" s="1508">
        <v>3958865</v>
      </c>
      <c r="Q294" s="1646">
        <f t="shared" si="33"/>
        <v>1.6918226495726496</v>
      </c>
      <c r="R294" s="1580">
        <v>2340000</v>
      </c>
      <c r="S294" s="1647">
        <f t="shared" si="34"/>
        <v>3958865</v>
      </c>
      <c r="T294" s="1142">
        <f t="shared" si="35"/>
        <v>270</v>
      </c>
      <c r="U294" s="1143">
        <f>VLOOKUP(B294,'[26]CN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132">
        <f>_xlfn.AGGREGATE(4,7,A$24:A294)+1</f>
        <v>271</v>
      </c>
      <c r="B295" s="1476" t="s">
        <v>2046</v>
      </c>
      <c r="C295" s="1497"/>
      <c r="D295" s="1498"/>
      <c r="E295" s="1058" t="str">
        <f>VLOOKUP(B295,TH.Q2!B198:E529,4,FALSE)</f>
        <v>NV Bảo vệ</v>
      </c>
      <c r="F295" s="1503"/>
      <c r="G295" s="1500"/>
      <c r="H295" s="1504"/>
      <c r="I295" s="1505"/>
      <c r="J295" s="1505"/>
      <c r="K295" s="1505"/>
      <c r="L295" s="1506"/>
      <c r="M295" s="1506"/>
      <c r="N295" s="1506"/>
      <c r="O295" s="1507"/>
      <c r="P295" s="1508">
        <v>2658750</v>
      </c>
      <c r="Q295" s="1646">
        <f t="shared" si="33"/>
        <v>1.1362179487179487</v>
      </c>
      <c r="R295" s="1580">
        <v>2340000</v>
      </c>
      <c r="S295" s="1647">
        <f t="shared" si="34"/>
        <v>2658750</v>
      </c>
      <c r="T295" s="1142">
        <f t="shared" si="35"/>
        <v>271</v>
      </c>
      <c r="U295" s="1143">
        <f>VLOOKUP(B295,'[26]CN HĐ'!$H$10:$M$73,6,FALSE)</f>
        <v>0</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_xlfn.AGGREGATE(4,7,A$24:A295)+1</f>
        <v>272</v>
      </c>
      <c r="B296" s="1476" t="s">
        <v>2049</v>
      </c>
      <c r="C296" s="1497"/>
      <c r="D296" s="1498"/>
      <c r="E296" s="1058" t="str">
        <f>VLOOKUP(B296,TH.Q2!B199:E530,4,FALSE)</f>
        <v>NV Bảo vệ</v>
      </c>
      <c r="F296" s="1503"/>
      <c r="G296" s="1500"/>
      <c r="H296" s="1504"/>
      <c r="I296" s="1505"/>
      <c r="J296" s="1505"/>
      <c r="K296" s="1505"/>
      <c r="L296" s="1506"/>
      <c r="M296" s="1506"/>
      <c r="N296" s="1506"/>
      <c r="O296" s="1507"/>
      <c r="P296" s="1508">
        <v>2658750</v>
      </c>
      <c r="Q296" s="1646">
        <f t="shared" si="33"/>
        <v>1.1362179487179487</v>
      </c>
      <c r="R296" s="1580">
        <v>2340000</v>
      </c>
      <c r="S296" s="1647">
        <f t="shared" si="34"/>
        <v>2658750</v>
      </c>
      <c r="T296" s="1142">
        <f t="shared" si="35"/>
        <v>272</v>
      </c>
      <c r="U296" s="1143">
        <f>VLOOKUP(B296,'[26]CN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_xlfn.AGGREGATE(4,7,A$24:A296)+1</f>
        <v>273</v>
      </c>
      <c r="B297" s="1476" t="s">
        <v>2052</v>
      </c>
      <c r="C297" s="1497"/>
      <c r="D297" s="1498"/>
      <c r="E297" s="1058" t="str">
        <f>VLOOKUP(B297,TH.Q2!B200:E531,4,FALSE)</f>
        <v>NV Bảo vệ</v>
      </c>
      <c r="F297" s="1503"/>
      <c r="G297" s="1500"/>
      <c r="H297" s="1504"/>
      <c r="I297" s="1505"/>
      <c r="J297" s="1505"/>
      <c r="K297" s="1505"/>
      <c r="L297" s="1506"/>
      <c r="M297" s="1506"/>
      <c r="N297" s="1506"/>
      <c r="O297" s="1507"/>
      <c r="P297" s="1508">
        <v>4739446</v>
      </c>
      <c r="Q297" s="1646">
        <f t="shared" si="33"/>
        <v>2.0254042735042734</v>
      </c>
      <c r="R297" s="1580">
        <v>2340000</v>
      </c>
      <c r="S297" s="1647">
        <f t="shared" si="34"/>
        <v>4739446</v>
      </c>
      <c r="T297" s="1142">
        <f t="shared" si="35"/>
        <v>273</v>
      </c>
      <c r="U297" s="1143">
        <f>VLOOKUP(B297,'[26]CN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_xlfn.AGGREGATE(4,7,A$24:A297)+1</f>
        <v>274</v>
      </c>
      <c r="B298" s="1476" t="s">
        <v>2053</v>
      </c>
      <c r="C298" s="1497"/>
      <c r="D298" s="1498"/>
      <c r="E298" s="1058" t="str">
        <f>VLOOKUP(B298,TH.Q2!B201:E532,4,FALSE)</f>
        <v>NV Bảo vệ</v>
      </c>
      <c r="F298" s="1503"/>
      <c r="G298" s="1500"/>
      <c r="H298" s="1504"/>
      <c r="I298" s="1505"/>
      <c r="J298" s="1505"/>
      <c r="K298" s="1505"/>
      <c r="L298" s="1506"/>
      <c r="M298" s="1506"/>
      <c r="N298" s="1506"/>
      <c r="O298" s="1507"/>
      <c r="P298" s="1508">
        <v>2083200</v>
      </c>
      <c r="Q298" s="1646">
        <f t="shared" si="33"/>
        <v>0.89025641025641022</v>
      </c>
      <c r="R298" s="1580">
        <v>2340000</v>
      </c>
      <c r="S298" s="1647">
        <f t="shared" si="34"/>
        <v>2083200</v>
      </c>
      <c r="T298" s="1142">
        <f t="shared" si="35"/>
        <v>274</v>
      </c>
      <c r="U298" s="1143">
        <f>VLOOKUP(B298,'[26]CN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_xlfn.AGGREGATE(4,7,A$24:A298)+1</f>
        <v>275</v>
      </c>
      <c r="B299" s="1476" t="s">
        <v>2054</v>
      </c>
      <c r="C299" s="1497"/>
      <c r="D299" s="1498"/>
      <c r="E299" s="1058" t="str">
        <f>VLOOKUP(B299,TH.Q2!B202:E533,4,FALSE)</f>
        <v>NV Lái xe</v>
      </c>
      <c r="F299" s="1503"/>
      <c r="G299" s="1500"/>
      <c r="H299" s="1504"/>
      <c r="I299" s="1505"/>
      <c r="J299" s="1505"/>
      <c r="K299" s="1505"/>
      <c r="L299" s="1506"/>
      <c r="M299" s="1506"/>
      <c r="N299" s="1506"/>
      <c r="O299" s="1507"/>
      <c r="P299" s="1508">
        <v>5324581</v>
      </c>
      <c r="Q299" s="1646">
        <f t="shared" si="33"/>
        <v>2.2754619658119659</v>
      </c>
      <c r="R299" s="1580">
        <v>2340000</v>
      </c>
      <c r="S299" s="1647">
        <f t="shared" si="34"/>
        <v>5324581</v>
      </c>
      <c r="T299" s="1142">
        <f t="shared" si="35"/>
        <v>275</v>
      </c>
      <c r="U299" s="1143">
        <f>VLOOKUP(B299,'[26]CN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_xlfn.AGGREGATE(4,7,A$24:A299)+1</f>
        <v>276</v>
      </c>
      <c r="B300" s="1476" t="s">
        <v>2055</v>
      </c>
      <c r="C300" s="1497"/>
      <c r="D300" s="1498"/>
      <c r="E300" s="1058" t="str">
        <f>VLOOKUP(B300,TH.Q2!B203:E534,4,FALSE)</f>
        <v>NV Phuc vụ Phòng TC - HC - TH</v>
      </c>
      <c r="F300" s="1503"/>
      <c r="G300" s="1500"/>
      <c r="H300" s="1504"/>
      <c r="I300" s="1505"/>
      <c r="J300" s="1505"/>
      <c r="K300" s="1505"/>
      <c r="L300" s="1506"/>
      <c r="M300" s="1506"/>
      <c r="N300" s="1506"/>
      <c r="O300" s="1507"/>
      <c r="P300" s="1508">
        <v>2813492</v>
      </c>
      <c r="Q300" s="1646">
        <f t="shared" si="33"/>
        <v>1.2023470085470085</v>
      </c>
      <c r="R300" s="1580">
        <v>2340000</v>
      </c>
      <c r="S300" s="1647">
        <f t="shared" si="34"/>
        <v>2813492</v>
      </c>
      <c r="T300" s="1142">
        <f t="shared" si="35"/>
        <v>276</v>
      </c>
      <c r="U300" s="1143">
        <f>VLOOKUP(B300,'[26]CN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_xlfn.AGGREGATE(4,7,A$24:A300)+1</f>
        <v>277</v>
      </c>
      <c r="B301" s="1476" t="s">
        <v>2056</v>
      </c>
      <c r="C301" s="1497"/>
      <c r="D301" s="1498"/>
      <c r="E301" s="1058" t="str">
        <f>VLOOKUP(B301,TH.Q2!B204:E535,4,FALSE)</f>
        <v>Nhân viên phòng Thanh tra GD - Công tác SV</v>
      </c>
      <c r="F301" s="1503"/>
      <c r="G301" s="1500"/>
      <c r="H301" s="1504"/>
      <c r="I301" s="1505"/>
      <c r="J301" s="1505"/>
      <c r="K301" s="1505"/>
      <c r="L301" s="1506"/>
      <c r="M301" s="1506"/>
      <c r="N301" s="1506"/>
      <c r="O301" s="1507"/>
      <c r="P301" s="1508">
        <v>4739446</v>
      </c>
      <c r="Q301" s="1646">
        <f t="shared" si="33"/>
        <v>2.0254042735042734</v>
      </c>
      <c r="R301" s="1580">
        <v>2340000</v>
      </c>
      <c r="S301" s="1647">
        <f t="shared" si="34"/>
        <v>4739446</v>
      </c>
      <c r="T301" s="1142">
        <f t="shared" si="35"/>
        <v>277</v>
      </c>
      <c r="U301" s="1143">
        <f>VLOOKUP(B301,'[26]CN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_xlfn.AGGREGATE(4,7,A$24:A301)+1</f>
        <v>278</v>
      </c>
      <c r="B302" s="1476" t="s">
        <v>2057</v>
      </c>
      <c r="C302" s="1497"/>
      <c r="D302" s="1498"/>
      <c r="E302" s="1058" t="str">
        <f>VLOOKUP(B302,TH.Q2!B205:E536,4,FALSE)</f>
        <v>NV Phòng Tổ chức - Hành chính - Tổng hợp</v>
      </c>
      <c r="F302" s="1503"/>
      <c r="G302" s="1500"/>
      <c r="H302" s="1504"/>
      <c r="I302" s="1505"/>
      <c r="J302" s="1505"/>
      <c r="K302" s="1505"/>
      <c r="L302" s="1506"/>
      <c r="M302" s="1506"/>
      <c r="N302" s="1506"/>
      <c r="O302" s="1507"/>
      <c r="P302" s="1508">
        <v>7204758.7200000007</v>
      </c>
      <c r="Q302" s="1646">
        <f t="shared" si="33"/>
        <v>3.0789567179487181</v>
      </c>
      <c r="R302" s="1580">
        <v>2340000</v>
      </c>
      <c r="S302" s="1647">
        <f t="shared" si="34"/>
        <v>7204758.7200000007</v>
      </c>
      <c r="T302" s="1142">
        <f t="shared" si="35"/>
        <v>278</v>
      </c>
      <c r="U302" s="1143" t="str">
        <f>VLOOKUP(B302,'[26]CN HĐ'!$H$10:$M$73,6,FALSE)</f>
        <v>Trừ 2 ngày nghỉ phép 25+26/11</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_xlfn.AGGREGATE(4,7,A$24:A302)+1</f>
        <v>279</v>
      </c>
      <c r="B303" s="1476" t="s">
        <v>2059</v>
      </c>
      <c r="C303" s="1497"/>
      <c r="D303" s="1498"/>
      <c r="E303" s="1058" t="str">
        <f>VLOOKUP(B303,TH.Q2!B206:E537,4,FALSE)</f>
        <v>Nhân viên bảo vệ</v>
      </c>
      <c r="F303" s="1503"/>
      <c r="G303" s="1500"/>
      <c r="H303" s="1504"/>
      <c r="I303" s="1505"/>
      <c r="J303" s="1505"/>
      <c r="K303" s="1505"/>
      <c r="L303" s="1506"/>
      <c r="M303" s="1506"/>
      <c r="N303" s="1506"/>
      <c r="O303" s="1507"/>
      <c r="P303" s="1508">
        <v>2083200</v>
      </c>
      <c r="Q303" s="1646">
        <f t="shared" si="33"/>
        <v>0.89025641025641022</v>
      </c>
      <c r="R303" s="1580">
        <v>2340000</v>
      </c>
      <c r="S303" s="1647">
        <f t="shared" si="34"/>
        <v>2083200</v>
      </c>
      <c r="T303" s="1142">
        <f t="shared" si="35"/>
        <v>279</v>
      </c>
      <c r="U303" s="1143" t="str">
        <f>VLOOKUP(B303,'[26]CN HĐ'!$H$10:$M$73,6,FALSE)</f>
        <v>Trừ 1 ngày nghỉ phép 8/11</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_xlfn.AGGREGATE(4,7,A$24:A303)+1</f>
        <v>280</v>
      </c>
      <c r="B304" s="1476" t="s">
        <v>2060</v>
      </c>
      <c r="C304" s="1497"/>
      <c r="D304" s="1498"/>
      <c r="E304" s="1058" t="str">
        <f>VLOOKUP(B304,TH.Q2!B207:E538,4,FALSE)</f>
        <v>NV Phòng Tổ chức - Hành chính - Tổng hợp</v>
      </c>
      <c r="F304" s="1503"/>
      <c r="G304" s="1500"/>
      <c r="H304" s="1504"/>
      <c r="I304" s="1505"/>
      <c r="J304" s="1505"/>
      <c r="K304" s="1505"/>
      <c r="L304" s="1506"/>
      <c r="M304" s="1506"/>
      <c r="N304" s="1506"/>
      <c r="O304" s="1507"/>
      <c r="P304" s="1508">
        <v>6647317.9999999991</v>
      </c>
      <c r="Q304" s="1646">
        <f t="shared" si="33"/>
        <v>2.8407341880341876</v>
      </c>
      <c r="R304" s="1580">
        <v>2340000</v>
      </c>
      <c r="S304" s="1647">
        <f t="shared" si="34"/>
        <v>6647317.9999999991</v>
      </c>
      <c r="T304" s="1142">
        <f t="shared" si="35"/>
        <v>280</v>
      </c>
      <c r="U304" s="1143">
        <f>VLOOKUP(B304,'[26]CN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214">
        <f>_xlfn.AGGREGATE(4,7,A$24:A304)+1</f>
        <v>281</v>
      </c>
      <c r="B305" s="1488" t="s">
        <v>2062</v>
      </c>
      <c r="C305" s="1536"/>
      <c r="D305" s="1537"/>
      <c r="E305" s="579" t="str">
        <f>VLOOKUP(B305,TH.Q2!B208:E539,4,FALSE)</f>
        <v>NV P. QT 
Dịch vụ</v>
      </c>
      <c r="F305" s="1542"/>
      <c r="G305" s="1539"/>
      <c r="H305" s="1543"/>
      <c r="I305" s="1544"/>
      <c r="J305" s="1544"/>
      <c r="K305" s="1544"/>
      <c r="L305" s="1545"/>
      <c r="M305" s="1545"/>
      <c r="N305" s="1545"/>
      <c r="O305" s="1546"/>
      <c r="P305" s="1547">
        <v>0</v>
      </c>
      <c r="Q305" s="1648">
        <f t="shared" si="33"/>
        <v>0</v>
      </c>
      <c r="R305" s="1359">
        <v>2340000</v>
      </c>
      <c r="S305" s="1649">
        <f t="shared" si="34"/>
        <v>0</v>
      </c>
      <c r="T305" s="1142">
        <f t="shared" si="35"/>
        <v>281</v>
      </c>
      <c r="U305" s="1350" t="str">
        <f>VLOOKUP(B305,'[26]CN HĐ'!$H$10:$M$73,6,FALSE)</f>
        <v>Nghỉ hộ sản hưởng chế độ BHXH từ 01/8/24</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_xlfn.AGGREGATE(4,7,A$24:A305)+1</f>
        <v>282</v>
      </c>
      <c r="B306" s="1476" t="s">
        <v>2065</v>
      </c>
      <c r="C306" s="1497"/>
      <c r="D306" s="1498"/>
      <c r="E306" s="1058" t="str">
        <f>VLOOKUP(B306,TH.Q2!B209:E540,4,FALSE)</f>
        <v>NV Phòng Quản trị - Dịch vụ</v>
      </c>
      <c r="F306" s="1503"/>
      <c r="G306" s="1500"/>
      <c r="H306" s="1504"/>
      <c r="I306" s="1505"/>
      <c r="J306" s="1505"/>
      <c r="K306" s="1505"/>
      <c r="L306" s="1506"/>
      <c r="M306" s="1506"/>
      <c r="N306" s="1506"/>
      <c r="O306" s="1507"/>
      <c r="P306" s="1508">
        <v>7044421.0000000009</v>
      </c>
      <c r="Q306" s="1646">
        <f t="shared" si="33"/>
        <v>3.0104363247863253</v>
      </c>
      <c r="R306" s="1580">
        <v>2340000</v>
      </c>
      <c r="S306" s="1647">
        <f t="shared" si="34"/>
        <v>7044421.0000000009</v>
      </c>
      <c r="T306" s="1142">
        <f t="shared" si="35"/>
        <v>282</v>
      </c>
      <c r="U306" s="1143">
        <f>VLOOKUP(B306,'[26]CN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_xlfn.AGGREGATE(4,7,A$24:A306)+1</f>
        <v>283</v>
      </c>
      <c r="B307" s="1476" t="s">
        <v>2067</v>
      </c>
      <c r="C307" s="1497"/>
      <c r="D307" s="1498"/>
      <c r="E307" s="1058" t="str">
        <f>VLOOKUP(B307,TH.Q2!B210:E541,4,FALSE)</f>
        <v>NV bảo trì</v>
      </c>
      <c r="F307" s="1503"/>
      <c r="G307" s="1500"/>
      <c r="H307" s="1504"/>
      <c r="I307" s="1505"/>
      <c r="J307" s="1505"/>
      <c r="K307" s="1505"/>
      <c r="L307" s="1506"/>
      <c r="M307" s="1506"/>
      <c r="N307" s="1506"/>
      <c r="O307" s="1507"/>
      <c r="P307" s="1508">
        <v>7755205</v>
      </c>
      <c r="Q307" s="1646">
        <f t="shared" si="33"/>
        <v>3.3141901709401709</v>
      </c>
      <c r="R307" s="1580">
        <v>2340000</v>
      </c>
      <c r="S307" s="1647">
        <f t="shared" si="34"/>
        <v>7755205</v>
      </c>
      <c r="T307" s="1142">
        <f t="shared" si="35"/>
        <v>283</v>
      </c>
      <c r="U307" s="1143">
        <f>VLOOKUP(B307,'[26]CN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_xlfn.AGGREGATE(4,7,A$24:A307)+1</f>
        <v>284</v>
      </c>
      <c r="B308" s="1476" t="s">
        <v>2069</v>
      </c>
      <c r="C308" s="1497"/>
      <c r="D308" s="1498"/>
      <c r="E308" s="1058" t="str">
        <f>VLOOKUP(B308,TH.Q2!B211:E542,4,FALSE)</f>
        <v>NV P. QT 
Dịch vụ</v>
      </c>
      <c r="F308" s="1503"/>
      <c r="G308" s="1500"/>
      <c r="H308" s="1504"/>
      <c r="I308" s="1505"/>
      <c r="J308" s="1505"/>
      <c r="K308" s="1505"/>
      <c r="L308" s="1506"/>
      <c r="M308" s="1506"/>
      <c r="N308" s="1506"/>
      <c r="O308" s="1507"/>
      <c r="P308" s="1508">
        <v>6085236</v>
      </c>
      <c r="Q308" s="1646">
        <f t="shared" si="33"/>
        <v>2.6005282051282053</v>
      </c>
      <c r="R308" s="1580">
        <v>2340000</v>
      </c>
      <c r="S308" s="1647">
        <f t="shared" si="34"/>
        <v>6085236</v>
      </c>
      <c r="T308" s="1142">
        <f t="shared" si="35"/>
        <v>284</v>
      </c>
      <c r="U308" s="1143">
        <f>VLOOKUP(B308,'[26]CN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_xlfn.AGGREGATE(4,7,A$24:A308)+1</f>
        <v>285</v>
      </c>
      <c r="B309" s="1476" t="s">
        <v>2073</v>
      </c>
      <c r="C309" s="1497"/>
      <c r="D309" s="1498"/>
      <c r="E309" s="1058" t="str">
        <f>VLOOKUP(B309,TH.Q2!B212:E543,4,FALSE)</f>
        <v>NV P. QT 
Dịch vụ</v>
      </c>
      <c r="F309" s="1503"/>
      <c r="G309" s="1500"/>
      <c r="H309" s="1504"/>
      <c r="I309" s="1505"/>
      <c r="J309" s="1505"/>
      <c r="K309" s="1505"/>
      <c r="L309" s="1506"/>
      <c r="M309" s="1506"/>
      <c r="N309" s="1506"/>
      <c r="O309" s="1507"/>
      <c r="P309" s="1508">
        <v>5031729</v>
      </c>
      <c r="Q309" s="1646">
        <f t="shared" si="33"/>
        <v>2.1503115384615383</v>
      </c>
      <c r="R309" s="1580">
        <v>2340000</v>
      </c>
      <c r="S309" s="1647">
        <f t="shared" si="34"/>
        <v>5031729</v>
      </c>
      <c r="T309" s="1142">
        <f t="shared" si="35"/>
        <v>285</v>
      </c>
      <c r="U309" s="1143">
        <f>VLOOKUP(B309,'[26]CN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_xlfn.AGGREGATE(4,7,A$24:A309)+1</f>
        <v>286</v>
      </c>
      <c r="B310" s="1476" t="s">
        <v>2075</v>
      </c>
      <c r="C310" s="1497"/>
      <c r="D310" s="1498"/>
      <c r="E310" s="1058" t="str">
        <f>VLOOKUP(B310,TH.Q2!B213:E544,4,FALSE)</f>
        <v>NV Phục vụ</v>
      </c>
      <c r="F310" s="1503"/>
      <c r="G310" s="1500"/>
      <c r="H310" s="1504"/>
      <c r="I310" s="1505"/>
      <c r="J310" s="1505"/>
      <c r="K310" s="1505"/>
      <c r="L310" s="1506"/>
      <c r="M310" s="1506"/>
      <c r="N310" s="1506"/>
      <c r="O310" s="1507"/>
      <c r="P310" s="1508">
        <v>4156808.9999999995</v>
      </c>
      <c r="Q310" s="1646">
        <f t="shared" si="33"/>
        <v>1.7764141025641023</v>
      </c>
      <c r="R310" s="1580">
        <v>2340000</v>
      </c>
      <c r="S310" s="1647">
        <f t="shared" si="34"/>
        <v>4156808.9999999991</v>
      </c>
      <c r="T310" s="1142">
        <f t="shared" si="35"/>
        <v>286</v>
      </c>
      <c r="U310" s="1143">
        <f>VLOOKUP(B310,'[26]CN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_xlfn.AGGREGATE(4,7,A$24:A310)+1</f>
        <v>287</v>
      </c>
      <c r="B311" s="1476" t="s">
        <v>2077</v>
      </c>
      <c r="C311" s="1497"/>
      <c r="D311" s="1498"/>
      <c r="E311" s="1058" t="str">
        <f>VLOOKUP(B311,TH.Q2!B214:E545,4,FALSE)</f>
        <v>NV Phục vụ</v>
      </c>
      <c r="F311" s="1503"/>
      <c r="G311" s="1500"/>
      <c r="H311" s="1504"/>
      <c r="I311" s="1505"/>
      <c r="J311" s="1505"/>
      <c r="K311" s="1505"/>
      <c r="L311" s="1506"/>
      <c r="M311" s="1506"/>
      <c r="N311" s="1506"/>
      <c r="O311" s="1507"/>
      <c r="P311" s="1508">
        <v>2679516</v>
      </c>
      <c r="Q311" s="1646">
        <f t="shared" si="33"/>
        <v>1.1450923076923076</v>
      </c>
      <c r="R311" s="1580">
        <v>2340000</v>
      </c>
      <c r="S311" s="1647">
        <f t="shared" si="34"/>
        <v>2679516</v>
      </c>
      <c r="T311" s="1142">
        <f t="shared" si="35"/>
        <v>287</v>
      </c>
      <c r="U311" s="1143">
        <f>VLOOKUP(B311,'[26]CN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_xlfn.AGGREGATE(4,7,A$24:A311)+1</f>
        <v>288</v>
      </c>
      <c r="B312" s="1476" t="s">
        <v>2080</v>
      </c>
      <c r="C312" s="1497"/>
      <c r="D312" s="1498"/>
      <c r="E312" s="1058" t="str">
        <f>VLOOKUP(B312,TH.Q2!B215:E546,4,FALSE)</f>
        <v>NV Phục vụ</v>
      </c>
      <c r="F312" s="1503"/>
      <c r="G312" s="1500"/>
      <c r="H312" s="1504"/>
      <c r="I312" s="1505"/>
      <c r="J312" s="1505"/>
      <c r="K312" s="1505"/>
      <c r="L312" s="1506"/>
      <c r="M312" s="1506"/>
      <c r="N312" s="1506"/>
      <c r="O312" s="1507"/>
      <c r="P312" s="1508">
        <v>2679516</v>
      </c>
      <c r="Q312" s="1646">
        <f t="shared" si="33"/>
        <v>1.1450923076923076</v>
      </c>
      <c r="R312" s="1580">
        <v>2340000</v>
      </c>
      <c r="S312" s="1647">
        <f t="shared" si="34"/>
        <v>2679516</v>
      </c>
      <c r="T312" s="1142">
        <f t="shared" si="35"/>
        <v>288</v>
      </c>
      <c r="U312" s="1143">
        <f>VLOOKUP(B312,'[26]CN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_xlfn.AGGREGATE(4,7,A$24:A312)+1</f>
        <v>289</v>
      </c>
      <c r="B313" s="1476" t="s">
        <v>2082</v>
      </c>
      <c r="C313" s="1497"/>
      <c r="D313" s="1498"/>
      <c r="E313" s="1058" t="str">
        <f>VLOOKUP(B313,TH.Q2!B216:E547,4,FALSE)</f>
        <v>NV Phục vụ</v>
      </c>
      <c r="F313" s="1503"/>
      <c r="G313" s="1500"/>
      <c r="H313" s="1504"/>
      <c r="I313" s="1505"/>
      <c r="J313" s="1505"/>
      <c r="K313" s="1505"/>
      <c r="L313" s="1506"/>
      <c r="M313" s="1506"/>
      <c r="N313" s="1506"/>
      <c r="O313" s="1507"/>
      <c r="P313" s="1508">
        <v>2679516</v>
      </c>
      <c r="Q313" s="1646">
        <f t="shared" si="33"/>
        <v>1.1450923076923076</v>
      </c>
      <c r="R313" s="1580">
        <v>2340000</v>
      </c>
      <c r="S313" s="1647">
        <f t="shared" si="34"/>
        <v>2679516</v>
      </c>
      <c r="T313" s="1142">
        <f t="shared" si="35"/>
        <v>289</v>
      </c>
      <c r="U313" s="1143">
        <f>VLOOKUP(B313,'[26]CN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_xlfn.AGGREGATE(4,7,A$24:A313)+1</f>
        <v>290</v>
      </c>
      <c r="B314" s="1476" t="s">
        <v>2084</v>
      </c>
      <c r="C314" s="1497"/>
      <c r="D314" s="1498"/>
      <c r="E314" s="1058" t="str">
        <f>VLOOKUP(B314,TH.Q2!B217:E548,4,FALSE)</f>
        <v>NV Phục vụ</v>
      </c>
      <c r="F314" s="1503"/>
      <c r="G314" s="1500"/>
      <c r="H314" s="1504"/>
      <c r="I314" s="1505"/>
      <c r="J314" s="1505"/>
      <c r="K314" s="1505"/>
      <c r="L314" s="1506"/>
      <c r="M314" s="1506"/>
      <c r="N314" s="1506"/>
      <c r="O314" s="1507"/>
      <c r="P314" s="1508">
        <v>2679516</v>
      </c>
      <c r="Q314" s="1646">
        <f t="shared" si="33"/>
        <v>1.1450923076923076</v>
      </c>
      <c r="R314" s="1580">
        <v>2340000</v>
      </c>
      <c r="S314" s="1647">
        <f t="shared" si="34"/>
        <v>2679516</v>
      </c>
      <c r="T314" s="1142">
        <f t="shared" si="35"/>
        <v>290</v>
      </c>
      <c r="U314" s="1143">
        <f>VLOOKUP(B314,'[26]CN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_xlfn.AGGREGATE(4,7,A$24:A314)+1</f>
        <v>291</v>
      </c>
      <c r="B315" s="1476" t="s">
        <v>2086</v>
      </c>
      <c r="C315" s="1497"/>
      <c r="D315" s="1498"/>
      <c r="E315" s="1058" t="str">
        <f>VLOOKUP(B315,TH.Q2!B218:E549,4,FALSE)</f>
        <v>Nhân viên phòng Quản trị - Dịch vụ</v>
      </c>
      <c r="F315" s="1503"/>
      <c r="G315" s="1500"/>
      <c r="H315" s="1504"/>
      <c r="I315" s="1505"/>
      <c r="J315" s="1505"/>
      <c r="K315" s="1505"/>
      <c r="L315" s="1506"/>
      <c r="M315" s="1506"/>
      <c r="N315" s="1506"/>
      <c r="O315" s="1507"/>
      <c r="P315" s="1508">
        <v>2187360</v>
      </c>
      <c r="Q315" s="1646">
        <f t="shared" si="33"/>
        <v>0.9347692307692308</v>
      </c>
      <c r="R315" s="1580">
        <v>2340000</v>
      </c>
      <c r="S315" s="1647">
        <f t="shared" si="34"/>
        <v>2187360</v>
      </c>
      <c r="T315" s="1142">
        <f t="shared" si="35"/>
        <v>291</v>
      </c>
      <c r="U315" s="1143">
        <f>VLOOKUP(B315,'[26]CN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_xlfn.AGGREGATE(4,7,A$24:A315)+1</f>
        <v>292</v>
      </c>
      <c r="B316" s="1476" t="s">
        <v>2087</v>
      </c>
      <c r="C316" s="1497"/>
      <c r="D316" s="1498"/>
      <c r="E316" s="1058" t="str">
        <f>VLOOKUP(B316,TH.Q2!B219:E550,4,FALSE)</f>
        <v>Nhân viên phòng Quản trị - Dịch vụ</v>
      </c>
      <c r="F316" s="1503"/>
      <c r="G316" s="1500"/>
      <c r="H316" s="1504"/>
      <c r="I316" s="1505"/>
      <c r="J316" s="1505"/>
      <c r="K316" s="1505"/>
      <c r="L316" s="1506"/>
      <c r="M316" s="1506"/>
      <c r="N316" s="1506"/>
      <c r="O316" s="1507"/>
      <c r="P316" s="1508">
        <v>2187360</v>
      </c>
      <c r="Q316" s="1646">
        <f t="shared" si="33"/>
        <v>0.9347692307692308</v>
      </c>
      <c r="R316" s="1580">
        <v>2340000</v>
      </c>
      <c r="S316" s="1647">
        <f t="shared" si="34"/>
        <v>2187360</v>
      </c>
      <c r="T316" s="1142">
        <f t="shared" si="35"/>
        <v>292</v>
      </c>
      <c r="U316" s="1143">
        <f>VLOOKUP(B316,'[26]CN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_xlfn.AGGREGATE(4,7,A$24:A316)+1</f>
        <v>293</v>
      </c>
      <c r="B317" s="1476" t="s">
        <v>2245</v>
      </c>
      <c r="C317" s="1497"/>
      <c r="D317" s="1498"/>
      <c r="E317" s="1058" t="str">
        <f>VLOOKUP(B317,TH.Q2!B220:E551,4,FALSE)</f>
        <v>Nhân viên phòng Quản trị - Dịch vụ</v>
      </c>
      <c r="F317" s="1503"/>
      <c r="G317" s="1500"/>
      <c r="H317" s="1504"/>
      <c r="I317" s="1505"/>
      <c r="J317" s="1505"/>
      <c r="K317" s="1505"/>
      <c r="L317" s="1506"/>
      <c r="M317" s="1506"/>
      <c r="N317" s="1506"/>
      <c r="O317" s="1507"/>
      <c r="P317" s="1508">
        <v>5519488</v>
      </c>
      <c r="Q317" s="1646">
        <f t="shared" si="33"/>
        <v>2.3587555555555557</v>
      </c>
      <c r="R317" s="1580">
        <v>2340000</v>
      </c>
      <c r="S317" s="1647">
        <f t="shared" si="34"/>
        <v>5519488</v>
      </c>
      <c r="T317" s="1142">
        <f t="shared" si="35"/>
        <v>293</v>
      </c>
      <c r="U317" s="1143">
        <f>VLOOKUP(B317,'[26]CN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_xlfn.AGGREGATE(4,7,A$24:A317)+1</f>
        <v>294</v>
      </c>
      <c r="B318" s="1476" t="s">
        <v>2253</v>
      </c>
      <c r="C318" s="1497"/>
      <c r="D318" s="1498"/>
      <c r="E318" s="1058" t="str">
        <f>VLOOKUP(B318,TH.Q2!B221:E552,4,FALSE)</f>
        <v>Nhân viên phòng Quản trị - Dịch vụ</v>
      </c>
      <c r="F318" s="1503"/>
      <c r="G318" s="1500"/>
      <c r="H318" s="1504"/>
      <c r="I318" s="1505"/>
      <c r="J318" s="1505"/>
      <c r="K318" s="1505"/>
      <c r="L318" s="1506"/>
      <c r="M318" s="1506"/>
      <c r="N318" s="1506"/>
      <c r="O318" s="1507"/>
      <c r="P318" s="1508">
        <v>3449680.0000000005</v>
      </c>
      <c r="Q318" s="1646">
        <f t="shared" si="33"/>
        <v>1.4742222222222223</v>
      </c>
      <c r="R318" s="1580">
        <v>2340000</v>
      </c>
      <c r="S318" s="1647">
        <f t="shared" si="34"/>
        <v>3449680.0000000005</v>
      </c>
      <c r="T318" s="1142">
        <f t="shared" si="35"/>
        <v>294</v>
      </c>
      <c r="U318" s="1143">
        <f>VLOOKUP(B318,'[26]CN HĐ'!$H$10:$M$73,6,FALSE)</f>
        <v>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_xlfn.AGGREGATE(4,7,A$24:A318)+1</f>
        <v>295</v>
      </c>
      <c r="B319" s="1476" t="s">
        <v>2088</v>
      </c>
      <c r="C319" s="1497"/>
      <c r="D319" s="1498"/>
      <c r="E319" s="1058" t="str">
        <f>VLOOKUP(B319,TH.Q2!B222:E553,4,FALSE)</f>
        <v>Nhân viên phòng Quản trị - Dịch vụ</v>
      </c>
      <c r="F319" s="1503"/>
      <c r="G319" s="1500"/>
      <c r="H319" s="1504"/>
      <c r="I319" s="1505"/>
      <c r="J319" s="1505"/>
      <c r="K319" s="1505"/>
      <c r="L319" s="1506"/>
      <c r="M319" s="1506"/>
      <c r="N319" s="1506"/>
      <c r="O319" s="1507"/>
      <c r="P319" s="1508">
        <v>2777600</v>
      </c>
      <c r="Q319" s="1646">
        <f t="shared" si="33"/>
        <v>1.187008547008547</v>
      </c>
      <c r="R319" s="1580">
        <v>2340000</v>
      </c>
      <c r="S319" s="1647">
        <f t="shared" si="34"/>
        <v>2777600</v>
      </c>
      <c r="T319" s="1142">
        <f t="shared" si="35"/>
        <v>295</v>
      </c>
      <c r="U319" s="1143">
        <f>VLOOKUP(B319,'[26]CN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_xlfn.AGGREGATE(4,7,A$24:A319)+1</f>
        <v>296</v>
      </c>
      <c r="B320" s="1476" t="s">
        <v>2089</v>
      </c>
      <c r="C320" s="1497"/>
      <c r="D320" s="1498"/>
      <c r="E320" s="1058" t="str">
        <f>VLOOKUP(B320,TH.Q2!B223:E554,4,FALSE)</f>
        <v>Nhân viên Y tế</v>
      </c>
      <c r="F320" s="1503"/>
      <c r="G320" s="1500"/>
      <c r="H320" s="1504"/>
      <c r="I320" s="1505"/>
      <c r="J320" s="1505"/>
      <c r="K320" s="1505"/>
      <c r="L320" s="1506"/>
      <c r="M320" s="1506"/>
      <c r="N320" s="1506"/>
      <c r="O320" s="1507"/>
      <c r="P320" s="1508">
        <v>5824855</v>
      </c>
      <c r="Q320" s="1646">
        <f t="shared" si="33"/>
        <v>2.4892542735042733</v>
      </c>
      <c r="R320" s="1580">
        <v>2340000</v>
      </c>
      <c r="S320" s="1647">
        <f t="shared" si="34"/>
        <v>5824855</v>
      </c>
      <c r="T320" s="1142">
        <f t="shared" si="35"/>
        <v>296</v>
      </c>
      <c r="U320" s="1143">
        <f>VLOOKUP(B320,'[26]CN HĐ'!$H$10:$M$73,6,FALSE)</f>
        <v>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_xlfn.AGGREGATE(4,7,A$24:A320)+1</f>
        <v>297</v>
      </c>
      <c r="B321" s="1476" t="s">
        <v>2091</v>
      </c>
      <c r="C321" s="1497"/>
      <c r="D321" s="1498"/>
      <c r="E321" s="1058" t="str">
        <f>VLOOKUP(B321,TH.Q2!B224:E555,4,FALSE)</f>
        <v>Nhân viên Ký túc xá</v>
      </c>
      <c r="F321" s="1503"/>
      <c r="G321" s="1500"/>
      <c r="H321" s="1504"/>
      <c r="I321" s="1505"/>
      <c r="J321" s="1505"/>
      <c r="K321" s="1505"/>
      <c r="L321" s="1506"/>
      <c r="M321" s="1506"/>
      <c r="N321" s="1506"/>
      <c r="O321" s="1507"/>
      <c r="P321" s="1508">
        <v>2187360</v>
      </c>
      <c r="Q321" s="1646">
        <f t="shared" si="33"/>
        <v>0.9347692307692308</v>
      </c>
      <c r="R321" s="1580">
        <v>2340000</v>
      </c>
      <c r="S321" s="1647">
        <f t="shared" si="34"/>
        <v>2187360</v>
      </c>
      <c r="T321" s="1142">
        <f t="shared" si="35"/>
        <v>297</v>
      </c>
      <c r="U321" s="1143">
        <f>VLOOKUP(B321,'[26]CN HĐ'!$H$10:$M$73,6,FALSE)</f>
        <v>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_xlfn.AGGREGATE(4,7,A$24:A321)+1</f>
        <v>298</v>
      </c>
      <c r="B322" s="1490" t="s">
        <v>2092</v>
      </c>
      <c r="C322" s="1497"/>
      <c r="D322" s="1498"/>
      <c r="E322" s="1058" t="str">
        <f>VLOOKUP(B322,TH.Q2!B225:E556,4,FALSE)</f>
        <v>Nhân viên</v>
      </c>
      <c r="F322" s="1503"/>
      <c r="G322" s="1500"/>
      <c r="H322" s="1504"/>
      <c r="I322" s="1505"/>
      <c r="J322" s="1505"/>
      <c r="K322" s="1505"/>
      <c r="L322" s="1506"/>
      <c r="M322" s="1506"/>
      <c r="N322" s="1506"/>
      <c r="O322" s="1507"/>
      <c r="P322" s="1508">
        <v>13922657.999999998</v>
      </c>
      <c r="Q322" s="1646">
        <f t="shared" si="33"/>
        <v>5.9498538461538457</v>
      </c>
      <c r="R322" s="1580">
        <v>2340000</v>
      </c>
      <c r="S322" s="1647">
        <f t="shared" si="34"/>
        <v>13922657.999999998</v>
      </c>
      <c r="T322" s="1142">
        <f t="shared" si="35"/>
        <v>298</v>
      </c>
      <c r="U322" s="1143">
        <f>VLOOKUP(B322,'[26]CN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_xlfn.AGGREGATE(4,7,A$24:A322)+1</f>
        <v>299</v>
      </c>
      <c r="B323" s="1476" t="s">
        <v>2094</v>
      </c>
      <c r="C323" s="1497"/>
      <c r="D323" s="1498"/>
      <c r="E323" s="1058" t="str">
        <f>VLOOKUP(B323,TH.Q2!B226:E557,4,FALSE)</f>
        <v>NV Kế toán</v>
      </c>
      <c r="F323" s="1503"/>
      <c r="G323" s="1500"/>
      <c r="H323" s="1504"/>
      <c r="I323" s="1505"/>
      <c r="J323" s="1505"/>
      <c r="K323" s="1505"/>
      <c r="L323" s="1506"/>
      <c r="M323" s="1506"/>
      <c r="N323" s="1506"/>
      <c r="O323" s="1507"/>
      <c r="P323" s="1508">
        <v>7247855</v>
      </c>
      <c r="Q323" s="1646">
        <f t="shared" si="33"/>
        <v>3.0973739316239315</v>
      </c>
      <c r="R323" s="1580">
        <v>2340000</v>
      </c>
      <c r="S323" s="1647">
        <f t="shared" si="34"/>
        <v>7247855</v>
      </c>
      <c r="T323" s="1142">
        <f t="shared" si="35"/>
        <v>299</v>
      </c>
      <c r="U323" s="1143">
        <f>VLOOKUP(B323,'[26]CN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_xlfn.AGGREGATE(4,7,A$24:A323)+1</f>
        <v>300</v>
      </c>
      <c r="B324" s="1476" t="s">
        <v>2098</v>
      </c>
      <c r="C324" s="1497"/>
      <c r="D324" s="1498"/>
      <c r="E324" s="1058" t="str">
        <f>VLOOKUP(B324,TH.Q2!B227:E558,4,FALSE)</f>
        <v>NV Kế toán</v>
      </c>
      <c r="F324" s="1503"/>
      <c r="G324" s="1500"/>
      <c r="H324" s="1504"/>
      <c r="I324" s="1505"/>
      <c r="J324" s="1505"/>
      <c r="K324" s="1505"/>
      <c r="L324" s="1506"/>
      <c r="M324" s="1506"/>
      <c r="N324" s="1506"/>
      <c r="O324" s="1507"/>
      <c r="P324" s="1508">
        <v>5529354</v>
      </c>
      <c r="Q324" s="1646">
        <f t="shared" si="33"/>
        <v>2.362971794871795</v>
      </c>
      <c r="R324" s="1580">
        <v>2340000</v>
      </c>
      <c r="S324" s="1647">
        <f t="shared" si="34"/>
        <v>5529354</v>
      </c>
      <c r="T324" s="1142">
        <f t="shared" si="35"/>
        <v>300</v>
      </c>
      <c r="U324" s="1143">
        <f>VLOOKUP(B324,'[26]CN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_xlfn.AGGREGATE(4,7,A$24:A324)+1</f>
        <v>301</v>
      </c>
      <c r="B325" s="1476" t="s">
        <v>2099</v>
      </c>
      <c r="C325" s="1497"/>
      <c r="D325" s="1498"/>
      <c r="E325" s="1058" t="str">
        <f>VLOOKUP(B325,TH.Q2!B228:E559,4,FALSE)</f>
        <v>NV Kế toán</v>
      </c>
      <c r="F325" s="1503"/>
      <c r="G325" s="1500"/>
      <c r="H325" s="1504"/>
      <c r="I325" s="1505"/>
      <c r="J325" s="1505"/>
      <c r="K325" s="1505"/>
      <c r="L325" s="1506"/>
      <c r="M325" s="1506"/>
      <c r="N325" s="1506"/>
      <c r="O325" s="1507"/>
      <c r="P325" s="1508">
        <v>5167621</v>
      </c>
      <c r="Q325" s="1646">
        <f t="shared" si="33"/>
        <v>2.2083850427350429</v>
      </c>
      <c r="R325" s="1580">
        <v>2340000</v>
      </c>
      <c r="S325" s="1647">
        <f t="shared" si="34"/>
        <v>5167621</v>
      </c>
      <c r="T325" s="1142">
        <f t="shared" si="35"/>
        <v>301</v>
      </c>
      <c r="U325" s="1143">
        <f>VLOOKUP(B325,'[26]CN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_xlfn.AGGREGATE(4,7,A$24:A325)+1</f>
        <v>302</v>
      </c>
      <c r="B326" s="1476" t="s">
        <v>2100</v>
      </c>
      <c r="C326" s="1497"/>
      <c r="D326" s="1498"/>
      <c r="E326" s="1058" t="str">
        <f>VLOOKUP(B326,TH.Q2!B229:E560,4,FALSE)</f>
        <v>Nhân viên</v>
      </c>
      <c r="F326" s="1503"/>
      <c r="G326" s="1500"/>
      <c r="H326" s="1504"/>
      <c r="I326" s="1505"/>
      <c r="J326" s="1505"/>
      <c r="K326" s="1505"/>
      <c r="L326" s="1506"/>
      <c r="M326" s="1506"/>
      <c r="N326" s="1506"/>
      <c r="O326" s="1507"/>
      <c r="P326" s="1508">
        <v>7112631</v>
      </c>
      <c r="Q326" s="1646">
        <f t="shared" si="33"/>
        <v>3.0395858974358974</v>
      </c>
      <c r="R326" s="1580">
        <v>2340000</v>
      </c>
      <c r="S326" s="1647">
        <f t="shared" si="34"/>
        <v>7112631</v>
      </c>
      <c r="T326" s="1142">
        <f t="shared" si="35"/>
        <v>302</v>
      </c>
      <c r="U326" s="1143">
        <f>VLOOKUP(B326,'[26]CN HĐ'!$H$10:$M$73,6,FALSE)</f>
        <v>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_xlfn.AGGREGATE(4,7,A$24:A326)+1</f>
        <v>303</v>
      </c>
      <c r="B327" s="1476" t="s">
        <v>2102</v>
      </c>
      <c r="C327" s="1497"/>
      <c r="D327" s="1498"/>
      <c r="E327" s="1058" t="str">
        <f>VLOOKUP(B327,TH.Q2!B230:E561,4,FALSE)</f>
        <v>NV Phòng Quản trị - Dịch vụ</v>
      </c>
      <c r="F327" s="1503"/>
      <c r="G327" s="1500"/>
      <c r="H327" s="1504"/>
      <c r="I327" s="1505"/>
      <c r="J327" s="1505"/>
      <c r="K327" s="1505"/>
      <c r="L327" s="1506"/>
      <c r="M327" s="1506"/>
      <c r="N327" s="1506"/>
      <c r="O327" s="1507"/>
      <c r="P327" s="1508">
        <v>5031729</v>
      </c>
      <c r="Q327" s="1646">
        <f t="shared" si="33"/>
        <v>2.1503115384615383</v>
      </c>
      <c r="R327" s="1580">
        <v>2340000</v>
      </c>
      <c r="S327" s="1647">
        <f t="shared" si="34"/>
        <v>5031729</v>
      </c>
      <c r="T327" s="1142">
        <f t="shared" si="35"/>
        <v>303</v>
      </c>
      <c r="U327" s="1143">
        <f>VLOOKUP(B327,'[26]CN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_xlfn.AGGREGATE(4,7,A$24:A327)+1</f>
        <v>304</v>
      </c>
      <c r="B328" s="1476" t="s">
        <v>2106</v>
      </c>
      <c r="C328" s="1497"/>
      <c r="D328" s="1498"/>
      <c r="E328" s="1058" t="str">
        <f>VLOOKUP(B328,TH.Q2!B231:E562,4,FALSE)</f>
        <v>Nhân viên phòng Thanh tra GD - Quan hệ DN</v>
      </c>
      <c r="F328" s="1503"/>
      <c r="G328" s="1500"/>
      <c r="H328" s="1504"/>
      <c r="I328" s="1505"/>
      <c r="J328" s="1505"/>
      <c r="K328" s="1505"/>
      <c r="L328" s="1506"/>
      <c r="M328" s="1506"/>
      <c r="N328" s="1506"/>
      <c r="O328" s="1507"/>
      <c r="P328" s="1508">
        <v>5870351</v>
      </c>
      <c r="Q328" s="1646">
        <f t="shared" si="33"/>
        <v>2.5086970085470086</v>
      </c>
      <c r="R328" s="1580">
        <v>2340000</v>
      </c>
      <c r="S328" s="1647">
        <f t="shared" si="34"/>
        <v>5870351</v>
      </c>
      <c r="T328" s="1142">
        <f t="shared" si="35"/>
        <v>304</v>
      </c>
      <c r="U328" s="1143">
        <f>VLOOKUP(B328,'[26]CN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_xlfn.AGGREGATE(4,7,A$24:A328)+1</f>
        <v>305</v>
      </c>
      <c r="B329" s="1476" t="s">
        <v>2108</v>
      </c>
      <c r="C329" s="1497"/>
      <c r="D329" s="1498"/>
      <c r="E329" s="1058" t="str">
        <f>VLOOKUP(B329,TH.Q2!B232:E563,4,FALSE)</f>
        <v>Nhân viên phòng Thanh tra GD - Quan hệ DN</v>
      </c>
      <c r="F329" s="1503"/>
      <c r="G329" s="1500"/>
      <c r="H329" s="1504"/>
      <c r="I329" s="1505"/>
      <c r="J329" s="1505"/>
      <c r="K329" s="1505"/>
      <c r="L329" s="1506"/>
      <c r="M329" s="1506"/>
      <c r="N329" s="1506"/>
      <c r="O329" s="1507"/>
      <c r="P329" s="1508">
        <v>6319262</v>
      </c>
      <c r="Q329" s="1646">
        <f t="shared" si="33"/>
        <v>2.7005393162393161</v>
      </c>
      <c r="R329" s="1580">
        <v>2340000</v>
      </c>
      <c r="S329" s="1647">
        <f t="shared" si="34"/>
        <v>6319262</v>
      </c>
      <c r="T329" s="1142">
        <f t="shared" si="35"/>
        <v>305</v>
      </c>
      <c r="U329" s="1143">
        <f>VLOOKUP(B329,'[26]CN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_xlfn.AGGREGATE(4,7,A$24:A329)+1</f>
        <v>306</v>
      </c>
      <c r="B330" s="1476" t="s">
        <v>2109</v>
      </c>
      <c r="C330" s="1497"/>
      <c r="D330" s="1498"/>
      <c r="E330" s="1058" t="str">
        <f>VLOOKUP(B330,TH.Q2!B233:E564,4,FALSE)</f>
        <v>Nhân viên phòng Thanh tra GD - Quan hệ DN</v>
      </c>
      <c r="F330" s="1503"/>
      <c r="G330" s="1500"/>
      <c r="H330" s="1504"/>
      <c r="I330" s="1505"/>
      <c r="J330" s="1505"/>
      <c r="K330" s="1505"/>
      <c r="L330" s="1506"/>
      <c r="M330" s="1506"/>
      <c r="N330" s="1506"/>
      <c r="O330" s="1507"/>
      <c r="P330" s="1508">
        <v>4346597</v>
      </c>
      <c r="Q330" s="1646">
        <f t="shared" si="33"/>
        <v>1.8575200854700855</v>
      </c>
      <c r="R330" s="1580">
        <v>2340000</v>
      </c>
      <c r="S330" s="1647">
        <f t="shared" si="34"/>
        <v>4346597</v>
      </c>
      <c r="T330" s="1142">
        <f t="shared" si="35"/>
        <v>306</v>
      </c>
      <c r="U330" s="1143" t="str">
        <f>VLOOKUP(B330,'[26]CN HĐ'!$H$10:$M$73,6,FALSE)</f>
        <v>Trừ 1 ngày nghỉ phép 16/11</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_xlfn.AGGREGATE(4,7,A$24:A330)+1</f>
        <v>307</v>
      </c>
      <c r="B331" s="1476" t="s">
        <v>2110</v>
      </c>
      <c r="C331" s="1497"/>
      <c r="D331" s="1498"/>
      <c r="E331" s="1058" t="str">
        <f>VLOOKUP(B331,TH.Q2!B234:E565,4,FALSE)</f>
        <v>Nhân viên phòng Quản trị - Dịch vụ</v>
      </c>
      <c r="F331" s="1503"/>
      <c r="G331" s="1500"/>
      <c r="H331" s="1504"/>
      <c r="I331" s="1505"/>
      <c r="J331" s="1505"/>
      <c r="K331" s="1505"/>
      <c r="L331" s="1506"/>
      <c r="M331" s="1506"/>
      <c r="N331" s="1506"/>
      <c r="O331" s="1507"/>
      <c r="P331" s="1508">
        <v>5590810</v>
      </c>
      <c r="Q331" s="1646">
        <f t="shared" si="33"/>
        <v>2.3892350427350428</v>
      </c>
      <c r="R331" s="1580">
        <v>2340000</v>
      </c>
      <c r="S331" s="1647">
        <f t="shared" si="34"/>
        <v>5590810</v>
      </c>
      <c r="T331" s="1142">
        <f t="shared" si="35"/>
        <v>307</v>
      </c>
      <c r="U331" s="1143">
        <f>VLOOKUP(B331,'[26]CN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_xlfn.AGGREGATE(4,7,A$24:A331)+1</f>
        <v>308</v>
      </c>
      <c r="B332" s="1476" t="s">
        <v>2113</v>
      </c>
      <c r="C332" s="1497"/>
      <c r="D332" s="1498"/>
      <c r="E332" s="1058" t="str">
        <f>VLOOKUP(B332,TH.Q2!B235:E566,4,FALSE)</f>
        <v>Nhân viên phòng Thanh tra GD - Quan hệ DN</v>
      </c>
      <c r="F332" s="1503"/>
      <c r="G332" s="1500"/>
      <c r="H332" s="1504"/>
      <c r="I332" s="1505"/>
      <c r="J332" s="1505"/>
      <c r="K332" s="1505"/>
      <c r="L332" s="1506"/>
      <c r="M332" s="1506"/>
      <c r="N332" s="1506"/>
      <c r="O332" s="1507"/>
      <c r="P332" s="1508">
        <v>5529354</v>
      </c>
      <c r="Q332" s="1646">
        <f t="shared" si="33"/>
        <v>2.362971794871795</v>
      </c>
      <c r="R332" s="1580">
        <v>2340000</v>
      </c>
      <c r="S332" s="1647">
        <f t="shared" si="34"/>
        <v>5529354</v>
      </c>
      <c r="T332" s="1142">
        <f t="shared" si="35"/>
        <v>308</v>
      </c>
      <c r="U332" s="1143" t="str">
        <f>VLOOKUP(B332,'[26]CN HĐ'!$H$10:$M$73,6,FALSE)</f>
        <v>Trừ 2 ngày nghỉ phép 18+25/11</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_xlfn.AGGREGATE(4,7,A$24:A332)+1</f>
        <v>309</v>
      </c>
      <c r="B333" s="1476" t="s">
        <v>2114</v>
      </c>
      <c r="C333" s="1497"/>
      <c r="D333" s="1498"/>
      <c r="E333" s="1058" t="str">
        <f>VLOOKUP(B333,TH.Q2!B236:E567,4,FALSE)</f>
        <v>Nhân viên phòng KHCN &amp; HTQT</v>
      </c>
      <c r="F333" s="1503"/>
      <c r="G333" s="1500"/>
      <c r="H333" s="1504"/>
      <c r="I333" s="1505"/>
      <c r="J333" s="1505"/>
      <c r="K333" s="1505"/>
      <c r="L333" s="1506"/>
      <c r="M333" s="1506"/>
      <c r="N333" s="1506"/>
      <c r="O333" s="1507"/>
      <c r="P333" s="1508">
        <v>8283263</v>
      </c>
      <c r="Q333" s="1646">
        <f t="shared" si="33"/>
        <v>3.539855982905983</v>
      </c>
      <c r="R333" s="1580">
        <v>2340000</v>
      </c>
      <c r="S333" s="1647">
        <f t="shared" si="34"/>
        <v>8283263</v>
      </c>
      <c r="T333" s="1142">
        <f t="shared" si="35"/>
        <v>309</v>
      </c>
      <c r="U333" s="1143">
        <f>VLOOKUP(B333,'[26]CN HĐ'!$H$10:$M$73,6,FALSE)</f>
        <v>0</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_xlfn.AGGREGATE(4,7,A$24:A333)+1</f>
        <v>310</v>
      </c>
      <c r="B334" s="1476" t="s">
        <v>2117</v>
      </c>
      <c r="C334" s="1497"/>
      <c r="D334" s="1498"/>
      <c r="E334" s="1058" t="str">
        <f>VLOOKUP(B334,TH.Q2!B237:E568,4,FALSE)</f>
        <v>Nhân viên phòng KHCN &amp; HTQT</v>
      </c>
      <c r="F334" s="1503"/>
      <c r="G334" s="1500"/>
      <c r="H334" s="1504"/>
      <c r="I334" s="1505"/>
      <c r="J334" s="1505"/>
      <c r="K334" s="1505"/>
      <c r="L334" s="1506"/>
      <c r="M334" s="1506"/>
      <c r="N334" s="1506"/>
      <c r="O334" s="1507"/>
      <c r="P334" s="1508">
        <v>4739446</v>
      </c>
      <c r="Q334" s="1646">
        <f t="shared" si="33"/>
        <v>2.0254042735042734</v>
      </c>
      <c r="R334" s="1580">
        <v>2340000</v>
      </c>
      <c r="S334" s="1647">
        <f t="shared" si="34"/>
        <v>4739446</v>
      </c>
      <c r="T334" s="1142">
        <f t="shared" si="35"/>
        <v>310</v>
      </c>
      <c r="U334" s="1143">
        <f>VLOOKUP(B334,'[26]CN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_xlfn.AGGREGATE(4,7,A$24:A334)+1</f>
        <v>311</v>
      </c>
      <c r="B335" s="1476" t="s">
        <v>2119</v>
      </c>
      <c r="C335" s="1497"/>
      <c r="D335" s="1498"/>
      <c r="E335" s="1058" t="str">
        <f>VLOOKUP(B335,TH.Q2!B238:E569,4,FALSE)</f>
        <v>Nhân viên phòng Thanh tra GD - Quan hệ DN</v>
      </c>
      <c r="F335" s="1503"/>
      <c r="G335" s="1500"/>
      <c r="H335" s="1504"/>
      <c r="I335" s="1505"/>
      <c r="J335" s="1505"/>
      <c r="K335" s="1505"/>
      <c r="L335" s="1506"/>
      <c r="M335" s="1506"/>
      <c r="N335" s="1506"/>
      <c r="O335" s="1507"/>
      <c r="P335" s="1508">
        <v>5529354</v>
      </c>
      <c r="Q335" s="1646">
        <f t="shared" si="33"/>
        <v>2.362971794871795</v>
      </c>
      <c r="R335" s="1580">
        <v>2340000</v>
      </c>
      <c r="S335" s="1647">
        <f t="shared" si="34"/>
        <v>5529354</v>
      </c>
      <c r="T335" s="1142">
        <f t="shared" si="35"/>
        <v>311</v>
      </c>
      <c r="U335" s="1143">
        <f>VLOOKUP(B335,'[26]CN HĐ'!$H$10:$M$73,6,FALSE)</f>
        <v>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132">
        <f>_xlfn.AGGREGATE(4,7,A$24:A335)+1</f>
        <v>312</v>
      </c>
      <c r="B336" s="1476" t="s">
        <v>2123</v>
      </c>
      <c r="C336" s="1497"/>
      <c r="D336" s="1498"/>
      <c r="E336" s="1058" t="str">
        <f>VLOOKUP(B336,TH.Q2!B239:E570,4,FALSE)</f>
        <v>Nhân viên phòng Thanh tra GD - Quan hệ DN</v>
      </c>
      <c r="F336" s="1503"/>
      <c r="G336" s="1500"/>
      <c r="H336" s="1504"/>
      <c r="I336" s="1505"/>
      <c r="J336" s="1505"/>
      <c r="K336" s="1505"/>
      <c r="L336" s="1506"/>
      <c r="M336" s="1506"/>
      <c r="N336" s="1506"/>
      <c r="O336" s="1507"/>
      <c r="P336" s="1508">
        <v>5283316</v>
      </c>
      <c r="Q336" s="1646">
        <f t="shared" si="33"/>
        <v>2.2578273504273505</v>
      </c>
      <c r="R336" s="1580">
        <v>2340000</v>
      </c>
      <c r="S336" s="1647">
        <f t="shared" si="34"/>
        <v>5283316</v>
      </c>
      <c r="T336" s="1142">
        <f t="shared" si="35"/>
        <v>312</v>
      </c>
      <c r="U336" s="1143">
        <f>VLOOKUP(B336,'[26]CN HĐ'!$H$10:$M$73,6,FALSE)</f>
        <v>0</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_xlfn.AGGREGATE(4,7,A$24:A336)+1</f>
        <v>313</v>
      </c>
      <c r="B337" s="1476" t="s">
        <v>2125</v>
      </c>
      <c r="C337" s="1497"/>
      <c r="D337" s="1498"/>
      <c r="E337" s="1058" t="str">
        <f>VLOOKUP(B337,TH.Q2!B240:E571,4,FALSE)</f>
        <v>NV Phòng Tuyển sinh - Đào tạo</v>
      </c>
      <c r="F337" s="1503"/>
      <c r="G337" s="1500"/>
      <c r="H337" s="1504"/>
      <c r="I337" s="1505"/>
      <c r="J337" s="1505"/>
      <c r="K337" s="1505"/>
      <c r="L337" s="1506"/>
      <c r="M337" s="1506"/>
      <c r="N337" s="1506"/>
      <c r="O337" s="1507"/>
      <c r="P337" s="1508">
        <v>5426192</v>
      </c>
      <c r="Q337" s="1646">
        <f t="shared" si="33"/>
        <v>2.31888547008547</v>
      </c>
      <c r="R337" s="1580">
        <v>2340000</v>
      </c>
      <c r="S337" s="1647">
        <f t="shared" si="34"/>
        <v>5426192</v>
      </c>
      <c r="T337" s="1142">
        <f t="shared" si="35"/>
        <v>313</v>
      </c>
      <c r="U337" s="1143">
        <f>VLOOKUP(B337,'[26]CN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_xlfn.AGGREGATE(4,7,A$24:A337)+1</f>
        <v>314</v>
      </c>
      <c r="B338" s="1476" t="s">
        <v>2128</v>
      </c>
      <c r="C338" s="1497"/>
      <c r="D338" s="1498"/>
      <c r="E338" s="1058" t="str">
        <f>VLOOKUP(B338,TH.Q2!B241:E572,4,FALSE)</f>
        <v>NV phòng TS - Đào tạo</v>
      </c>
      <c r="F338" s="1503"/>
      <c r="G338" s="1500"/>
      <c r="H338" s="1504"/>
      <c r="I338" s="1505"/>
      <c r="J338" s="1505"/>
      <c r="K338" s="1505"/>
      <c r="L338" s="1506"/>
      <c r="M338" s="1506"/>
      <c r="N338" s="1506"/>
      <c r="O338" s="1507"/>
      <c r="P338" s="1508">
        <v>5529354</v>
      </c>
      <c r="Q338" s="1646">
        <f t="shared" si="33"/>
        <v>2.362971794871795</v>
      </c>
      <c r="R338" s="1580">
        <v>2340000</v>
      </c>
      <c r="S338" s="1647">
        <f t="shared" si="34"/>
        <v>5529354</v>
      </c>
      <c r="T338" s="1142">
        <f t="shared" si="35"/>
        <v>314</v>
      </c>
      <c r="U338" s="1143">
        <f>VLOOKUP(B338,'[26]CN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_xlfn.AGGREGATE(4,7,A$24:A338)+1</f>
        <v>315</v>
      </c>
      <c r="B339" s="1476" t="s">
        <v>2131</v>
      </c>
      <c r="C339" s="1497"/>
      <c r="D339" s="1498"/>
      <c r="E339" s="1058" t="str">
        <f>VLOOKUP(B339,TH.Q2!B242:E573,4,FALSE)</f>
        <v>NV phòng TS - Đào tạo</v>
      </c>
      <c r="F339" s="1503"/>
      <c r="G339" s="1500"/>
      <c r="H339" s="1504"/>
      <c r="I339" s="1505"/>
      <c r="J339" s="1505"/>
      <c r="K339" s="1505"/>
      <c r="L339" s="1506"/>
      <c r="M339" s="1506"/>
      <c r="N339" s="1506"/>
      <c r="O339" s="1507"/>
      <c r="P339" s="1508">
        <v>7247855</v>
      </c>
      <c r="Q339" s="1646">
        <f t="shared" si="33"/>
        <v>3.0973739316239315</v>
      </c>
      <c r="R339" s="1580">
        <v>2340000</v>
      </c>
      <c r="S339" s="1647">
        <f t="shared" si="34"/>
        <v>7247855</v>
      </c>
      <c r="T339" s="1142">
        <f t="shared" si="35"/>
        <v>315</v>
      </c>
      <c r="U339" s="1143">
        <f>VLOOKUP(B339,'[26]CN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_xlfn.AGGREGATE(4,7,A$24:A339)+1</f>
        <v>316</v>
      </c>
      <c r="B340" s="1476" t="s">
        <v>2134</v>
      </c>
      <c r="C340" s="1497"/>
      <c r="D340" s="1498"/>
      <c r="E340" s="1058" t="str">
        <f>VLOOKUP(B340,TH.Q2!B243:E574,4,FALSE)</f>
        <v>NV phòng TS - Đào tạo</v>
      </c>
      <c r="F340" s="1503"/>
      <c r="G340" s="1500"/>
      <c r="H340" s="1504"/>
      <c r="I340" s="1505"/>
      <c r="J340" s="1505"/>
      <c r="K340" s="1505"/>
      <c r="L340" s="1506"/>
      <c r="M340" s="1506"/>
      <c r="N340" s="1506"/>
      <c r="O340" s="1507"/>
      <c r="P340" s="1508">
        <v>7755205</v>
      </c>
      <c r="Q340" s="1646">
        <f t="shared" si="33"/>
        <v>3.3141901709401709</v>
      </c>
      <c r="R340" s="1580">
        <v>2340000</v>
      </c>
      <c r="S340" s="1647">
        <f t="shared" si="34"/>
        <v>7755205</v>
      </c>
      <c r="T340" s="1142">
        <f t="shared" si="35"/>
        <v>316</v>
      </c>
      <c r="U340" s="1143">
        <f>VLOOKUP(B340,'[26]CN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_xlfn.AGGREGATE(4,7,A$24:A340)+1</f>
        <v>317</v>
      </c>
      <c r="B341" s="1476" t="s">
        <v>2137</v>
      </c>
      <c r="C341" s="1497"/>
      <c r="D341" s="1498"/>
      <c r="E341" s="1058" t="str">
        <f>VLOOKUP(B341,TH.Q2!B244:E575,4,FALSE)</f>
        <v>NV phòng TS - Đào tạo</v>
      </c>
      <c r="F341" s="1503"/>
      <c r="G341" s="1500"/>
      <c r="H341" s="1504"/>
      <c r="I341" s="1505"/>
      <c r="J341" s="1505"/>
      <c r="K341" s="1505"/>
      <c r="L341" s="1506"/>
      <c r="M341" s="1506"/>
      <c r="N341" s="1506"/>
      <c r="O341" s="1507"/>
      <c r="P341" s="1508">
        <v>5167621</v>
      </c>
      <c r="Q341" s="1646">
        <f t="shared" si="33"/>
        <v>2.2083850427350429</v>
      </c>
      <c r="R341" s="1580">
        <v>2340000</v>
      </c>
      <c r="S341" s="1647">
        <f t="shared" si="34"/>
        <v>5167621</v>
      </c>
      <c r="T341" s="1142">
        <f t="shared" si="35"/>
        <v>317</v>
      </c>
      <c r="U341" s="1143" t="str">
        <f>VLOOKUP(B341,'[26]CN HĐ'!$H$10:$M$73,6,FALSE)</f>
        <v>Trừ 1 ngày nghỉ phép 23/11</v>
      </c>
      <c r="V341" s="1144"/>
      <c r="W341" s="1130"/>
      <c r="X341" s="1146"/>
      <c r="Y341" s="1147"/>
      <c r="Z341" s="1146"/>
      <c r="AA341" s="1146"/>
      <c r="AB341" s="1146"/>
      <c r="AC341" s="1146"/>
      <c r="AD341" s="1146"/>
      <c r="AE341" s="1146"/>
      <c r="AF341" s="1146"/>
      <c r="AG341" s="1146"/>
      <c r="AH341" s="1146"/>
      <c r="AI341" s="1146"/>
    </row>
    <row r="342" spans="1:35" s="1148" customFormat="1" ht="33" customHeight="1">
      <c r="A342" s="1132">
        <f>_xlfn.AGGREGATE(4,7,A$24:A341)+1</f>
        <v>318</v>
      </c>
      <c r="B342" s="1476" t="s">
        <v>2353</v>
      </c>
      <c r="C342" s="1497"/>
      <c r="D342" s="1498"/>
      <c r="E342" s="1058" t="str">
        <f>VLOOKUP(B342,TH.Q2!B245:E576,4,FALSE)</f>
        <v>NV Phòng Tuyển sinh - Đào tạo</v>
      </c>
      <c r="F342" s="1503"/>
      <c r="G342" s="1500"/>
      <c r="H342" s="1504"/>
      <c r="I342" s="1505"/>
      <c r="J342" s="1505"/>
      <c r="K342" s="1505"/>
      <c r="L342" s="1506"/>
      <c r="M342" s="1506"/>
      <c r="N342" s="1506"/>
      <c r="O342" s="1507"/>
      <c r="P342" s="1508">
        <v>4139616.0000000005</v>
      </c>
      <c r="Q342" s="1646">
        <f t="shared" si="33"/>
        <v>1.7690666666666668</v>
      </c>
      <c r="R342" s="1580">
        <v>2340000</v>
      </c>
      <c r="S342" s="1647">
        <f t="shared" si="34"/>
        <v>4139616.0000000005</v>
      </c>
      <c r="T342" s="1142">
        <f t="shared" si="35"/>
        <v>318</v>
      </c>
      <c r="U342" s="1143">
        <f>VLOOKUP(B342,'[26]CN HĐ'!$H$10:$M$73,6,FALSE)</f>
        <v>0</v>
      </c>
      <c r="V342" s="1144"/>
      <c r="W342" s="1130"/>
      <c r="X342" s="1146"/>
      <c r="Y342" s="1147"/>
      <c r="Z342" s="1146"/>
      <c r="AA342" s="1146"/>
      <c r="AB342" s="1146"/>
      <c r="AC342" s="1146"/>
      <c r="AD342" s="1146"/>
      <c r="AE342" s="1146"/>
      <c r="AF342" s="1146"/>
      <c r="AG342" s="1146"/>
      <c r="AH342" s="1146"/>
      <c r="AI342" s="1146"/>
    </row>
    <row r="343" spans="1:35" s="1148" customFormat="1" ht="33" customHeight="1">
      <c r="A343" s="1132">
        <f>_xlfn.AGGREGATE(4,7,A$24:A342)+1</f>
        <v>319</v>
      </c>
      <c r="B343" s="1476" t="s">
        <v>2138</v>
      </c>
      <c r="C343" s="1497"/>
      <c r="D343" s="1498"/>
      <c r="E343" s="1058" t="str">
        <f>VLOOKUP(B343,TH.Q2!B246:E577,4,FALSE)</f>
        <v>NV TT Điều hành và QLDL</v>
      </c>
      <c r="F343" s="1503"/>
      <c r="G343" s="1500"/>
      <c r="H343" s="1504"/>
      <c r="I343" s="1505"/>
      <c r="J343" s="1505"/>
      <c r="K343" s="1505"/>
      <c r="L343" s="1506"/>
      <c r="M343" s="1506"/>
      <c r="N343" s="1506"/>
      <c r="O343" s="1507"/>
      <c r="P343" s="1508">
        <v>1607709.5999999999</v>
      </c>
      <c r="Q343" s="1646">
        <f t="shared" si="33"/>
        <v>0.68705538461538451</v>
      </c>
      <c r="R343" s="1580">
        <v>2340000</v>
      </c>
      <c r="S343" s="1647">
        <f t="shared" si="34"/>
        <v>1607709.5999999999</v>
      </c>
      <c r="T343" s="1142">
        <f t="shared" si="35"/>
        <v>319</v>
      </c>
      <c r="U343" s="1143" t="str">
        <f>VLOOKUP(B343,'[26]CN HĐ'!$H$10:$M$73,6,FALSE)</f>
        <v>Trừ 5 ngày nghỉ phép 8+11+13+23+26/11</v>
      </c>
      <c r="V343" s="1144"/>
      <c r="W343" s="1130"/>
      <c r="X343" s="1146"/>
      <c r="Y343" s="1147"/>
      <c r="Z343" s="1146"/>
      <c r="AA343" s="1146"/>
      <c r="AB343" s="1146"/>
      <c r="AC343" s="1146"/>
      <c r="AD343" s="1146"/>
      <c r="AE343" s="1146"/>
      <c r="AF343" s="1146"/>
      <c r="AG343" s="1146"/>
      <c r="AH343" s="1146"/>
      <c r="AI343" s="1146"/>
    </row>
    <row r="344" spans="1:35" s="1148" customFormat="1" ht="33" customHeight="1">
      <c r="A344" s="1132">
        <f>_xlfn.AGGREGATE(4,7,A$24:A343)+1</f>
        <v>320</v>
      </c>
      <c r="B344" s="1476" t="s">
        <v>2142</v>
      </c>
      <c r="C344" s="1497"/>
      <c r="D344" s="1498"/>
      <c r="E344" s="1058" t="str">
        <f>VLOOKUP(B344,TH.Q2!B247:E578,4,FALSE)</f>
        <v>NV TT Điều hành và QLDL</v>
      </c>
      <c r="F344" s="1503"/>
      <c r="G344" s="1500"/>
      <c r="H344" s="1504"/>
      <c r="I344" s="1505"/>
      <c r="J344" s="1505"/>
      <c r="K344" s="1505"/>
      <c r="L344" s="1506"/>
      <c r="M344" s="1506"/>
      <c r="N344" s="1506"/>
      <c r="O344" s="1507"/>
      <c r="P344" s="1508">
        <v>5795462</v>
      </c>
      <c r="Q344" s="1646">
        <f t="shared" si="33"/>
        <v>2.4766931623931625</v>
      </c>
      <c r="R344" s="1580">
        <v>2340000</v>
      </c>
      <c r="S344" s="1647">
        <f t="shared" si="34"/>
        <v>5795462</v>
      </c>
      <c r="T344" s="1142">
        <f t="shared" si="35"/>
        <v>320</v>
      </c>
      <c r="U344" s="1143">
        <f>VLOOKUP(B344,'[26]CN HĐ'!$H$10:$M$73,6,FALSE)</f>
        <v>0</v>
      </c>
      <c r="V344" s="1144"/>
      <c r="W344" s="1130"/>
      <c r="X344" s="1146"/>
      <c r="Y344" s="1147"/>
      <c r="Z344" s="1146"/>
      <c r="AA344" s="1146"/>
      <c r="AB344" s="1146"/>
      <c r="AC344" s="1146"/>
      <c r="AD344" s="1146"/>
      <c r="AE344" s="1146"/>
      <c r="AF344" s="1146"/>
      <c r="AG344" s="1146"/>
      <c r="AH344" s="1146"/>
      <c r="AI344" s="1146"/>
    </row>
    <row r="345" spans="1:35" s="1148" customFormat="1" ht="33" customHeight="1">
      <c r="A345" s="1132">
        <f>_xlfn.AGGREGATE(4,7,A$24:A344)+1</f>
        <v>321</v>
      </c>
      <c r="B345" s="1476" t="s">
        <v>2143</v>
      </c>
      <c r="C345" s="1497"/>
      <c r="D345" s="1498"/>
      <c r="E345" s="1058" t="str">
        <f>VLOOKUP(B345,TH.Q2!B248:E579,4,FALSE)</f>
        <v>NV TT Điều hành và QLDL</v>
      </c>
      <c r="F345" s="1503"/>
      <c r="G345" s="1500"/>
      <c r="H345" s="1504"/>
      <c r="I345" s="1505"/>
      <c r="J345" s="1505"/>
      <c r="K345" s="1505"/>
      <c r="L345" s="1506"/>
      <c r="M345" s="1506"/>
      <c r="N345" s="1506"/>
      <c r="O345" s="1507"/>
      <c r="P345" s="1508">
        <v>3449680.0000000005</v>
      </c>
      <c r="Q345" s="1646">
        <f t="shared" si="33"/>
        <v>1.4742222222222223</v>
      </c>
      <c r="R345" s="1580">
        <v>2340000</v>
      </c>
      <c r="S345" s="1647">
        <f t="shared" si="34"/>
        <v>3449680.0000000005</v>
      </c>
      <c r="T345" s="1142">
        <f t="shared" si="35"/>
        <v>321</v>
      </c>
      <c r="U345" s="1143">
        <f>VLOOKUP(B345,'[26]CN HĐ'!$H$10:$M$73,6,FALSE)</f>
        <v>0</v>
      </c>
      <c r="V345" s="1144"/>
      <c r="W345" s="1130"/>
      <c r="X345" s="1146"/>
      <c r="Y345" s="1147"/>
      <c r="Z345" s="1146"/>
      <c r="AA345" s="1146"/>
      <c r="AB345" s="1146"/>
      <c r="AC345" s="1146"/>
      <c r="AD345" s="1146"/>
      <c r="AE345" s="1146"/>
      <c r="AF345" s="1146"/>
      <c r="AG345" s="1146"/>
      <c r="AH345" s="1146"/>
      <c r="AI345" s="1146"/>
    </row>
    <row r="346" spans="1:35" s="1148" customFormat="1" ht="33" customHeight="1">
      <c r="A346" s="1214">
        <f>_xlfn.AGGREGATE(4,7,A$24:A345)+1</f>
        <v>322</v>
      </c>
      <c r="B346" s="1488" t="s">
        <v>2144</v>
      </c>
      <c r="C346" s="1536"/>
      <c r="D346" s="1537"/>
      <c r="E346" s="579" t="str">
        <f>VLOOKUP(B346,TH.Q2!B249:E580,4,FALSE)</f>
        <v>NV phòng Khảo thí và ĐBCL</v>
      </c>
      <c r="F346" s="1542"/>
      <c r="G346" s="1539"/>
      <c r="H346" s="1543"/>
      <c r="I346" s="1544"/>
      <c r="J346" s="1544"/>
      <c r="K346" s="1544"/>
      <c r="L346" s="1545"/>
      <c r="M346" s="1545"/>
      <c r="N346" s="1545"/>
      <c r="O346" s="1546"/>
      <c r="P346" s="1547">
        <v>0</v>
      </c>
      <c r="Q346" s="1648">
        <f t="shared" ref="Q346:Q352" si="36">P346/R346</f>
        <v>0</v>
      </c>
      <c r="R346" s="1359">
        <v>2340000</v>
      </c>
      <c r="S346" s="1649">
        <f t="shared" ref="S346:S352" si="37">Q346*R346</f>
        <v>0</v>
      </c>
      <c r="T346" s="1142">
        <f t="shared" si="35"/>
        <v>322</v>
      </c>
      <c r="U346" s="1350" t="str">
        <f>VLOOKUP(B346,'[26]CN HĐ'!$H$10:$M$73,6,FALSE)</f>
        <v>Nghỉ hộ sản hưởng chế độ BHXH từ 09/9/2024</v>
      </c>
      <c r="V346" s="1144"/>
      <c r="W346" s="1130"/>
      <c r="X346" s="1146"/>
      <c r="Y346" s="1147"/>
      <c r="Z346" s="1146"/>
      <c r="AA346" s="1146"/>
      <c r="AB346" s="1146"/>
      <c r="AC346" s="1146"/>
      <c r="AD346" s="1146"/>
      <c r="AE346" s="1146"/>
      <c r="AF346" s="1146"/>
      <c r="AG346" s="1146"/>
      <c r="AH346" s="1146"/>
      <c r="AI346" s="1146"/>
    </row>
    <row r="347" spans="1:35" s="1148" customFormat="1" ht="33" customHeight="1">
      <c r="A347" s="1132">
        <f>_xlfn.AGGREGATE(4,7,A$24:A346)+1</f>
        <v>323</v>
      </c>
      <c r="B347" s="1476" t="s">
        <v>2147</v>
      </c>
      <c r="C347" s="1497"/>
      <c r="D347" s="1498"/>
      <c r="E347" s="1058" t="str">
        <f>VLOOKUP(B347,TH.Q2!B250:E581,4,FALSE)</f>
        <v>Khoa Động lực</v>
      </c>
      <c r="F347" s="1503"/>
      <c r="G347" s="1500"/>
      <c r="H347" s="1504"/>
      <c r="I347" s="1505"/>
      <c r="J347" s="1505"/>
      <c r="K347" s="1505"/>
      <c r="L347" s="1506"/>
      <c r="M347" s="1506"/>
      <c r="N347" s="1506"/>
      <c r="O347" s="1507"/>
      <c r="P347" s="1508">
        <v>8713279</v>
      </c>
      <c r="Q347" s="1646">
        <f t="shared" si="36"/>
        <v>3.7236235042735042</v>
      </c>
      <c r="R347" s="1580">
        <v>2340000</v>
      </c>
      <c r="S347" s="1647">
        <f t="shared" si="37"/>
        <v>8713279</v>
      </c>
      <c r="T347" s="1142">
        <f t="shared" si="35"/>
        <v>323</v>
      </c>
      <c r="U347" s="1143">
        <f>VLOOKUP(B347,'[26]CN HĐ'!$H$10:$M$73,6,FALSE)</f>
        <v>0</v>
      </c>
      <c r="V347" s="1144"/>
      <c r="W347" s="1130"/>
      <c r="X347" s="1146"/>
      <c r="Y347" s="1147"/>
      <c r="Z347" s="1146"/>
      <c r="AA347" s="1146"/>
      <c r="AB347" s="1146"/>
      <c r="AC347" s="1146"/>
      <c r="AD347" s="1146"/>
      <c r="AE347" s="1146"/>
      <c r="AF347" s="1146"/>
      <c r="AG347" s="1146"/>
      <c r="AH347" s="1146"/>
      <c r="AI347" s="1146"/>
    </row>
    <row r="348" spans="1:35" s="1148" customFormat="1" ht="33" customHeight="1">
      <c r="A348" s="1132">
        <f>_xlfn.AGGREGATE(4,7,A$24:A347)+1</f>
        <v>324</v>
      </c>
      <c r="B348" s="1476" t="s">
        <v>2149</v>
      </c>
      <c r="C348" s="1497"/>
      <c r="D348" s="1498"/>
      <c r="E348" s="1058" t="str">
        <f>VLOOKUP(B348,TH.Q2!B251:E582,4,FALSE)</f>
        <v>NV - TT Đào tạo và Quản lý vật tư thiết bị</v>
      </c>
      <c r="F348" s="1503"/>
      <c r="G348" s="1500"/>
      <c r="H348" s="1504"/>
      <c r="I348" s="1505"/>
      <c r="J348" s="1505"/>
      <c r="K348" s="1505"/>
      <c r="L348" s="1506"/>
      <c r="M348" s="1506"/>
      <c r="N348" s="1506"/>
      <c r="O348" s="1507"/>
      <c r="P348" s="1508">
        <v>4193108</v>
      </c>
      <c r="Q348" s="1646">
        <f t="shared" si="36"/>
        <v>1.7919264957264958</v>
      </c>
      <c r="R348" s="1580">
        <v>2340000</v>
      </c>
      <c r="S348" s="1647">
        <f t="shared" si="37"/>
        <v>4193108</v>
      </c>
      <c r="T348" s="1142">
        <f t="shared" si="35"/>
        <v>324</v>
      </c>
      <c r="U348" s="1143">
        <f>VLOOKUP(B348,'[26]CN HĐ'!$H$10:$M$73,6,FALSE)</f>
        <v>0</v>
      </c>
      <c r="V348" s="1144"/>
      <c r="W348" s="1130"/>
      <c r="X348" s="1146"/>
      <c r="Y348" s="1147"/>
      <c r="Z348" s="1146"/>
      <c r="AA348" s="1146"/>
      <c r="AB348" s="1146"/>
      <c r="AC348" s="1146"/>
      <c r="AD348" s="1146"/>
      <c r="AE348" s="1146"/>
      <c r="AF348" s="1146"/>
      <c r="AG348" s="1146"/>
      <c r="AH348" s="1146"/>
      <c r="AI348" s="1146"/>
    </row>
    <row r="349" spans="1:35" s="1148" customFormat="1" ht="33" customHeight="1">
      <c r="A349" s="1132">
        <f>_xlfn.AGGREGATE(4,7,A$24:A348)+1</f>
        <v>325</v>
      </c>
      <c r="B349" s="1476" t="s">
        <v>2151</v>
      </c>
      <c r="C349" s="1497"/>
      <c r="D349" s="1498"/>
      <c r="E349" s="1058" t="str">
        <f>VLOOKUP(B349,TH.Q2!B252:E583,4,FALSE)</f>
        <v>NV - TT Đào tạo và Quản lý vật tư thiết bị</v>
      </c>
      <c r="F349" s="1503"/>
      <c r="G349" s="1500"/>
      <c r="H349" s="1504"/>
      <c r="I349" s="1505"/>
      <c r="J349" s="1505"/>
      <c r="K349" s="1505"/>
      <c r="L349" s="1506"/>
      <c r="M349" s="1506"/>
      <c r="N349" s="1506"/>
      <c r="O349" s="1507"/>
      <c r="P349" s="1508">
        <v>2430400</v>
      </c>
      <c r="Q349" s="1646">
        <f t="shared" si="36"/>
        <v>1.0386324786324785</v>
      </c>
      <c r="R349" s="1580">
        <v>2340000</v>
      </c>
      <c r="S349" s="1647">
        <f t="shared" si="37"/>
        <v>2430400</v>
      </c>
      <c r="T349" s="1142">
        <f t="shared" si="35"/>
        <v>325</v>
      </c>
      <c r="U349" s="1143">
        <f>VLOOKUP(B349,'[26]CN HĐ'!$H$10:$M$73,6,FALSE)</f>
        <v>0</v>
      </c>
      <c r="V349" s="1144"/>
      <c r="W349" s="1130"/>
      <c r="X349" s="1146"/>
      <c r="Y349" s="1147"/>
      <c r="Z349" s="1146"/>
      <c r="AA349" s="1146"/>
      <c r="AB349" s="1146"/>
      <c r="AC349" s="1146"/>
      <c r="AD349" s="1146"/>
      <c r="AE349" s="1146"/>
      <c r="AF349" s="1146"/>
      <c r="AG349" s="1146"/>
      <c r="AH349" s="1146"/>
      <c r="AI349" s="1146"/>
    </row>
    <row r="350" spans="1:35" s="1148" customFormat="1" ht="33" customHeight="1">
      <c r="A350" s="1132">
        <f>_xlfn.AGGREGATE(4,7,A$24:A349)+1</f>
        <v>326</v>
      </c>
      <c r="B350" s="1476" t="s">
        <v>2152</v>
      </c>
      <c r="C350" s="1497"/>
      <c r="D350" s="1498"/>
      <c r="E350" s="1058" t="str">
        <f>VLOOKUP(B350,TH.Q2!B253:E584,4,FALSE)</f>
        <v xml:space="preserve">NV Thư viện  </v>
      </c>
      <c r="F350" s="1503"/>
      <c r="G350" s="1500"/>
      <c r="H350" s="1504"/>
      <c r="I350" s="1505"/>
      <c r="J350" s="1505"/>
      <c r="K350" s="1505"/>
      <c r="L350" s="1506"/>
      <c r="M350" s="1506"/>
      <c r="N350" s="1506"/>
      <c r="O350" s="1507"/>
      <c r="P350" s="1508">
        <v>5317668.16</v>
      </c>
      <c r="Q350" s="1646">
        <f t="shared" si="36"/>
        <v>2.2725077606837609</v>
      </c>
      <c r="R350" s="1580">
        <v>2340000</v>
      </c>
      <c r="S350" s="1647">
        <f t="shared" si="37"/>
        <v>5317668.16</v>
      </c>
      <c r="T350" s="1142">
        <f t="shared" si="35"/>
        <v>326</v>
      </c>
      <c r="U350" s="1143">
        <f>VLOOKUP(B350,'[26]CN HĐ'!$H$10:$M$73,6,FALSE)</f>
        <v>0</v>
      </c>
      <c r="V350" s="1144"/>
      <c r="W350" s="1130"/>
      <c r="X350" s="1146"/>
      <c r="Y350" s="1147"/>
      <c r="Z350" s="1146"/>
      <c r="AA350" s="1146"/>
      <c r="AB350" s="1146"/>
      <c r="AC350" s="1146"/>
      <c r="AD350" s="1146"/>
      <c r="AE350" s="1146"/>
      <c r="AF350" s="1146"/>
      <c r="AG350" s="1146"/>
      <c r="AH350" s="1146"/>
      <c r="AI350" s="1146"/>
    </row>
    <row r="351" spans="1:35" s="1148" customFormat="1" ht="33" customHeight="1">
      <c r="A351" s="1132">
        <f>_xlfn.AGGREGATE(4,7,A$24:A350)+1</f>
        <v>327</v>
      </c>
      <c r="B351" s="1476" t="s">
        <v>2155</v>
      </c>
      <c r="C351" s="1497"/>
      <c r="D351" s="1498"/>
      <c r="E351" s="1058" t="str">
        <f>VLOOKUP(B351,TH.Q2!B254:E585,4,FALSE)</f>
        <v xml:space="preserve">NV Thư viện  </v>
      </c>
      <c r="F351" s="1503"/>
      <c r="G351" s="1500"/>
      <c r="H351" s="1504"/>
      <c r="I351" s="1505"/>
      <c r="J351" s="1505"/>
      <c r="K351" s="1505"/>
      <c r="L351" s="1506"/>
      <c r="M351" s="1506"/>
      <c r="N351" s="1506"/>
      <c r="O351" s="1507"/>
      <c r="P351" s="1508">
        <v>4198812.84</v>
      </c>
      <c r="Q351" s="1646">
        <f t="shared" si="36"/>
        <v>1.7943644615384615</v>
      </c>
      <c r="R351" s="1580">
        <v>2340000</v>
      </c>
      <c r="S351" s="1647">
        <f t="shared" si="37"/>
        <v>4198812.84</v>
      </c>
      <c r="T351" s="1142">
        <f t="shared" si="35"/>
        <v>327</v>
      </c>
      <c r="U351" s="1143" t="str">
        <f>VLOOKUP(B351,'[26]CN HĐ'!$H$10:$M$73,6,FALSE)</f>
        <v>Trừ 2 ngày nghỉ phép 12+26/11</v>
      </c>
      <c r="V351" s="1144"/>
      <c r="W351" s="1130"/>
      <c r="X351" s="1146"/>
      <c r="Y351" s="1147"/>
      <c r="Z351" s="1146"/>
      <c r="AA351" s="1146"/>
      <c r="AB351" s="1146"/>
      <c r="AC351" s="1146"/>
      <c r="AD351" s="1146"/>
      <c r="AE351" s="1146"/>
      <c r="AF351" s="1146"/>
      <c r="AG351" s="1146"/>
      <c r="AH351" s="1146"/>
      <c r="AI351" s="1146"/>
    </row>
    <row r="352" spans="1:35" s="1148" customFormat="1" ht="33" customHeight="1">
      <c r="A352" s="1132">
        <f>_xlfn.AGGREGATE(4,7,A$24:A351)+1</f>
        <v>328</v>
      </c>
      <c r="B352" s="1476" t="s">
        <v>2156</v>
      </c>
      <c r="C352" s="1497"/>
      <c r="D352" s="1498"/>
      <c r="E352" s="1058" t="str">
        <f>VLOOKUP(B352,TH.Q2!B255:E586,4,FALSE)</f>
        <v xml:space="preserve">NV Thư viện  </v>
      </c>
      <c r="F352" s="1503"/>
      <c r="G352" s="1500"/>
      <c r="H352" s="1504"/>
      <c r="I352" s="1505"/>
      <c r="J352" s="1505"/>
      <c r="K352" s="1505"/>
      <c r="L352" s="1506"/>
      <c r="M352" s="1506"/>
      <c r="N352" s="1506"/>
      <c r="O352" s="1507"/>
      <c r="P352" s="1508">
        <v>5426192</v>
      </c>
      <c r="Q352" s="1646">
        <f t="shared" si="36"/>
        <v>2.31888547008547</v>
      </c>
      <c r="R352" s="1580">
        <v>2340000</v>
      </c>
      <c r="S352" s="1647">
        <f t="shared" si="37"/>
        <v>5426192</v>
      </c>
      <c r="T352" s="1142">
        <f t="shared" si="35"/>
        <v>328</v>
      </c>
      <c r="U352" s="1535">
        <f>VLOOKUP(B352,'[26]CN HĐ'!$H$10:$M$73,6,FALSE)</f>
        <v>0</v>
      </c>
      <c r="V352" s="1144"/>
      <c r="W352" s="1130"/>
      <c r="X352" s="1146"/>
      <c r="Y352" s="1147"/>
      <c r="Z352" s="1146"/>
      <c r="AA352" s="1146"/>
      <c r="AB352" s="1146"/>
      <c r="AC352" s="1146"/>
      <c r="AD352" s="1146"/>
      <c r="AE352" s="1146"/>
      <c r="AF352" s="1146"/>
      <c r="AG352" s="1146"/>
      <c r="AH352" s="1146"/>
      <c r="AI352" s="1146"/>
    </row>
    <row r="353" spans="1:25" s="1248" customFormat="1" ht="21.75" customHeight="1">
      <c r="A353" s="1237"/>
      <c r="B353" s="1238" t="s">
        <v>1109</v>
      </c>
      <c r="C353" s="1239"/>
      <c r="D353" s="1637"/>
      <c r="E353" s="1637"/>
      <c r="F353" s="1241">
        <f>SUM(F25:F288)</f>
        <v>1015.2155000000005</v>
      </c>
      <c r="G353" s="1241">
        <f>SUM(G25:G288)</f>
        <v>2.6899999999999995</v>
      </c>
      <c r="H353" s="1241">
        <f>SUM(H25:H288)</f>
        <v>13.299000000000003</v>
      </c>
      <c r="I353" s="1241">
        <f>SUM(I25:I288)</f>
        <v>23.949999999999996</v>
      </c>
      <c r="J353" s="1241"/>
      <c r="K353" s="1241">
        <f t="shared" ref="K353:P353" si="38">SUM(K25:K288)</f>
        <v>164.2499999999996</v>
      </c>
      <c r="L353" s="1242">
        <f t="shared" si="38"/>
        <v>5280</v>
      </c>
      <c r="M353" s="1242">
        <f t="shared" si="38"/>
        <v>5525</v>
      </c>
      <c r="N353" s="1242">
        <f t="shared" si="38"/>
        <v>5209</v>
      </c>
      <c r="O353" s="1242">
        <f t="shared" si="38"/>
        <v>982800</v>
      </c>
      <c r="P353" s="1242">
        <f t="shared" si="38"/>
        <v>1544703030</v>
      </c>
      <c r="Q353" s="1244"/>
      <c r="R353" s="1244"/>
      <c r="S353" s="1244">
        <f>SUM(S25:S352)</f>
        <v>1845638744.3199999</v>
      </c>
      <c r="T353" s="1245"/>
      <c r="U353" s="1637"/>
      <c r="V353" s="1246"/>
      <c r="W353" s="1247"/>
      <c r="Y353" s="1249"/>
    </row>
    <row r="354" spans="1:25" ht="2.25" customHeight="1">
      <c r="L354" s="1124"/>
      <c r="M354" s="1124"/>
      <c r="N354" s="1124"/>
      <c r="O354" s="1124"/>
      <c r="P354" s="1404"/>
      <c r="Q354" s="1404"/>
      <c r="R354" s="1404"/>
      <c r="S354" s="1404"/>
    </row>
    <row r="355" spans="1:25" s="1120" customFormat="1" ht="21.75" customHeight="1">
      <c r="B355" s="1622" t="s">
        <v>2413</v>
      </c>
      <c r="C355" s="1622"/>
      <c r="D355" s="1622"/>
      <c r="E355" s="1622"/>
      <c r="F355" s="1622"/>
      <c r="G355" s="1622"/>
      <c r="H355" s="1622"/>
      <c r="I355" s="1622"/>
      <c r="J355" s="1622"/>
      <c r="K355" s="1622"/>
      <c r="L355" s="1622"/>
      <c r="M355" s="1622"/>
      <c r="N355" s="1622"/>
      <c r="O355" s="1622"/>
      <c r="P355" s="1406"/>
      <c r="Q355" s="1406"/>
      <c r="R355" s="1406"/>
      <c r="S355" s="1406"/>
      <c r="U355" s="1407"/>
      <c r="V355" s="1125"/>
      <c r="W355" s="1126"/>
      <c r="Y355" s="1127"/>
    </row>
    <row r="356" spans="1:25" s="1120" customFormat="1" ht="18" customHeight="1">
      <c r="B356" s="1408"/>
      <c r="C356" s="1121"/>
      <c r="D356" s="1121"/>
      <c r="E356" s="1121"/>
      <c r="F356" s="1405"/>
      <c r="G356" s="1405"/>
      <c r="H356" s="1405"/>
      <c r="I356" s="1405"/>
      <c r="J356" s="1467">
        <f>COUNTIF($J$25:$J$288,"A2")</f>
        <v>38</v>
      </c>
      <c r="K356" s="1405"/>
      <c r="L356" s="1652" t="s">
        <v>2408</v>
      </c>
      <c r="M356" s="1652"/>
      <c r="N356" s="1652"/>
      <c r="O356" s="1652"/>
      <c r="P356" s="1652"/>
      <c r="Q356" s="1652"/>
      <c r="R356" s="1727" t="s">
        <v>2412</v>
      </c>
      <c r="S356" s="1727"/>
      <c r="T356" s="1727"/>
      <c r="U356" s="1727"/>
      <c r="V356" s="1125"/>
      <c r="W356" s="1126"/>
      <c r="Y356" s="1127"/>
    </row>
    <row r="357" spans="1:25">
      <c r="J357" s="1467">
        <f>COUNTIF($J$25:$J$288,"A3")</f>
        <v>101</v>
      </c>
      <c r="O357" s="1119" t="s">
        <v>2303</v>
      </c>
      <c r="P357" s="1119"/>
      <c r="Q357" s="1119"/>
      <c r="R357" s="1736" t="s">
        <v>2411</v>
      </c>
      <c r="S357" s="1736"/>
      <c r="T357" s="1736"/>
      <c r="U357" s="1736"/>
    </row>
    <row r="358" spans="1:25" s="1120" customFormat="1">
      <c r="A358" s="1704" t="s">
        <v>859</v>
      </c>
      <c r="B358" s="1704"/>
      <c r="C358" s="1121"/>
      <c r="D358" s="1121"/>
      <c r="E358" s="1704" t="s">
        <v>1191</v>
      </c>
      <c r="F358" s="1704"/>
      <c r="G358" s="1704"/>
      <c r="H358" s="1704"/>
      <c r="I358" s="1704"/>
      <c r="J358" s="1704"/>
      <c r="K358" s="1704"/>
      <c r="L358" s="1704"/>
      <c r="M358" s="1704"/>
      <c r="N358" s="1704"/>
      <c r="O358" s="1704"/>
      <c r="P358" s="1704"/>
      <c r="Q358" s="1704"/>
      <c r="R358" s="1704" t="s">
        <v>2304</v>
      </c>
      <c r="S358" s="1704"/>
      <c r="T358" s="1704"/>
      <c r="U358" s="1704"/>
      <c r="V358" s="1125"/>
      <c r="W358" s="1126"/>
      <c r="Y358" s="1127"/>
    </row>
    <row r="359" spans="1:25" s="1120" customFormat="1" ht="11.25" customHeight="1">
      <c r="A359" s="1638"/>
      <c r="B359" s="1638"/>
      <c r="C359" s="1121"/>
      <c r="D359" s="1121"/>
      <c r="E359" s="1121"/>
      <c r="F359" s="1638"/>
      <c r="G359" s="1638"/>
      <c r="H359" s="1638"/>
      <c r="I359" s="1638"/>
      <c r="J359" s="1470"/>
      <c r="K359" s="1638"/>
      <c r="L359" s="1638"/>
      <c r="M359" s="1638"/>
      <c r="N359" s="1638"/>
      <c r="O359" s="1121"/>
      <c r="P359" s="1704"/>
      <c r="Q359" s="1704"/>
      <c r="R359" s="1704"/>
      <c r="S359" s="1704"/>
      <c r="T359" s="1704"/>
      <c r="U359" s="1704"/>
      <c r="V359" s="1125"/>
      <c r="W359" s="1126"/>
      <c r="Y359" s="1127"/>
    </row>
    <row r="360" spans="1:25" s="1120" customFormat="1" ht="10.5" customHeight="1">
      <c r="A360" s="1638"/>
      <c r="B360" s="1638"/>
      <c r="C360" s="1121"/>
      <c r="D360" s="1121"/>
      <c r="E360" s="1121"/>
      <c r="F360" s="1638"/>
      <c r="G360" s="1638"/>
      <c r="H360" s="1638"/>
      <c r="I360" s="1638"/>
      <c r="J360" s="1594">
        <f>COUNTIF($J$25:$J$288,"A1")</f>
        <v>54</v>
      </c>
      <c r="K360" s="1638"/>
      <c r="L360" s="1638"/>
      <c r="M360" s="1638"/>
      <c r="N360" s="1638"/>
      <c r="O360" s="1121"/>
      <c r="P360" s="1638"/>
      <c r="Q360" s="1638"/>
      <c r="R360" s="1638"/>
      <c r="S360" s="1638"/>
      <c r="U360" s="1645"/>
      <c r="V360" s="1125"/>
      <c r="W360" s="1126"/>
      <c r="Y360" s="1127"/>
    </row>
    <row r="361" spans="1:25" s="1120" customFormat="1" ht="13.5" customHeight="1">
      <c r="J361" s="1594">
        <f>COUNTIF($J$25:$J$288,"A2")</f>
        <v>38</v>
      </c>
      <c r="L361" s="1638"/>
      <c r="M361" s="1638"/>
      <c r="N361" s="1638"/>
      <c r="O361" s="1643"/>
      <c r="P361" s="1643"/>
      <c r="Q361" s="1643"/>
      <c r="R361" s="1643"/>
      <c r="S361" s="1643"/>
      <c r="U361" s="1124"/>
      <c r="V361" s="1125"/>
      <c r="W361" s="1126"/>
      <c r="Y361" s="1127"/>
    </row>
    <row r="362" spans="1:25" s="1120" customFormat="1" ht="13.5" customHeight="1">
      <c r="J362" s="1594">
        <f>COUNTIF($J$25:$J$288,"A3")</f>
        <v>101</v>
      </c>
      <c r="L362" s="1638"/>
      <c r="M362" s="1638"/>
      <c r="N362" s="1638"/>
      <c r="O362" s="1643"/>
      <c r="P362" s="1643"/>
      <c r="Q362" s="1643"/>
      <c r="R362" s="1643"/>
      <c r="S362" s="1643"/>
      <c r="U362" s="1409"/>
      <c r="V362" s="1125"/>
      <c r="W362" s="1126"/>
      <c r="Y362" s="1127"/>
    </row>
    <row r="363" spans="1:25" s="1120" customFormat="1" ht="13.5" customHeight="1">
      <c r="J363" s="1594">
        <f>COUNTIF($J$25:$J$288,"A4")</f>
        <v>67</v>
      </c>
      <c r="L363" s="1638"/>
      <c r="M363" s="1638"/>
      <c r="N363" s="1638"/>
      <c r="O363" s="1643"/>
      <c r="P363" s="1410"/>
      <c r="Q363" s="1410"/>
      <c r="R363" s="1410"/>
      <c r="S363" s="1410"/>
      <c r="U363" s="1124"/>
      <c r="V363" s="1125"/>
      <c r="W363" s="1126"/>
      <c r="Y363" s="1127"/>
    </row>
    <row r="364" spans="1:25" s="1120" customFormat="1" ht="13.5" customHeight="1">
      <c r="F364" s="1643"/>
      <c r="G364" s="1643"/>
      <c r="H364" s="1643"/>
      <c r="I364" s="1643"/>
      <c r="J364" s="1594"/>
      <c r="K364" s="1643"/>
      <c r="L364" s="1643"/>
      <c r="M364" s="1643"/>
      <c r="N364" s="1643"/>
      <c r="O364" s="1643"/>
      <c r="P364" s="1643"/>
      <c r="Q364" s="1643"/>
      <c r="R364" s="1643"/>
      <c r="S364" s="1643"/>
      <c r="U364" s="1409"/>
      <c r="V364" s="1125"/>
      <c r="W364" s="1126"/>
      <c r="Y364" s="1127"/>
    </row>
    <row r="365" spans="1:25" s="1120" customFormat="1" ht="13.5" customHeight="1">
      <c r="F365" s="1643"/>
      <c r="G365" s="1643"/>
      <c r="H365" s="1643"/>
      <c r="I365" s="1643"/>
      <c r="J365" s="1643"/>
      <c r="K365" s="1643"/>
      <c r="L365" s="1643"/>
      <c r="M365" s="1643"/>
      <c r="N365" s="1643"/>
      <c r="O365" s="1643"/>
      <c r="P365" s="1643"/>
      <c r="Q365" s="1643"/>
      <c r="R365" s="1643"/>
      <c r="S365" s="1643"/>
      <c r="U365" s="1124"/>
      <c r="V365" s="1125"/>
      <c r="W365" s="1126"/>
      <c r="Y365" s="1127"/>
    </row>
    <row r="366" spans="1:25" s="1120" customFormat="1">
      <c r="A366" s="1704" t="s">
        <v>1827</v>
      </c>
      <c r="B366" s="1704"/>
      <c r="C366" s="1121"/>
      <c r="D366" s="1121"/>
      <c r="E366" s="1704" t="s">
        <v>1445</v>
      </c>
      <c r="F366" s="1704"/>
      <c r="G366" s="1704"/>
      <c r="H366" s="1704"/>
      <c r="I366" s="1704"/>
      <c r="J366" s="1704"/>
      <c r="K366" s="1704"/>
      <c r="L366" s="1704"/>
      <c r="M366" s="1704"/>
      <c r="N366" s="1704"/>
      <c r="O366" s="1704"/>
      <c r="P366" s="1704"/>
      <c r="Q366" s="1704"/>
      <c r="R366" s="1704" t="s">
        <v>1447</v>
      </c>
      <c r="S366" s="1704"/>
      <c r="T366" s="1704"/>
      <c r="U366" s="1704"/>
      <c r="V366" s="1125"/>
      <c r="W366" s="1126"/>
      <c r="Y366" s="1127"/>
    </row>
    <row r="367" spans="1:25" ht="15.75">
      <c r="A367" s="1412"/>
    </row>
    <row r="368" spans="1:25" ht="15.75" customHeight="1">
      <c r="A368" s="1412"/>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410" priority="98" stopIfTrue="1" operator="equal">
      <formula>"KXL"</formula>
    </cfRule>
    <cfRule type="cellIs" dxfId="409" priority="99" stopIfTrue="1" operator="equal">
      <formula>"A DN"</formula>
    </cfRule>
    <cfRule type="cellIs" dxfId="408" priority="100" stopIfTrue="1" operator="equal">
      <formula>"C"</formula>
    </cfRule>
    <cfRule type="cellIs" dxfId="407" priority="101" stopIfTrue="1" operator="equal">
      <formula>"B"</formula>
    </cfRule>
  </conditionalFormatting>
  <conditionalFormatting sqref="B280">
    <cfRule type="cellIs" dxfId="406" priority="94" stopIfTrue="1" operator="equal">
      <formula>"KXL"</formula>
    </cfRule>
    <cfRule type="cellIs" dxfId="405" priority="95" stopIfTrue="1" operator="equal">
      <formula>"A DN"</formula>
    </cfRule>
    <cfRule type="cellIs" dxfId="404" priority="96" stopIfTrue="1" operator="equal">
      <formula>"C"</formula>
    </cfRule>
    <cfRule type="cellIs" dxfId="403" priority="97" stopIfTrue="1" operator="equal">
      <formula>"B"</formula>
    </cfRule>
  </conditionalFormatting>
  <conditionalFormatting sqref="B62 W62:IR62 W75:IR75 W127:IR127">
    <cfRule type="cellIs" dxfId="402" priority="91" stopIfTrue="1" operator="equal">
      <formula>"C"</formula>
    </cfRule>
    <cfRule type="cellIs" dxfId="401" priority="92" stopIfTrue="1" operator="equal">
      <formula>"B"</formula>
    </cfRule>
    <cfRule type="cellIs" dxfId="400" priority="93" stopIfTrue="1" operator="equal">
      <formula>"A DN"</formula>
    </cfRule>
  </conditionalFormatting>
  <conditionalFormatting sqref="B75">
    <cfRule type="cellIs" dxfId="399" priority="88" stopIfTrue="1" operator="equal">
      <formula>"C"</formula>
    </cfRule>
    <cfRule type="cellIs" dxfId="398" priority="89" stopIfTrue="1" operator="equal">
      <formula>"B"</formula>
    </cfRule>
    <cfRule type="cellIs" dxfId="397" priority="90" stopIfTrue="1" operator="equal">
      <formula>"A DN"</formula>
    </cfRule>
  </conditionalFormatting>
  <conditionalFormatting sqref="B127">
    <cfRule type="cellIs" dxfId="396" priority="85" stopIfTrue="1" operator="equal">
      <formula>"C"</formula>
    </cfRule>
    <cfRule type="cellIs" dxfId="395" priority="86" stopIfTrue="1" operator="equal">
      <formula>"B"</formula>
    </cfRule>
    <cfRule type="cellIs" dxfId="394" priority="87" stopIfTrue="1" operator="equal">
      <formula>"A DN"</formula>
    </cfRule>
  </conditionalFormatting>
  <conditionalFormatting sqref="D127">
    <cfRule type="cellIs" dxfId="393" priority="81" stopIfTrue="1" operator="equal">
      <formula>"KXL"</formula>
    </cfRule>
    <cfRule type="cellIs" dxfId="392" priority="82" stopIfTrue="1" operator="equal">
      <formula>"A DN"</formula>
    </cfRule>
    <cfRule type="cellIs" dxfId="391" priority="83" stopIfTrue="1" operator="equal">
      <formula>"C"</formula>
    </cfRule>
    <cfRule type="cellIs" dxfId="390" priority="84" stopIfTrue="1" operator="equal">
      <formula>"B"</formula>
    </cfRule>
  </conditionalFormatting>
  <conditionalFormatting sqref="C29:D29">
    <cfRule type="cellIs" dxfId="389" priority="77" stopIfTrue="1" operator="equal">
      <formula>"KXL"</formula>
    </cfRule>
    <cfRule type="cellIs" dxfId="388" priority="78" stopIfTrue="1" operator="equal">
      <formula>"A DN"</formula>
    </cfRule>
    <cfRule type="cellIs" dxfId="387" priority="79" stopIfTrue="1" operator="equal">
      <formula>"C"</formula>
    </cfRule>
    <cfRule type="cellIs" dxfId="386" priority="80" stopIfTrue="1" operator="equal">
      <formula>"B"</formula>
    </cfRule>
  </conditionalFormatting>
  <conditionalFormatting sqref="C48:D48 C49">
    <cfRule type="cellIs" dxfId="385" priority="73" stopIfTrue="1" operator="equal">
      <formula>"KXL"</formula>
    </cfRule>
    <cfRule type="cellIs" dxfId="384" priority="74" stopIfTrue="1" operator="equal">
      <formula>"A DN"</formula>
    </cfRule>
    <cfRule type="cellIs" dxfId="383" priority="75" stopIfTrue="1" operator="equal">
      <formula>"C"</formula>
    </cfRule>
    <cfRule type="cellIs" dxfId="382" priority="76" stopIfTrue="1" operator="equal">
      <formula>"B"</formula>
    </cfRule>
  </conditionalFormatting>
  <conditionalFormatting sqref="T94">
    <cfRule type="cellIs" dxfId="381" priority="69" stopIfTrue="1" operator="equal">
      <formula>"KXL"</formula>
    </cfRule>
    <cfRule type="cellIs" dxfId="380" priority="70" stopIfTrue="1" operator="equal">
      <formula>"A DN"</formula>
    </cfRule>
    <cfRule type="cellIs" dxfId="379" priority="71" stopIfTrue="1" operator="equal">
      <formula>"C"</formula>
    </cfRule>
    <cfRule type="cellIs" dxfId="378" priority="72" stopIfTrue="1" operator="equal">
      <formula>"B"</formula>
    </cfRule>
  </conditionalFormatting>
  <conditionalFormatting sqref="W94:IR94 C94:D94">
    <cfRule type="cellIs" dxfId="377" priority="65" stopIfTrue="1" operator="equal">
      <formula>"KXL"</formula>
    </cfRule>
    <cfRule type="cellIs" dxfId="376" priority="66" stopIfTrue="1" operator="equal">
      <formula>"A DN"</formula>
    </cfRule>
    <cfRule type="cellIs" dxfId="375" priority="67" stopIfTrue="1" operator="equal">
      <formula>"C"</formula>
    </cfRule>
    <cfRule type="cellIs" dxfId="374" priority="68" stopIfTrue="1" operator="equal">
      <formula>"B"</formula>
    </cfRule>
  </conditionalFormatting>
  <conditionalFormatting sqref="F280:G352 F50:G61 F96:G126 F63:G74 F30:G47 I96:I126 I63:I74 I30:I47 I50:I61">
    <cfRule type="cellIs" dxfId="373" priority="61" stopIfTrue="1" operator="equal">
      <formula>"KXL"</formula>
    </cfRule>
    <cfRule type="cellIs" dxfId="372" priority="62" stopIfTrue="1" operator="equal">
      <formula>"A DN"</formula>
    </cfRule>
    <cfRule type="cellIs" dxfId="371" priority="63" stopIfTrue="1" operator="equal">
      <formula>"C"</formula>
    </cfRule>
    <cfRule type="cellIs" dxfId="370" priority="64" stopIfTrue="1" operator="equal">
      <formula>"B"</formula>
    </cfRule>
  </conditionalFormatting>
  <conditionalFormatting sqref="F62:G62 I62">
    <cfRule type="cellIs" dxfId="369" priority="58" stopIfTrue="1" operator="equal">
      <formula>"C"</formula>
    </cfRule>
    <cfRule type="cellIs" dxfId="368" priority="59" stopIfTrue="1" operator="equal">
      <formula>"B"</formula>
    </cfRule>
    <cfRule type="cellIs" dxfId="367" priority="60" stopIfTrue="1" operator="equal">
      <formula>"A DN"</formula>
    </cfRule>
  </conditionalFormatting>
  <conditionalFormatting sqref="F75:G75 I75">
    <cfRule type="cellIs" dxfId="366" priority="55" stopIfTrue="1" operator="equal">
      <formula>"C"</formula>
    </cfRule>
    <cfRule type="cellIs" dxfId="365" priority="56" stopIfTrue="1" operator="equal">
      <formula>"B"</formula>
    </cfRule>
    <cfRule type="cellIs" dxfId="364" priority="57" stopIfTrue="1" operator="equal">
      <formula>"A DN"</formula>
    </cfRule>
  </conditionalFormatting>
  <conditionalFormatting sqref="F127:G127 I127">
    <cfRule type="cellIs" dxfId="363" priority="52" stopIfTrue="1" operator="equal">
      <formula>"C"</formula>
    </cfRule>
    <cfRule type="cellIs" dxfId="362" priority="53" stopIfTrue="1" operator="equal">
      <formula>"B"</formula>
    </cfRule>
    <cfRule type="cellIs" dxfId="361" priority="54" stopIfTrue="1" operator="equal">
      <formula>"A DN"</formula>
    </cfRule>
  </conditionalFormatting>
  <conditionalFormatting sqref="F29:G29 I29">
    <cfRule type="cellIs" dxfId="360" priority="48" stopIfTrue="1" operator="equal">
      <formula>"KXL"</formula>
    </cfRule>
    <cfRule type="cellIs" dxfId="359" priority="49" stopIfTrue="1" operator="equal">
      <formula>"A DN"</formula>
    </cfRule>
    <cfRule type="cellIs" dxfId="358" priority="50" stopIfTrue="1" operator="equal">
      <formula>"C"</formula>
    </cfRule>
    <cfRule type="cellIs" dxfId="357" priority="51" stopIfTrue="1" operator="equal">
      <formula>"B"</formula>
    </cfRule>
  </conditionalFormatting>
  <conditionalFormatting sqref="I48:I49 F48:G49">
    <cfRule type="cellIs" dxfId="356" priority="44" stopIfTrue="1" operator="equal">
      <formula>"KXL"</formula>
    </cfRule>
    <cfRule type="cellIs" dxfId="355" priority="45" stopIfTrue="1" operator="equal">
      <formula>"A DN"</formula>
    </cfRule>
    <cfRule type="cellIs" dxfId="354" priority="46" stopIfTrue="1" operator="equal">
      <formula>"C"</formula>
    </cfRule>
    <cfRule type="cellIs" dxfId="353" priority="47" stopIfTrue="1" operator="equal">
      <formula>"B"</formula>
    </cfRule>
  </conditionalFormatting>
  <conditionalFormatting sqref="F94:G94">
    <cfRule type="cellIs" dxfId="352" priority="40" stopIfTrue="1" operator="equal">
      <formula>"KXL"</formula>
    </cfRule>
    <cfRule type="cellIs" dxfId="351" priority="41" stopIfTrue="1" operator="equal">
      <formula>"A DN"</formula>
    </cfRule>
    <cfRule type="cellIs" dxfId="350" priority="42" stopIfTrue="1" operator="equal">
      <formula>"C"</formula>
    </cfRule>
    <cfRule type="cellIs" dxfId="349" priority="43" stopIfTrue="1" operator="equal">
      <formula>"B"</formula>
    </cfRule>
  </conditionalFormatting>
  <conditionalFormatting sqref="J25:J352">
    <cfRule type="cellIs" dxfId="348" priority="33" operator="equal">
      <formula>"A DN"</formula>
    </cfRule>
    <cfRule type="cellIs" dxfId="347" priority="34" operator="equal">
      <formula>"KXL"</formula>
    </cfRule>
    <cfRule type="cellIs" dxfId="346" priority="35" operator="equal">
      <formula>"D"</formula>
    </cfRule>
    <cfRule type="cellIs" dxfId="345" priority="36" operator="equal">
      <formula>"C2"</formula>
    </cfRule>
    <cfRule type="cellIs" dxfId="344" priority="37" operator="equal">
      <formula>"C1"</formula>
    </cfRule>
    <cfRule type="cellIs" dxfId="343" priority="38" operator="equal">
      <formula>"B2"</formula>
    </cfRule>
    <cfRule type="cellIs" dxfId="342" priority="39" operator="equal">
      <formula>"B1"</formula>
    </cfRule>
  </conditionalFormatting>
  <conditionalFormatting sqref="E22">
    <cfRule type="cellIs" dxfId="341" priority="29" stopIfTrue="1" operator="equal">
      <formula>"KXL"</formula>
    </cfRule>
    <cfRule type="cellIs" dxfId="340" priority="30" stopIfTrue="1" operator="equal">
      <formula>"A DN"</formula>
    </cfRule>
    <cfRule type="cellIs" dxfId="339" priority="31" stopIfTrue="1" operator="equal">
      <formula>"C"</formula>
    </cfRule>
    <cfRule type="cellIs" dxfId="338" priority="32" stopIfTrue="1" operator="equal">
      <formula>"B"</formula>
    </cfRule>
  </conditionalFormatting>
  <conditionalFormatting sqref="K23">
    <cfRule type="cellIs" dxfId="337" priority="25" stopIfTrue="1" operator="equal">
      <formula>"KXL"</formula>
    </cfRule>
    <cfRule type="cellIs" dxfId="336" priority="26" stopIfTrue="1" operator="equal">
      <formula>"A DN"</formula>
    </cfRule>
    <cfRule type="cellIs" dxfId="335" priority="27" stopIfTrue="1" operator="equal">
      <formula>"C"</formula>
    </cfRule>
    <cfRule type="cellIs" dxfId="334" priority="28" stopIfTrue="1" operator="equal">
      <formula>"B"</formula>
    </cfRule>
  </conditionalFormatting>
  <conditionalFormatting sqref="B309:B319">
    <cfRule type="cellIs" dxfId="333" priority="21" stopIfTrue="1" operator="equal">
      <formula>"KXL"</formula>
    </cfRule>
    <cfRule type="cellIs" dxfId="332" priority="22" stopIfTrue="1" operator="equal">
      <formula>"A DN"</formula>
    </cfRule>
    <cfRule type="cellIs" dxfId="331" priority="23" stopIfTrue="1" operator="equal">
      <formula>"C"</formula>
    </cfRule>
    <cfRule type="cellIs" dxfId="330" priority="24" stopIfTrue="1" operator="equal">
      <formula>"B"</formula>
    </cfRule>
  </conditionalFormatting>
  <conditionalFormatting sqref="B292:B304">
    <cfRule type="cellIs" dxfId="329" priority="17" stopIfTrue="1" operator="equal">
      <formula>"KXL"</formula>
    </cfRule>
    <cfRule type="cellIs" dxfId="328" priority="18" stopIfTrue="1" operator="equal">
      <formula>"A DN"</formula>
    </cfRule>
    <cfRule type="cellIs" dxfId="327" priority="19" stopIfTrue="1" operator="equal">
      <formula>"C"</formula>
    </cfRule>
    <cfRule type="cellIs" dxfId="326" priority="20" stopIfTrue="1" operator="equal">
      <formula>"B"</formula>
    </cfRule>
  </conditionalFormatting>
  <conditionalFormatting sqref="A7 V1:IR2 V7:IR7 V12:IR12 F10 A10:D10 P10:T10 V10:XFD11 C11:D11 A9:I9 L10:M10 L9:XFD9 A4:XFD4 A8:XFD8 A12:T12 F11:J11 H1:I2 A1:A3 H3:XFD3 A6:XFD6 AK5:XFD5">
    <cfRule type="cellIs" dxfId="325" priority="13" stopIfTrue="1" operator="equal">
      <formula>"KXL"</formula>
    </cfRule>
    <cfRule type="cellIs" dxfId="324" priority="14" stopIfTrue="1" operator="equal">
      <formula>"A DN"</formula>
    </cfRule>
    <cfRule type="cellIs" dxfId="323" priority="15" stopIfTrue="1" operator="equal">
      <formula>"C"</formula>
    </cfRule>
    <cfRule type="cellIs" dxfId="322" priority="16" stopIfTrue="1" operator="equal">
      <formula>"B"</formula>
    </cfRule>
  </conditionalFormatting>
  <conditionalFormatting sqref="E10">
    <cfRule type="cellIs" dxfId="321" priority="9" stopIfTrue="1" operator="equal">
      <formula>"KXL"</formula>
    </cfRule>
    <cfRule type="cellIs" dxfId="320" priority="10" stopIfTrue="1" operator="equal">
      <formula>"A DN"</formula>
    </cfRule>
    <cfRule type="cellIs" dxfId="319" priority="11" stopIfTrue="1" operator="equal">
      <formula>"C"</formula>
    </cfRule>
    <cfRule type="cellIs" dxfId="318" priority="12" stopIfTrue="1" operator="equal">
      <formula>"B"</formula>
    </cfRule>
  </conditionalFormatting>
  <conditionalFormatting sqref="K11">
    <cfRule type="cellIs" dxfId="317" priority="5" stopIfTrue="1" operator="equal">
      <formula>"KXL"</formula>
    </cfRule>
    <cfRule type="cellIs" dxfId="316" priority="6" stopIfTrue="1" operator="equal">
      <formula>"A DN"</formula>
    </cfRule>
    <cfRule type="cellIs" dxfId="315" priority="7" stopIfTrue="1" operator="equal">
      <formula>"C"</formula>
    </cfRule>
    <cfRule type="cellIs" dxfId="314" priority="8" stopIfTrue="1" operator="equal">
      <formula>"B"</formula>
    </cfRule>
  </conditionalFormatting>
  <conditionalFormatting sqref="A5">
    <cfRule type="cellIs" dxfId="313" priority="1" stopIfTrue="1" operator="equal">
      <formula>"KXL"</formula>
    </cfRule>
    <cfRule type="cellIs" dxfId="312" priority="2" stopIfTrue="1" operator="equal">
      <formula>"A DN"</formula>
    </cfRule>
    <cfRule type="cellIs" dxfId="311" priority="3" stopIfTrue="1" operator="equal">
      <formula>"C"</formula>
    </cfRule>
    <cfRule type="cellIs" dxfId="310" priority="4" stopIfTrue="1" operator="equal">
      <formula>"B"</formula>
    </cfRule>
  </conditionalFormatting>
  <dataValidations count="1">
    <dataValidation type="list" allowBlank="1" showInputMessage="1" showErrorMessage="1" sqref="Y28">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3"/>
  <sheetViews>
    <sheetView tabSelected="1" zoomScaleNormal="100" workbookViewId="0">
      <selection activeCell="U243" sqref="U243"/>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1.140625" style="1272" customWidth="1"/>
    <col min="7" max="11" width="8.140625" style="1272" customWidth="1"/>
    <col min="12" max="13" width="8.85546875" style="1272" customWidth="1"/>
    <col min="14" max="14" width="10.5703125" style="1272" customWidth="1"/>
    <col min="15" max="15" width="17.140625" style="1272" customWidth="1"/>
    <col min="16" max="16" width="4" style="1272" hidden="1" customWidth="1"/>
    <col min="17" max="17" width="3.85546875" style="1272" customWidth="1"/>
    <col min="18" max="18" width="17.42578125" style="1124" customWidth="1"/>
    <col min="19" max="19" width="17.42578125" style="1272" customWidth="1"/>
    <col min="20" max="16384" width="9.140625" style="1272"/>
  </cols>
  <sheetData>
    <row r="1" spans="1:26">
      <c r="A1" s="1703" t="s">
        <v>492</v>
      </c>
      <c r="B1" s="1703"/>
      <c r="C1" s="1703"/>
      <c r="D1" s="1703"/>
      <c r="E1" s="1703"/>
      <c r="F1" s="1703"/>
      <c r="G1" s="1703"/>
      <c r="H1" s="1120"/>
      <c r="I1" s="1120"/>
      <c r="J1" s="1704" t="s">
        <v>849</v>
      </c>
      <c r="K1" s="1704"/>
      <c r="L1" s="1704"/>
      <c r="M1" s="1704"/>
      <c r="N1" s="1704"/>
      <c r="O1" s="1704"/>
      <c r="P1" s="1704"/>
      <c r="Q1" s="1704"/>
      <c r="R1" s="1704"/>
    </row>
    <row r="2" spans="1:26" ht="15" customHeight="1">
      <c r="A2" s="1704" t="s">
        <v>1563</v>
      </c>
      <c r="B2" s="1704"/>
      <c r="C2" s="1704"/>
      <c r="D2" s="1704"/>
      <c r="E2" s="1704"/>
      <c r="F2" s="1704"/>
      <c r="G2" s="1704"/>
      <c r="H2" s="1121"/>
      <c r="I2" s="1121"/>
      <c r="J2" s="1704" t="s">
        <v>2179</v>
      </c>
      <c r="K2" s="1704"/>
      <c r="L2" s="1704"/>
      <c r="M2" s="1704"/>
      <c r="N2" s="1704"/>
      <c r="O2" s="1704"/>
      <c r="P2" s="1704"/>
      <c r="Q2" s="1704"/>
      <c r="R2" s="1704"/>
    </row>
    <row r="3" spans="1:26" ht="16.5" customHeight="1">
      <c r="A3" s="1704" t="s">
        <v>1564</v>
      </c>
      <c r="B3" s="1704"/>
      <c r="C3" s="1704"/>
      <c r="D3" s="1704"/>
      <c r="E3" s="1704"/>
      <c r="F3" s="1704"/>
      <c r="G3" s="1704"/>
      <c r="H3" s="1121"/>
      <c r="I3" s="1121"/>
      <c r="J3" s="1121"/>
      <c r="K3" s="1121"/>
      <c r="L3" s="1123"/>
      <c r="M3" s="1575"/>
      <c r="N3" s="1123"/>
      <c r="O3" s="1388"/>
      <c r="P3" s="1388"/>
      <c r="Q3" s="1120"/>
    </row>
    <row r="4" spans="1:26" ht="9" customHeight="1">
      <c r="A4" s="1389"/>
      <c r="B4" s="1389"/>
      <c r="C4" s="1389"/>
      <c r="D4" s="1389"/>
      <c r="E4" s="1389"/>
      <c r="F4" s="1389"/>
      <c r="G4" s="1389"/>
      <c r="H4" s="1389"/>
      <c r="I4" s="1389"/>
      <c r="J4" s="1389"/>
      <c r="K4" s="1389"/>
      <c r="L4" s="1123"/>
      <c r="M4" s="1575"/>
      <c r="N4" s="1123"/>
      <c r="O4" s="1388"/>
      <c r="P4" s="1388"/>
      <c r="Q4" s="1120"/>
    </row>
    <row r="5" spans="1:26" ht="18.75" customHeight="1">
      <c r="A5" s="1706" t="s">
        <v>2422</v>
      </c>
      <c r="B5" s="1706"/>
      <c r="C5" s="1706"/>
      <c r="D5" s="1706"/>
      <c r="E5" s="1706"/>
      <c r="F5" s="1706"/>
      <c r="G5" s="1706"/>
      <c r="H5" s="1706"/>
      <c r="I5" s="1706"/>
      <c r="J5" s="1706"/>
      <c r="K5" s="1706"/>
      <c r="L5" s="1706"/>
      <c r="M5" s="1706"/>
      <c r="N5" s="1706"/>
      <c r="O5" s="1706"/>
      <c r="P5" s="1706"/>
      <c r="Q5" s="1706"/>
      <c r="R5" s="1706"/>
    </row>
    <row r="6" spans="1:26" ht="18.75" customHeight="1">
      <c r="A6" s="1706" t="s">
        <v>1600</v>
      </c>
      <c r="B6" s="1706"/>
      <c r="C6" s="1706"/>
      <c r="D6" s="1706"/>
      <c r="E6" s="1706"/>
      <c r="F6" s="1706"/>
      <c r="G6" s="1706"/>
      <c r="H6" s="1706"/>
      <c r="I6" s="1706"/>
      <c r="J6" s="1706"/>
      <c r="K6" s="1706"/>
      <c r="L6" s="1706"/>
      <c r="M6" s="1706"/>
      <c r="N6" s="1706"/>
      <c r="O6" s="1706"/>
      <c r="P6" s="1706"/>
      <c r="Q6" s="1706"/>
      <c r="R6" s="1706"/>
    </row>
    <row r="7" spans="1:26" ht="36.75" customHeight="1">
      <c r="A7" s="1707" t="s">
        <v>2415</v>
      </c>
      <c r="B7" s="1707"/>
      <c r="C7" s="1707"/>
      <c r="D7" s="1707"/>
      <c r="E7" s="1707"/>
      <c r="F7" s="1707"/>
      <c r="G7" s="1707"/>
      <c r="H7" s="1707"/>
      <c r="I7" s="1707"/>
      <c r="J7" s="1707"/>
      <c r="K7" s="1707"/>
      <c r="L7" s="1707"/>
      <c r="M7" s="1707"/>
      <c r="N7" s="1707"/>
      <c r="O7" s="1707"/>
      <c r="P7" s="1707"/>
      <c r="Q7" s="1707"/>
      <c r="R7" s="1707"/>
    </row>
    <row r="8" spans="1:26" s="1120" customFormat="1" ht="16.5" customHeight="1">
      <c r="A8" s="1119"/>
      <c r="C8" s="1121"/>
      <c r="D8" s="1121"/>
      <c r="E8" s="1121"/>
      <c r="F8" s="1123"/>
      <c r="G8" s="1123"/>
      <c r="H8" s="1123"/>
      <c r="I8" s="1123"/>
      <c r="J8" s="1123"/>
      <c r="K8" s="1123"/>
      <c r="L8" s="1708"/>
      <c r="M8" s="1708"/>
      <c r="N8" s="1708"/>
      <c r="O8" s="1351" t="s">
        <v>1181</v>
      </c>
      <c r="P8" s="1351"/>
      <c r="Q8" s="1123"/>
      <c r="R8" s="1124"/>
    </row>
    <row r="9" spans="1:26" ht="17.25" customHeight="1">
      <c r="A9" s="1124"/>
      <c r="B9" s="1119"/>
      <c r="C9" s="1119"/>
      <c r="D9" s="1121"/>
      <c r="E9" s="1121"/>
      <c r="F9" s="1124"/>
      <c r="G9" s="1124"/>
      <c r="H9" s="1124"/>
      <c r="I9" s="1124"/>
      <c r="J9" s="1709"/>
      <c r="K9" s="1709"/>
      <c r="L9" s="1124"/>
      <c r="M9" s="1124"/>
      <c r="N9" s="1404" t="s">
        <v>2371</v>
      </c>
      <c r="O9" s="1464">
        <v>2340000</v>
      </c>
      <c r="P9" s="1269"/>
      <c r="Q9" s="1124"/>
    </row>
    <row r="10" spans="1:26" s="1384" customFormat="1" ht="27.75" customHeight="1">
      <c r="A10" s="1710" t="s">
        <v>853</v>
      </c>
      <c r="B10" s="1710" t="s">
        <v>854</v>
      </c>
      <c r="C10" s="1380" t="s">
        <v>1598</v>
      </c>
      <c r="D10" s="1381" t="s">
        <v>50</v>
      </c>
      <c r="E10" s="1710" t="s">
        <v>2176</v>
      </c>
      <c r="F10" s="1712" t="s">
        <v>2405</v>
      </c>
      <c r="G10" s="1713"/>
      <c r="H10" s="1713"/>
      <c r="I10" s="1714"/>
      <c r="J10" s="1713" t="s">
        <v>860</v>
      </c>
      <c r="K10" s="1714"/>
      <c r="L10" s="1712" t="s">
        <v>2387</v>
      </c>
      <c r="M10" s="1714"/>
      <c r="N10" s="1710" t="s">
        <v>2269</v>
      </c>
      <c r="O10" s="1710" t="s">
        <v>1100</v>
      </c>
      <c r="P10" s="1382"/>
      <c r="Q10" s="1719" t="s">
        <v>40</v>
      </c>
      <c r="R10" s="1720"/>
    </row>
    <row r="11" spans="1:26" s="1384" customFormat="1" ht="23.25" customHeight="1">
      <c r="A11" s="1711"/>
      <c r="B11" s="1711"/>
      <c r="C11" s="1380"/>
      <c r="D11" s="1381"/>
      <c r="E11" s="1711"/>
      <c r="F11" s="1574" t="s">
        <v>2356</v>
      </c>
      <c r="G11" s="1573" t="s">
        <v>2357</v>
      </c>
      <c r="H11" s="1573" t="s">
        <v>2262</v>
      </c>
      <c r="I11" s="1574" t="s">
        <v>2358</v>
      </c>
      <c r="J11" s="1574" t="s">
        <v>2270</v>
      </c>
      <c r="K11" s="1574" t="s">
        <v>2271</v>
      </c>
      <c r="L11" s="1576" t="s">
        <v>2388</v>
      </c>
      <c r="M11" s="1576" t="s">
        <v>2389</v>
      </c>
      <c r="N11" s="1711"/>
      <c r="O11" s="1711"/>
      <c r="P11" s="1382"/>
      <c r="Q11" s="1721"/>
      <c r="R11" s="1722"/>
    </row>
    <row r="12" spans="1:26" s="1130" customFormat="1" ht="15" customHeight="1">
      <c r="A12" s="1128" t="s">
        <v>1110</v>
      </c>
      <c r="B12" s="1128" t="s">
        <v>1111</v>
      </c>
      <c r="C12" s="1128" t="s">
        <v>1112</v>
      </c>
      <c r="D12" s="1128" t="s">
        <v>1113</v>
      </c>
      <c r="E12" s="1128" t="s">
        <v>1112</v>
      </c>
      <c r="F12" s="1128" t="s">
        <v>1113</v>
      </c>
      <c r="G12" s="1128" t="s">
        <v>1114</v>
      </c>
      <c r="H12" s="1128" t="s">
        <v>1115</v>
      </c>
      <c r="I12" s="1128" t="s">
        <v>1116</v>
      </c>
      <c r="J12" s="1128" t="s">
        <v>1117</v>
      </c>
      <c r="K12" s="1128" t="s">
        <v>1118</v>
      </c>
      <c r="L12" s="1128" t="s">
        <v>1119</v>
      </c>
      <c r="M12" s="1128" t="s">
        <v>1120</v>
      </c>
      <c r="N12" s="1128" t="s">
        <v>1121</v>
      </c>
      <c r="O12" s="1128" t="s">
        <v>1122</v>
      </c>
      <c r="P12" s="1352"/>
      <c r="Q12" s="1723" t="s">
        <v>1123</v>
      </c>
      <c r="R12" s="1724"/>
    </row>
    <row r="13" spans="1:26" s="1148" customFormat="1" ht="27.75" customHeight="1">
      <c r="A13" s="1132">
        <f>_xlfn.AGGREGATE(4,7,A$12:A12)+1</f>
        <v>1</v>
      </c>
      <c r="B13" s="1133" t="s">
        <v>1447</v>
      </c>
      <c r="C13" s="1149" t="s">
        <v>1614</v>
      </c>
      <c r="D13" s="1150" t="s">
        <v>1442</v>
      </c>
      <c r="E13" s="1058" t="str">
        <f>VLOOKUP(B13,TH.Q2!B19:E350,4,FALSE)</f>
        <v>Phó Hiệu trưởng</v>
      </c>
      <c r="F13" s="1136">
        <v>4.9800000000000004</v>
      </c>
      <c r="G13" s="1137">
        <v>0.08</v>
      </c>
      <c r="H13" s="1393">
        <f t="shared" ref="H13:H75" si="0">ROUND(F13*G13,3)</f>
        <v>0.39800000000000002</v>
      </c>
      <c r="I13" s="1138">
        <v>0.9</v>
      </c>
      <c r="J13" s="1138" t="str">
        <f>VLOOKUP(B13,'[27]Gui chi Quynh'!$B$11:$E$388,4,FALSE)</f>
        <v>A1</v>
      </c>
      <c r="K13" s="1138">
        <f t="shared" ref="K13:K75" si="1">IF(J13="A1",0.8,IF(J13="A2",0.7,IF(J13="A3",0.6,IF(J13="A4",0.5,IF(J13="B1",0.35,IF(J13="B2",0.25,IF(J13="C1",0.15,IF(J13="C2",0.1,0))))))))</f>
        <v>0.8</v>
      </c>
      <c r="L13" s="1139">
        <v>20</v>
      </c>
      <c r="M13" s="1139">
        <v>20</v>
      </c>
      <c r="N13" s="1140"/>
      <c r="O13" s="1141">
        <f t="shared" ref="O13:O44" si="2">(((F13+H13+I13)*$O$9/L13*M13)*K13)+N13</f>
        <v>11752416.000000002</v>
      </c>
      <c r="P13" s="1140">
        <v>29</v>
      </c>
      <c r="Q13" s="1142">
        <f t="shared" ref="Q13:Q76" si="3">A13</f>
        <v>1</v>
      </c>
      <c r="R13" s="1143">
        <f>VLOOKUP(B13,'[28]CN BC'!$F$10:$K$270,6,FALSE)</f>
        <v>0</v>
      </c>
      <c r="S13" s="1656"/>
      <c r="T13" s="1146"/>
      <c r="U13" s="1146"/>
      <c r="V13" s="1146"/>
      <c r="W13" s="1146"/>
      <c r="X13" s="1146"/>
      <c r="Y13" s="1146"/>
      <c r="Z13" s="1146"/>
    </row>
    <row r="14" spans="1:26" s="1148" customFormat="1" ht="27" customHeight="1">
      <c r="A14" s="1132">
        <f>_xlfn.AGGREGATE(4,7,A$12:A13)+1</f>
        <v>2</v>
      </c>
      <c r="B14" s="1133" t="s">
        <v>1845</v>
      </c>
      <c r="C14" s="1153" t="s">
        <v>1615</v>
      </c>
      <c r="D14" s="1154" t="s">
        <v>1255</v>
      </c>
      <c r="E14" s="383" t="str">
        <f>VLOOKUP(B14,TH.Q2!B20:E351,4,FALSE)</f>
        <v>Phó Hiệu trưởng</v>
      </c>
      <c r="F14" s="1136">
        <v>5.76</v>
      </c>
      <c r="G14" s="1137"/>
      <c r="H14" s="1400">
        <f t="shared" si="0"/>
        <v>0</v>
      </c>
      <c r="I14" s="1138">
        <v>0.7</v>
      </c>
      <c r="J14" s="1138" t="str">
        <f>VLOOKUP(B14,'[27]Gui chi Quynh'!$B$11:$E$388,4,FALSE)</f>
        <v>A1</v>
      </c>
      <c r="K14" s="1138">
        <f t="shared" si="1"/>
        <v>0.8</v>
      </c>
      <c r="L14" s="1139">
        <v>20</v>
      </c>
      <c r="M14" s="1139">
        <v>20</v>
      </c>
      <c r="N14" s="1155"/>
      <c r="O14" s="1141">
        <f t="shared" si="2"/>
        <v>12093120</v>
      </c>
      <c r="P14" s="1155">
        <v>29</v>
      </c>
      <c r="Q14" s="1142">
        <f t="shared" si="3"/>
        <v>2</v>
      </c>
      <c r="R14" s="1143">
        <f>VLOOKUP(B14,'[28]CN BC'!$F$10:$K$270,6,FALSE)</f>
        <v>0</v>
      </c>
      <c r="S14" s="1658"/>
    </row>
    <row r="15" spans="1:26" s="1148" customFormat="1" ht="24.75" customHeight="1">
      <c r="A15" s="1132">
        <f>_xlfn.AGGREGATE(4,7,A$12:A14)+1</f>
        <v>3</v>
      </c>
      <c r="B15" s="1133" t="s">
        <v>1533</v>
      </c>
      <c r="C15" s="1153" t="s">
        <v>1954</v>
      </c>
      <c r="D15" s="1159" t="s">
        <v>1937</v>
      </c>
      <c r="E15" s="1058" t="str">
        <f>VLOOKUP(B15,TH.Q2!B21:E352,4,FALSE)</f>
        <v>Phó Hiệu trưởng</v>
      </c>
      <c r="F15" s="1160">
        <v>4.9800000000000004</v>
      </c>
      <c r="G15" s="1137"/>
      <c r="H15" s="1393">
        <f t="shared" si="0"/>
        <v>0</v>
      </c>
      <c r="I15" s="1138">
        <v>0.7</v>
      </c>
      <c r="J15" s="1138" t="str">
        <f>VLOOKUP(B15,'[27]Gui chi Quynh'!$B$11:$E$388,4,FALSE)</f>
        <v>A1</v>
      </c>
      <c r="K15" s="1138">
        <f t="shared" si="1"/>
        <v>0.8</v>
      </c>
      <c r="L15" s="1139">
        <v>20</v>
      </c>
      <c r="M15" s="1139">
        <v>20</v>
      </c>
      <c r="N15" s="1140"/>
      <c r="O15" s="1141">
        <f t="shared" si="2"/>
        <v>10632960.000000002</v>
      </c>
      <c r="P15" s="1140">
        <v>30</v>
      </c>
      <c r="Q15" s="1142">
        <f t="shared" si="3"/>
        <v>3</v>
      </c>
      <c r="R15" s="1143">
        <f>VLOOKUP(B15,'[28]CN BC'!$F$10:$K$270,6,FALSE)</f>
        <v>0</v>
      </c>
      <c r="S15" s="1656"/>
      <c r="T15" s="1146"/>
      <c r="U15" s="1146"/>
      <c r="V15" s="1146"/>
    </row>
    <row r="16" spans="1:26" s="1148" customFormat="1" ht="34.5" customHeight="1">
      <c r="A16" s="1132">
        <f>_xlfn.AGGREGATE(4,7,A$12:A15)+1</f>
        <v>4</v>
      </c>
      <c r="B16" s="1164" t="s">
        <v>1596</v>
      </c>
      <c r="C16" s="1165" t="s">
        <v>1623</v>
      </c>
      <c r="D16" s="1166">
        <v>1603205353720</v>
      </c>
      <c r="E16" s="1058" t="str">
        <f>VLOOKUP(B16,TH.Q2!B23:E354,4,FALSE)</f>
        <v>Phó Trưởng phòng Tổ chức - Hành chính - TH</v>
      </c>
      <c r="F16" s="1160">
        <v>3.66</v>
      </c>
      <c r="G16" s="1137"/>
      <c r="H16" s="1393">
        <f t="shared" si="0"/>
        <v>0</v>
      </c>
      <c r="I16" s="1138">
        <v>0.35</v>
      </c>
      <c r="J16" s="1138" t="str">
        <f>VLOOKUP(B16,'[27]Gui chi Quynh'!$B$11:$E$388,4,FALSE)</f>
        <v>A1</v>
      </c>
      <c r="K16" s="1138">
        <f t="shared" si="1"/>
        <v>0.8</v>
      </c>
      <c r="L16" s="1139">
        <v>20</v>
      </c>
      <c r="M16" s="1139">
        <v>20</v>
      </c>
      <c r="N16" s="1140"/>
      <c r="O16" s="1141">
        <f t="shared" si="2"/>
        <v>7506720</v>
      </c>
      <c r="P16" s="1140">
        <v>23.5</v>
      </c>
      <c r="Q16" s="1142">
        <f t="shared" si="3"/>
        <v>4</v>
      </c>
      <c r="R16" s="1143">
        <f>VLOOKUP(B16,'[28]CN BC'!$F$10:$K$270,6,FALSE)</f>
        <v>0</v>
      </c>
      <c r="S16" s="1656"/>
      <c r="T16" s="1146"/>
      <c r="U16" s="1146"/>
      <c r="V16" s="1146"/>
    </row>
    <row r="17" spans="1:26" s="1148" customFormat="1" ht="34.5" customHeight="1">
      <c r="A17" s="1132">
        <f>_xlfn.AGGREGATE(4,7,A$12:A16)+1</f>
        <v>5</v>
      </c>
      <c r="B17" s="1133" t="s">
        <v>1464</v>
      </c>
      <c r="C17" s="1153" t="s">
        <v>1660</v>
      </c>
      <c r="D17" s="1168">
        <v>1603205185719</v>
      </c>
      <c r="E17" s="1058" t="str">
        <f>VLOOKUP(B17,TH.Q2!B24:E355,4,FALSE)</f>
        <v>Phó Trưởng phòng Tổ chức - Hành chính - TH</v>
      </c>
      <c r="F17" s="1160">
        <v>3</v>
      </c>
      <c r="G17" s="1137"/>
      <c r="H17" s="1393">
        <f t="shared" si="0"/>
        <v>0</v>
      </c>
      <c r="I17" s="1138">
        <v>0.35</v>
      </c>
      <c r="J17" s="1138" t="str">
        <f>VLOOKUP(B17,'[27]Gui chi Quynh'!$B$11:$E$388,4,FALSE)</f>
        <v>A1</v>
      </c>
      <c r="K17" s="1138">
        <f t="shared" si="1"/>
        <v>0.8</v>
      </c>
      <c r="L17" s="1139">
        <v>20</v>
      </c>
      <c r="M17" s="1139">
        <v>20</v>
      </c>
      <c r="N17" s="1140"/>
      <c r="O17" s="1141">
        <f t="shared" si="2"/>
        <v>6271200</v>
      </c>
      <c r="P17" s="1155">
        <v>27.5</v>
      </c>
      <c r="Q17" s="1142">
        <f t="shared" si="3"/>
        <v>5</v>
      </c>
      <c r="R17" s="1143">
        <f>VLOOKUP(B17,'[28]CN BC'!$F$10:$K$270,6,FALSE)</f>
        <v>0</v>
      </c>
      <c r="S17" s="1656"/>
      <c r="T17" s="1146"/>
      <c r="U17" s="1146"/>
      <c r="V17" s="1146"/>
    </row>
    <row r="18" spans="1:26" s="1148" customFormat="1" ht="34.5" customHeight="1">
      <c r="A18" s="1132">
        <f>_xlfn.AGGREGATE(4,7,A$12:A17)+1</f>
        <v>6</v>
      </c>
      <c r="B18" s="1164" t="s">
        <v>1603</v>
      </c>
      <c r="C18" s="1165" t="s">
        <v>1624</v>
      </c>
      <c r="D18" s="1166">
        <v>1603205545491</v>
      </c>
      <c r="E18" s="1058" t="str">
        <f>VLOOKUP(B18,TH.Q2!B32:E363,4,FALSE)</f>
        <v>NV Phòng Tổ chức - Hành chính - Tổng hợp</v>
      </c>
      <c r="F18" s="1160">
        <v>2.67</v>
      </c>
      <c r="G18" s="1137"/>
      <c r="H18" s="1393">
        <f>ROUND(F18*G18,3)</f>
        <v>0</v>
      </c>
      <c r="I18" s="1138"/>
      <c r="J18" s="1138" t="str">
        <f>VLOOKUP(B18,'[27]Gui chi Quynh'!$B$11:$E$388,4,FALSE)</f>
        <v>A1</v>
      </c>
      <c r="K18" s="1138">
        <f>IF(J18="A1",0.8,IF(J18="A2",0.7,IF(J18="A3",0.6,IF(J18="A4",0.5,IF(J18="B1",0.35,IF(J18="B2",0.25,IF(J18="C1",0.15,IF(J18="C2",0.1,0))))))))</f>
        <v>0.8</v>
      </c>
      <c r="L18" s="1139">
        <v>20</v>
      </c>
      <c r="M18" s="1139">
        <v>20</v>
      </c>
      <c r="N18" s="1140"/>
      <c r="O18" s="1141">
        <f t="shared" si="2"/>
        <v>4998240</v>
      </c>
      <c r="P18" s="1140">
        <v>26</v>
      </c>
      <c r="Q18" s="1142">
        <f t="shared" si="3"/>
        <v>6</v>
      </c>
      <c r="R18" s="1143">
        <f>VLOOKUP(B18,'[28]CN BC'!$F$10:$K$270,6,FALSE)</f>
        <v>0</v>
      </c>
      <c r="S18" s="1656"/>
      <c r="T18" s="1146"/>
      <c r="U18" s="1146"/>
      <c r="V18" s="1146"/>
    </row>
    <row r="19" spans="1:26" s="1148" customFormat="1" ht="34.5" customHeight="1">
      <c r="A19" s="1132">
        <f>_xlfn.AGGREGATE(4,7,A$12:A18)+1</f>
        <v>7</v>
      </c>
      <c r="B19" s="1133" t="s">
        <v>1846</v>
      </c>
      <c r="C19" s="1153" t="s">
        <v>1618</v>
      </c>
      <c r="D19" s="1154" t="s">
        <v>1264</v>
      </c>
      <c r="E19" s="1058" t="str">
        <f>VLOOKUP(B19,TH.Q2!B25:E356,4,FALSE)</f>
        <v>NV Phòng Tổ chức - Hành chính - Tổng hợp</v>
      </c>
      <c r="F19" s="1136">
        <v>3.99</v>
      </c>
      <c r="G19" s="1137"/>
      <c r="H19" s="1393">
        <f t="shared" si="0"/>
        <v>0</v>
      </c>
      <c r="I19" s="1138"/>
      <c r="J19" s="1138" t="str">
        <f>VLOOKUP(B19,'[27]Gui chi Quynh'!$B$11:$E$388,4,FALSE)</f>
        <v>A2</v>
      </c>
      <c r="K19" s="1138">
        <f t="shared" si="1"/>
        <v>0.7</v>
      </c>
      <c r="L19" s="1139">
        <v>20</v>
      </c>
      <c r="M19" s="1139">
        <v>19.5</v>
      </c>
      <c r="N19" s="1140"/>
      <c r="O19" s="1141">
        <f t="shared" si="2"/>
        <v>6372229.5</v>
      </c>
      <c r="P19" s="1140">
        <v>24.5</v>
      </c>
      <c r="Q19" s="1142">
        <f t="shared" si="3"/>
        <v>7</v>
      </c>
      <c r="R19" s="1143">
        <f>VLOOKUP(B19,'[28]CN BC'!$F$10:$K$270,6,FALSE)</f>
        <v>0</v>
      </c>
      <c r="S19" s="1656"/>
      <c r="T19" s="1146"/>
      <c r="U19" s="1146"/>
      <c r="V19" s="1146"/>
    </row>
    <row r="20" spans="1:26" s="1148" customFormat="1" ht="34.5" customHeight="1">
      <c r="A20" s="1132">
        <f>_xlfn.AGGREGATE(4,7,A$12:A19)+1</f>
        <v>8</v>
      </c>
      <c r="B20" s="1133" t="s">
        <v>1847</v>
      </c>
      <c r="C20" s="1149" t="s">
        <v>1643</v>
      </c>
      <c r="D20" s="1154" t="s">
        <v>8</v>
      </c>
      <c r="E20" s="1058" t="str">
        <f>VLOOKUP(B20,TH.Q2!B30:E361,4,FALSE)</f>
        <v>NV Phòng Tổ chức - Hành chính - Tổng hợp</v>
      </c>
      <c r="F20" s="1136">
        <v>3.99</v>
      </c>
      <c r="G20" s="1137"/>
      <c r="H20" s="1393">
        <f>ROUND(F20*G20,3)</f>
        <v>0</v>
      </c>
      <c r="I20" s="1138"/>
      <c r="J20" s="1138" t="str">
        <f>VLOOKUP(B20,'[27]Gui chi Quynh'!$B$11:$E$388,4,FALSE)</f>
        <v>A3</v>
      </c>
      <c r="K20" s="1138">
        <f>IF(J20="A1",0.8,IF(J20="A2",0.7,IF(J20="A3",0.6,IF(J20="A4",0.5,IF(J20="B1",0.35,IF(J20="B2",0.25,IF(J20="C1",0.15,IF(J20="C2",0.1,0))))))))</f>
        <v>0.6</v>
      </c>
      <c r="L20" s="1139">
        <v>20</v>
      </c>
      <c r="M20" s="1139">
        <v>20</v>
      </c>
      <c r="N20" s="1140"/>
      <c r="O20" s="1141">
        <f t="shared" si="2"/>
        <v>5601960</v>
      </c>
      <c r="P20" s="1140">
        <v>25.5</v>
      </c>
      <c r="Q20" s="1142">
        <f t="shared" si="3"/>
        <v>8</v>
      </c>
      <c r="R20" s="1143">
        <f>VLOOKUP(B20,'[28]CN BC'!$F$10:$K$270,6,FALSE)</f>
        <v>0</v>
      </c>
      <c r="S20" s="1656"/>
      <c r="T20" s="1146"/>
      <c r="U20" s="1146"/>
      <c r="V20" s="1146"/>
      <c r="W20" s="1146"/>
      <c r="X20" s="1146"/>
      <c r="Y20" s="1146"/>
      <c r="Z20" s="1146"/>
    </row>
    <row r="21" spans="1:26" s="1148" customFormat="1" ht="34.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0"/>
        <v>0</v>
      </c>
      <c r="I21" s="1138"/>
      <c r="J21" s="1138" t="str">
        <f>VLOOKUP(B21,'[27]Gui chi Quynh'!$B$11:$E$388,4,FALSE)</f>
        <v>A3</v>
      </c>
      <c r="K21" s="1138">
        <f t="shared" si="1"/>
        <v>0.6</v>
      </c>
      <c r="L21" s="1139">
        <v>20</v>
      </c>
      <c r="M21" s="1139">
        <v>20</v>
      </c>
      <c r="N21" s="1140"/>
      <c r="O21" s="1141">
        <f t="shared" si="2"/>
        <v>5601960</v>
      </c>
      <c r="P21" s="1140">
        <v>24.5</v>
      </c>
      <c r="Q21" s="1142">
        <f t="shared" si="3"/>
        <v>9</v>
      </c>
      <c r="R21" s="1143">
        <f>VLOOKUP(B21,'[28]CN BC'!$F$10:$K$270,6,FALSE)</f>
        <v>0</v>
      </c>
      <c r="S21" s="1656"/>
      <c r="T21" s="1146"/>
      <c r="U21" s="1146"/>
      <c r="V21" s="1146"/>
    </row>
    <row r="22" spans="1:26" s="1148" customFormat="1" ht="34.5" customHeight="1">
      <c r="A22" s="1132">
        <f>_xlfn.AGGREGATE(4,7,A$12:A21)+1</f>
        <v>10</v>
      </c>
      <c r="B22" s="1133" t="s">
        <v>1448</v>
      </c>
      <c r="C22" s="1153" t="s">
        <v>1620</v>
      </c>
      <c r="D22" s="1166" t="s">
        <v>1574</v>
      </c>
      <c r="E22" s="1058" t="str">
        <f>VLOOKUP(B22,TH.Q2!B27:E358,4,FALSE)</f>
        <v>NV Phòng Tổ chức - Hành chính - Tổng hợp</v>
      </c>
      <c r="F22" s="1136">
        <v>3.66</v>
      </c>
      <c r="G22" s="1137"/>
      <c r="H22" s="1393">
        <f t="shared" si="0"/>
        <v>0</v>
      </c>
      <c r="I22" s="1138"/>
      <c r="J22" s="1138" t="str">
        <f>VLOOKUP(B22,'[27]Gui chi Quynh'!$B$11:$E$388,4,FALSE)</f>
        <v>A3</v>
      </c>
      <c r="K22" s="1138">
        <f t="shared" si="1"/>
        <v>0.6</v>
      </c>
      <c r="L22" s="1139">
        <v>20</v>
      </c>
      <c r="M22" s="1139">
        <v>20</v>
      </c>
      <c r="N22" s="1140"/>
      <c r="O22" s="1141">
        <f t="shared" si="2"/>
        <v>5138640</v>
      </c>
      <c r="P22" s="1140">
        <v>24.5</v>
      </c>
      <c r="Q22" s="1142">
        <f t="shared" si="3"/>
        <v>10</v>
      </c>
      <c r="R22" s="1143">
        <f>VLOOKUP(B22,'[28]CN BC'!$F$10:$K$270,6,FALSE)</f>
        <v>0</v>
      </c>
      <c r="S22" s="1656"/>
      <c r="T22" s="1146"/>
      <c r="U22" s="1146"/>
      <c r="V22" s="1146"/>
    </row>
    <row r="23" spans="1:26" s="1148" customFormat="1" ht="34.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0"/>
        <v>0</v>
      </c>
      <c r="I23" s="1138"/>
      <c r="J23" s="1138" t="str">
        <f>VLOOKUP(B23,'[27]Gui chi Quynh'!$B$11:$E$388,4,FALSE)</f>
        <v>A3</v>
      </c>
      <c r="K23" s="1138">
        <f t="shared" si="1"/>
        <v>0.6</v>
      </c>
      <c r="L23" s="1139">
        <v>20</v>
      </c>
      <c r="M23" s="1139">
        <v>19</v>
      </c>
      <c r="N23" s="1140"/>
      <c r="O23" s="1141">
        <f t="shared" si="2"/>
        <v>4881708</v>
      </c>
      <c r="P23" s="1140">
        <v>24</v>
      </c>
      <c r="Q23" s="1142">
        <f t="shared" si="3"/>
        <v>11</v>
      </c>
      <c r="R23" s="1143">
        <f>VLOOKUP(B23,'[28]CN BC'!$F$10:$K$270,6,FALSE)</f>
        <v>0</v>
      </c>
      <c r="S23" s="1656"/>
      <c r="T23" s="1146"/>
      <c r="U23" s="1146"/>
      <c r="V23" s="1146"/>
      <c r="W23" s="1146"/>
      <c r="X23" s="1146"/>
      <c r="Y23" s="1146"/>
      <c r="Z23" s="1146"/>
    </row>
    <row r="24" spans="1:26" s="1148" customFormat="1" ht="34.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0"/>
        <v>0</v>
      </c>
      <c r="I24" s="1138"/>
      <c r="J24" s="1138" t="str">
        <f>VLOOKUP(B24,'[27]Gui chi Quynh'!$B$11:$E$388,4,FALSE)</f>
        <v>A2</v>
      </c>
      <c r="K24" s="1138">
        <f t="shared" si="1"/>
        <v>0.7</v>
      </c>
      <c r="L24" s="1139">
        <v>20</v>
      </c>
      <c r="M24" s="1139">
        <v>19.5</v>
      </c>
      <c r="N24" s="1140"/>
      <c r="O24" s="1141">
        <f t="shared" si="2"/>
        <v>5845203</v>
      </c>
      <c r="P24" s="1140">
        <v>23</v>
      </c>
      <c r="Q24" s="1142">
        <f t="shared" si="3"/>
        <v>12</v>
      </c>
      <c r="R24" s="1143">
        <f>VLOOKUP(B24,'[28]CN BC'!$F$10:$K$270,6,FALSE)</f>
        <v>0</v>
      </c>
      <c r="S24" s="1656"/>
      <c r="T24" s="1146"/>
      <c r="U24" s="1146"/>
      <c r="V24" s="1146"/>
    </row>
    <row r="25" spans="1:26" s="1148" customFormat="1" ht="34.5" customHeight="1">
      <c r="A25" s="1132">
        <f>_xlfn.AGGREGATE(4,7,A$12:A24)+1</f>
        <v>13</v>
      </c>
      <c r="B25" s="1133" t="s">
        <v>1848</v>
      </c>
      <c r="C25" s="1153" t="s">
        <v>1644</v>
      </c>
      <c r="D25" s="1166">
        <v>1603205360856</v>
      </c>
      <c r="E25" s="1058" t="s">
        <v>2417</v>
      </c>
      <c r="F25" s="1160">
        <v>3.66</v>
      </c>
      <c r="G25" s="1137"/>
      <c r="H25" s="1393">
        <f t="shared" si="0"/>
        <v>0</v>
      </c>
      <c r="I25" s="1138"/>
      <c r="J25" s="1138" t="str">
        <f>VLOOKUP(B25,'[27]Gui chi Quynh'!$B$11:$E$388,4,FALSE)</f>
        <v>A2</v>
      </c>
      <c r="K25" s="1138">
        <f t="shared" si="1"/>
        <v>0.7</v>
      </c>
      <c r="L25" s="1139">
        <v>20</v>
      </c>
      <c r="M25" s="1139">
        <v>20</v>
      </c>
      <c r="N25" s="1140"/>
      <c r="O25" s="1141">
        <f t="shared" si="2"/>
        <v>5995080</v>
      </c>
      <c r="P25" s="1155">
        <v>0</v>
      </c>
      <c r="Q25" s="1142">
        <f t="shared" si="3"/>
        <v>13</v>
      </c>
      <c r="R25" s="1143">
        <f>VLOOKUP(B25,'[28]CN BC'!$F$10:$K$270,6,FALSE)</f>
        <v>0</v>
      </c>
      <c r="S25" s="1656"/>
    </row>
    <row r="26" spans="1:26" s="1148" customFormat="1" ht="34.5" customHeight="1">
      <c r="A26" s="1132">
        <f>_xlfn.AGGREGATE(4,7,A$12:A25)+1</f>
        <v>14</v>
      </c>
      <c r="B26" s="1133" t="s">
        <v>1450</v>
      </c>
      <c r="C26" s="1153" t="s">
        <v>1625</v>
      </c>
      <c r="D26" s="1150" t="s">
        <v>1441</v>
      </c>
      <c r="E26" s="383" t="str">
        <f>VLOOKUP(B26,TH.Q2!B33:E364,4,FALSE)</f>
        <v>Trưởng phòng Quản trị - Dịch vụ</v>
      </c>
      <c r="F26" s="1136">
        <v>4.9800000000000004</v>
      </c>
      <c r="G26" s="1137">
        <v>0.06</v>
      </c>
      <c r="H26" s="1400">
        <f t="shared" si="0"/>
        <v>0.29899999999999999</v>
      </c>
      <c r="I26" s="1138">
        <v>0.45</v>
      </c>
      <c r="J26" s="1138" t="str">
        <f>VLOOKUP(B26,'[27]Gui chi Quynh'!$B$11:$E$388,4,FALSE)</f>
        <v>A1</v>
      </c>
      <c r="K26" s="1138">
        <f t="shared" si="1"/>
        <v>0.8</v>
      </c>
      <c r="L26" s="1139">
        <v>20</v>
      </c>
      <c r="M26" s="1139">
        <v>20</v>
      </c>
      <c r="N26" s="1155"/>
      <c r="O26" s="1141">
        <f t="shared" si="2"/>
        <v>10724688.000000002</v>
      </c>
      <c r="P26" s="1155">
        <v>27</v>
      </c>
      <c r="Q26" s="1142">
        <f t="shared" si="3"/>
        <v>14</v>
      </c>
      <c r="R26" s="1143">
        <f>VLOOKUP(B26,'[28]CN BC'!$F$10:$K$270,6,FALSE)</f>
        <v>0</v>
      </c>
      <c r="S26" s="1656"/>
    </row>
    <row r="27" spans="1:26" s="1148" customFormat="1" ht="36" customHeight="1">
      <c r="A27" s="1132">
        <f>_xlfn.AGGREGATE(4,7,A$12:A26)+1</f>
        <v>15</v>
      </c>
      <c r="B27" s="1133" t="s">
        <v>1996</v>
      </c>
      <c r="C27" s="1149" t="s">
        <v>1626</v>
      </c>
      <c r="D27" s="1154" t="s">
        <v>1393</v>
      </c>
      <c r="E27" s="1058" t="str">
        <f>VLOOKUP(B27,TH.Q2!B34:E365,4,FALSE)</f>
        <v>Phó TP. Quản trị - 
Dịch vụ</v>
      </c>
      <c r="F27" s="1136">
        <v>4.9800000000000004</v>
      </c>
      <c r="G27" s="1137">
        <v>0.08</v>
      </c>
      <c r="H27" s="1393">
        <f t="shared" si="0"/>
        <v>0.39800000000000002</v>
      </c>
      <c r="I27" s="1138">
        <v>0.35</v>
      </c>
      <c r="J27" s="1138" t="str">
        <f>VLOOKUP(B27,'[27]Gui chi Quynh'!$B$11:$E$388,4,FALSE)</f>
        <v>A1</v>
      </c>
      <c r="K27" s="1138">
        <f t="shared" si="1"/>
        <v>0.8</v>
      </c>
      <c r="L27" s="1139">
        <v>20</v>
      </c>
      <c r="M27" s="1139">
        <v>20</v>
      </c>
      <c r="N27" s="1140"/>
      <c r="O27" s="1141">
        <f t="shared" si="2"/>
        <v>10722816</v>
      </c>
      <c r="P27" s="1140">
        <v>26</v>
      </c>
      <c r="Q27" s="1142">
        <f t="shared" si="3"/>
        <v>15</v>
      </c>
      <c r="R27" s="1143">
        <f>VLOOKUP(B27,'[28]CN BC'!$F$10:$K$270,6,FALSE)</f>
        <v>0</v>
      </c>
      <c r="S27" s="1656"/>
      <c r="T27" s="1146"/>
      <c r="U27" s="1146"/>
      <c r="V27" s="1146"/>
      <c r="W27" s="1146"/>
      <c r="X27" s="1146"/>
      <c r="Y27" s="1146"/>
      <c r="Z27" s="1146"/>
    </row>
    <row r="28" spans="1:26" s="1146" customFormat="1" ht="36" customHeight="1">
      <c r="A28" s="1132">
        <f>_xlfn.AGGREGATE(4,7,A$12:A27)+1</f>
        <v>16</v>
      </c>
      <c r="B28" s="1172" t="s">
        <v>1849</v>
      </c>
      <c r="C28" s="1149" t="s">
        <v>1627</v>
      </c>
      <c r="D28" s="1173" t="s">
        <v>1267</v>
      </c>
      <c r="E28" s="1058" t="str">
        <f>VLOOKUP(B28,TH.Q2!B35:E366,4,FALSE)</f>
        <v>NV Phòng Quản trị - Dịch vụ</v>
      </c>
      <c r="F28" s="1174">
        <v>3.99</v>
      </c>
      <c r="G28" s="1175"/>
      <c r="H28" s="1393">
        <f t="shared" si="0"/>
        <v>0</v>
      </c>
      <c r="I28" s="1176">
        <v>0.25</v>
      </c>
      <c r="J28" s="1138" t="str">
        <f>VLOOKUP(B28,'[27]Gui chi Quynh'!$B$11:$E$388,4,FALSE)</f>
        <v>A1</v>
      </c>
      <c r="K28" s="1138">
        <f t="shared" si="1"/>
        <v>0.8</v>
      </c>
      <c r="L28" s="1139">
        <v>20</v>
      </c>
      <c r="M28" s="1139">
        <v>20</v>
      </c>
      <c r="N28" s="1140"/>
      <c r="O28" s="1141">
        <f t="shared" si="2"/>
        <v>7937280</v>
      </c>
      <c r="P28" s="1140">
        <v>27</v>
      </c>
      <c r="Q28" s="1142">
        <f t="shared" si="3"/>
        <v>16</v>
      </c>
      <c r="R28" s="1143">
        <f>VLOOKUP(B28,'[28]CN BC'!$F$10:$K$270,6,FALSE)</f>
        <v>0</v>
      </c>
      <c r="S28" s="1656"/>
    </row>
    <row r="29" spans="1:26" s="1148" customFormat="1" ht="36" customHeight="1">
      <c r="A29" s="1132">
        <f>_xlfn.AGGREGATE(4,7,A$12:A28)+1</f>
        <v>17</v>
      </c>
      <c r="B29" s="1133" t="s">
        <v>1850</v>
      </c>
      <c r="C29" s="1153" t="s">
        <v>1628</v>
      </c>
      <c r="D29" s="1154" t="s">
        <v>1268</v>
      </c>
      <c r="E29" s="1058" t="str">
        <f>VLOOKUP(B29,TH.Q2!B36:E367,4,FALSE)</f>
        <v>NV Phòng Quản trị - Dịch vụ</v>
      </c>
      <c r="F29" s="1136">
        <v>3.46</v>
      </c>
      <c r="G29" s="1137"/>
      <c r="H29" s="1393">
        <f t="shared" si="0"/>
        <v>0</v>
      </c>
      <c r="I29" s="1138"/>
      <c r="J29" s="1138" t="str">
        <f>VLOOKUP(B29,'[27]Gui chi Quynh'!$B$11:$E$388,4,FALSE)</f>
        <v>A1</v>
      </c>
      <c r="K29" s="1138">
        <f t="shared" si="1"/>
        <v>0.8</v>
      </c>
      <c r="L29" s="1139">
        <v>20</v>
      </c>
      <c r="M29" s="1139">
        <v>20</v>
      </c>
      <c r="N29" s="1140"/>
      <c r="O29" s="1141">
        <f t="shared" si="2"/>
        <v>6477120</v>
      </c>
      <c r="P29" s="1140">
        <v>23</v>
      </c>
      <c r="Q29" s="1142">
        <f t="shared" si="3"/>
        <v>17</v>
      </c>
      <c r="R29" s="1143">
        <f>VLOOKUP(B29,'[28]CN BC'!$F$10:$K$270,6,FALSE)</f>
        <v>0</v>
      </c>
      <c r="S29" s="1656"/>
      <c r="T29" s="1146"/>
      <c r="U29" s="1146"/>
      <c r="V29" s="1146"/>
    </row>
    <row r="30" spans="1:26" s="1146" customFormat="1" ht="36" customHeight="1">
      <c r="A30" s="1132">
        <f>_xlfn.AGGREGATE(4,7,A$12:A29)+1</f>
        <v>18</v>
      </c>
      <c r="B30" s="1172" t="s">
        <v>1451</v>
      </c>
      <c r="C30" s="1149" t="s">
        <v>1629</v>
      </c>
      <c r="D30" s="1177" t="s">
        <v>367</v>
      </c>
      <c r="E30" s="1058" t="str">
        <f>VLOOKUP(B30,TH.Q2!B37:E368,4,FALSE)</f>
        <v>Nhân viên phòng Quản trị - Dịch vụ</v>
      </c>
      <c r="F30" s="1174">
        <v>3.66</v>
      </c>
      <c r="G30" s="1175"/>
      <c r="H30" s="1393">
        <f t="shared" si="0"/>
        <v>0</v>
      </c>
      <c r="I30" s="1176"/>
      <c r="J30" s="1138" t="str">
        <f>VLOOKUP(B30,'[27]Gui chi Quynh'!$B$11:$E$388,4,FALSE)</f>
        <v>A1</v>
      </c>
      <c r="K30" s="1138">
        <f t="shared" si="1"/>
        <v>0.8</v>
      </c>
      <c r="L30" s="1139">
        <v>20</v>
      </c>
      <c r="M30" s="1139">
        <v>20</v>
      </c>
      <c r="N30" s="1140"/>
      <c r="O30" s="1141">
        <f t="shared" si="2"/>
        <v>6851520</v>
      </c>
      <c r="P30" s="1140">
        <v>25</v>
      </c>
      <c r="Q30" s="1142">
        <f t="shared" si="3"/>
        <v>18</v>
      </c>
      <c r="R30" s="1143">
        <f>VLOOKUP(B30,'[28]CN BC'!$F$10:$K$270,6,FALSE)</f>
        <v>0</v>
      </c>
      <c r="S30" s="1656"/>
    </row>
    <row r="31" spans="1:26" s="1148" customFormat="1" ht="36" customHeight="1">
      <c r="A31" s="1132">
        <f>_xlfn.AGGREGATE(4,7,A$12:A30)+1</f>
        <v>19</v>
      </c>
      <c r="B31" s="1133" t="s">
        <v>1452</v>
      </c>
      <c r="C31" s="1153" t="s">
        <v>1630</v>
      </c>
      <c r="D31" s="1166">
        <v>1603205348129</v>
      </c>
      <c r="E31" s="1058" t="str">
        <f>VLOOKUP(B31,TH.Q2!B38:E369,4,FALSE)</f>
        <v>Nhân viên phòng Quản trị - Dịch vụ</v>
      </c>
      <c r="F31" s="1136">
        <v>3.66</v>
      </c>
      <c r="G31" s="1137"/>
      <c r="H31" s="1393">
        <f t="shared" si="0"/>
        <v>0</v>
      </c>
      <c r="I31" s="1138"/>
      <c r="J31" s="1138" t="str">
        <f>VLOOKUP(B31,'[27]Gui chi Quynh'!$B$11:$E$388,4,FALSE)</f>
        <v>A1</v>
      </c>
      <c r="K31" s="1138">
        <f t="shared" si="1"/>
        <v>0.8</v>
      </c>
      <c r="L31" s="1139">
        <v>20</v>
      </c>
      <c r="M31" s="1139">
        <v>20</v>
      </c>
      <c r="N31" s="1140"/>
      <c r="O31" s="1141">
        <f t="shared" si="2"/>
        <v>6851520</v>
      </c>
      <c r="P31" s="1140">
        <v>25</v>
      </c>
      <c r="Q31" s="1142">
        <f t="shared" si="3"/>
        <v>19</v>
      </c>
      <c r="R31" s="1143">
        <f>VLOOKUP(B31,'[28]CN BC'!$F$10:$K$270,6,FALSE)</f>
        <v>0</v>
      </c>
      <c r="S31" s="1656"/>
      <c r="T31" s="1146"/>
      <c r="U31" s="1146"/>
      <c r="V31" s="1146"/>
    </row>
    <row r="32" spans="1:26" s="1148" customFormat="1" ht="36" customHeight="1">
      <c r="A32" s="1132">
        <f>_xlfn.AGGREGATE(4,7,A$12:A31)+1</f>
        <v>20</v>
      </c>
      <c r="B32" s="1133" t="s">
        <v>1453</v>
      </c>
      <c r="C32" s="1153" t="s">
        <v>1631</v>
      </c>
      <c r="D32" s="1168" t="s">
        <v>384</v>
      </c>
      <c r="E32" s="383" t="str">
        <f>VLOOKUP(B32,TH.Q2!B39:E370,4,FALSE)</f>
        <v>Nhân viên phòng Quản trị - Dịch vụ</v>
      </c>
      <c r="F32" s="1160">
        <v>3.66</v>
      </c>
      <c r="G32" s="1137"/>
      <c r="H32" s="1400">
        <f t="shared" si="0"/>
        <v>0</v>
      </c>
      <c r="I32" s="1138"/>
      <c r="J32" s="1138" t="str">
        <f>VLOOKUP(B32,'[27]Gui chi Quynh'!$B$11:$E$388,4,FALSE)</f>
        <v>A4</v>
      </c>
      <c r="K32" s="1138">
        <f t="shared" si="1"/>
        <v>0.5</v>
      </c>
      <c r="L32" s="1139">
        <v>20</v>
      </c>
      <c r="M32" s="1139">
        <v>20</v>
      </c>
      <c r="N32" s="1155"/>
      <c r="O32" s="1141">
        <f t="shared" si="2"/>
        <v>4282200</v>
      </c>
      <c r="P32" s="1155">
        <v>23</v>
      </c>
      <c r="Q32" s="1142">
        <f t="shared" si="3"/>
        <v>20</v>
      </c>
      <c r="R32" s="1143">
        <f>VLOOKUP(B32,'[28]CN BC'!$F$10:$K$270,6,FALSE)</f>
        <v>0</v>
      </c>
      <c r="S32" s="1656"/>
    </row>
    <row r="33" spans="1:26" s="1148" customFormat="1" ht="36" customHeight="1">
      <c r="A33" s="1132">
        <f>_xlfn.AGGREGATE(4,7,A$12:A32)+1</f>
        <v>21</v>
      </c>
      <c r="B33" s="1133" t="s">
        <v>1522</v>
      </c>
      <c r="C33" s="1153" t="s">
        <v>1633</v>
      </c>
      <c r="D33" s="1179">
        <v>1603205357238</v>
      </c>
      <c r="E33" s="1058" t="str">
        <f>VLOOKUP(B33,TH.Q2!B40:E371,4,FALSE)</f>
        <v>NV - TT Đào tạo và Quản lý vật tư thiết bị</v>
      </c>
      <c r="F33" s="1136">
        <v>3.66</v>
      </c>
      <c r="G33" s="1137"/>
      <c r="H33" s="1393">
        <f t="shared" si="0"/>
        <v>0</v>
      </c>
      <c r="I33" s="1138"/>
      <c r="J33" s="1138" t="str">
        <f>VLOOKUP(B33,'[27]Gui chi Quynh'!$B$11:$E$388,4,FALSE)</f>
        <v>A1</v>
      </c>
      <c r="K33" s="1138">
        <f t="shared" si="1"/>
        <v>0.8</v>
      </c>
      <c r="L33" s="1139">
        <v>20</v>
      </c>
      <c r="M33" s="1139">
        <v>20</v>
      </c>
      <c r="N33" s="1140"/>
      <c r="O33" s="1141">
        <f t="shared" si="2"/>
        <v>6851520</v>
      </c>
      <c r="P33" s="1140">
        <v>24</v>
      </c>
      <c r="Q33" s="1142">
        <f t="shared" si="3"/>
        <v>21</v>
      </c>
      <c r="R33" s="1143">
        <f>VLOOKUP(B33,'[28]CN BC'!$F$10:$K$270,6,FALSE)</f>
        <v>0</v>
      </c>
      <c r="S33" s="1656"/>
      <c r="T33" s="1146"/>
      <c r="U33" s="1146"/>
      <c r="V33" s="1146"/>
    </row>
    <row r="34" spans="1:26" s="1148" customFormat="1" ht="36" customHeight="1">
      <c r="A34" s="1132">
        <f>_xlfn.AGGREGATE(4,7,A$12:A33)+1</f>
        <v>22</v>
      </c>
      <c r="B34" s="1133" t="s">
        <v>1523</v>
      </c>
      <c r="C34" s="1153" t="s">
        <v>1634</v>
      </c>
      <c r="D34" s="1166">
        <v>1603205302590</v>
      </c>
      <c r="E34" s="1058" t="str">
        <f>VLOOKUP(B34,TH.Q2!B41:E372,4,FALSE)</f>
        <v>NV - TT Đào tạo và Quản lý vật tư thiết bị</v>
      </c>
      <c r="F34" s="1136">
        <v>3.66</v>
      </c>
      <c r="G34" s="1137"/>
      <c r="H34" s="1393">
        <f t="shared" si="0"/>
        <v>0</v>
      </c>
      <c r="I34" s="1138"/>
      <c r="J34" s="1138" t="str">
        <f>VLOOKUP(B34,'[27]Gui chi Quynh'!$B$11:$E$388,4,FALSE)</f>
        <v>A2</v>
      </c>
      <c r="K34" s="1138">
        <f t="shared" si="1"/>
        <v>0.7</v>
      </c>
      <c r="L34" s="1139">
        <v>20</v>
      </c>
      <c r="M34" s="1139">
        <v>20</v>
      </c>
      <c r="N34" s="1140"/>
      <c r="O34" s="1141">
        <f t="shared" si="2"/>
        <v>5995080</v>
      </c>
      <c r="P34" s="1140">
        <v>23</v>
      </c>
      <c r="Q34" s="1142">
        <f t="shared" si="3"/>
        <v>22</v>
      </c>
      <c r="R34" s="1143">
        <f>VLOOKUP(B34,'[28]CN BC'!$F$10:$K$270,6,FALSE)</f>
        <v>0</v>
      </c>
      <c r="S34" s="1656"/>
      <c r="T34" s="1146"/>
      <c r="U34" s="1146"/>
      <c r="V34" s="1146"/>
    </row>
    <row r="35" spans="1:26" s="1148" customFormat="1" ht="36" customHeight="1">
      <c r="A35" s="1132">
        <f>_xlfn.AGGREGATE(4,7,A$12:A34)+1</f>
        <v>23</v>
      </c>
      <c r="B35" s="1164" t="s">
        <v>1606</v>
      </c>
      <c r="C35" s="1165" t="s">
        <v>1635</v>
      </c>
      <c r="D35" s="1180" t="s">
        <v>1604</v>
      </c>
      <c r="E35" s="1058" t="str">
        <f>VLOOKUP(B35,TH.Q2!B42:E373,4,FALSE)</f>
        <v>Phó GĐ TT Đào tạo và Quản lý thiết bị</v>
      </c>
      <c r="F35" s="1160">
        <v>3.33</v>
      </c>
      <c r="G35" s="1137"/>
      <c r="H35" s="1393">
        <f t="shared" si="0"/>
        <v>0</v>
      </c>
      <c r="I35" s="1138">
        <v>0.35</v>
      </c>
      <c r="J35" s="1138" t="str">
        <f>VLOOKUP(B35,'[27]Gui chi Quynh'!$B$11:$E$388,4,FALSE)</f>
        <v>A1</v>
      </c>
      <c r="K35" s="1138">
        <f t="shared" si="1"/>
        <v>0.8</v>
      </c>
      <c r="L35" s="1139">
        <v>20</v>
      </c>
      <c r="M35" s="1139">
        <v>20</v>
      </c>
      <c r="N35" s="1140"/>
      <c r="O35" s="1141">
        <f t="shared" si="2"/>
        <v>6888960</v>
      </c>
      <c r="P35" s="1155">
        <v>24</v>
      </c>
      <c r="Q35" s="1142">
        <f t="shared" si="3"/>
        <v>23</v>
      </c>
      <c r="R35" s="1143">
        <f>VLOOKUP(B35,'[28]CN BC'!$F$10:$K$270,6,FALSE)</f>
        <v>0</v>
      </c>
      <c r="S35" s="1656"/>
    </row>
    <row r="36" spans="1:26" s="1148" customFormat="1" ht="36" customHeight="1">
      <c r="A36" s="1132">
        <f>_xlfn.AGGREGATE(4,7,A$12:A35)+1</f>
        <v>24</v>
      </c>
      <c r="B36" s="1164" t="s">
        <v>1843</v>
      </c>
      <c r="C36" s="1165" t="s">
        <v>1955</v>
      </c>
      <c r="D36" s="1181" t="s">
        <v>1936</v>
      </c>
      <c r="E36" s="1058" t="str">
        <f>VLOOKUP(B36,TH.Q2!B43:E374,4,FALSE)</f>
        <v>NV - TT Đào tạo và Quản lý vật tư thiết bị</v>
      </c>
      <c r="F36" s="1136">
        <v>2.67</v>
      </c>
      <c r="G36" s="1137"/>
      <c r="H36" s="1393">
        <f t="shared" si="0"/>
        <v>0</v>
      </c>
      <c r="I36" s="1138"/>
      <c r="J36" s="1138" t="str">
        <f>VLOOKUP(B36,'[27]Gui chi Quynh'!$B$11:$E$388,4,FALSE)</f>
        <v>A1</v>
      </c>
      <c r="K36" s="1138">
        <f t="shared" si="1"/>
        <v>0.8</v>
      </c>
      <c r="L36" s="1139">
        <v>20</v>
      </c>
      <c r="M36" s="1139">
        <v>20</v>
      </c>
      <c r="N36" s="1140"/>
      <c r="O36" s="1141">
        <f t="shared" si="2"/>
        <v>4998240</v>
      </c>
      <c r="P36" s="1140">
        <v>24</v>
      </c>
      <c r="Q36" s="1142">
        <f t="shared" si="3"/>
        <v>24</v>
      </c>
      <c r="R36" s="1143">
        <f>VLOOKUP(B36,'[28]CN BC'!$F$10:$K$270,6,FALSE)</f>
        <v>0</v>
      </c>
      <c r="S36" s="1656"/>
      <c r="T36" s="1146"/>
      <c r="U36" s="1146"/>
      <c r="V36" s="1146"/>
    </row>
    <row r="37" spans="1:26" s="1148" customFormat="1" ht="36" customHeight="1">
      <c r="A37" s="1132">
        <f>_xlfn.AGGREGATE(4,7,A$12:A36)+1</f>
        <v>25</v>
      </c>
      <c r="B37" s="1133" t="s">
        <v>1856</v>
      </c>
      <c r="C37" s="1153" t="s">
        <v>1652</v>
      </c>
      <c r="D37" s="1154" t="s">
        <v>1293</v>
      </c>
      <c r="E37" s="383" t="str">
        <f>VLOOKUP(B37,TH.Q2!B44:E375,4,FALSE)</f>
        <v>Nhân viên phòng Quản trị - Dịch vụ</v>
      </c>
      <c r="F37" s="1136">
        <v>4.9800000000000004</v>
      </c>
      <c r="G37" s="1137">
        <v>0.06</v>
      </c>
      <c r="H37" s="1400">
        <f t="shared" si="0"/>
        <v>0.29899999999999999</v>
      </c>
      <c r="I37" s="1138">
        <v>0.25</v>
      </c>
      <c r="J37" s="1138" t="str">
        <f>VLOOKUP(B37,'[27]Gui chi Quynh'!$B$11:$E$388,4,FALSE)</f>
        <v>A2</v>
      </c>
      <c r="K37" s="1138">
        <f t="shared" si="1"/>
        <v>0.7</v>
      </c>
      <c r="L37" s="1139">
        <v>20</v>
      </c>
      <c r="M37" s="1139">
        <v>20</v>
      </c>
      <c r="N37" s="1155"/>
      <c r="O37" s="1141">
        <f t="shared" si="2"/>
        <v>9056502</v>
      </c>
      <c r="P37" s="1155">
        <v>27</v>
      </c>
      <c r="Q37" s="1142">
        <f t="shared" si="3"/>
        <v>25</v>
      </c>
      <c r="R37" s="1143">
        <f>VLOOKUP(B37,'[28]CN BC'!$F$10:$K$270,6,FALSE)</f>
        <v>0</v>
      </c>
      <c r="S37" s="1656"/>
    </row>
    <row r="38" spans="1:26" s="1148" customFormat="1" ht="36" customHeight="1">
      <c r="A38" s="1132">
        <f>_xlfn.AGGREGATE(4,7,A$12:A37)+1</f>
        <v>26</v>
      </c>
      <c r="B38" s="1133" t="s">
        <v>1462</v>
      </c>
      <c r="C38" s="1153" t="s">
        <v>1654</v>
      </c>
      <c r="D38" s="1168">
        <v>1603205182619</v>
      </c>
      <c r="E38" s="1058" t="str">
        <f>VLOOKUP(B38,TH.Q2!B45:E376,4,FALSE)</f>
        <v>Nhân viên phòng Quản trị - Dịch vụ</v>
      </c>
      <c r="F38" s="1136">
        <v>3.66</v>
      </c>
      <c r="G38" s="1137"/>
      <c r="H38" s="1393">
        <f t="shared" si="0"/>
        <v>0</v>
      </c>
      <c r="I38" s="1138"/>
      <c r="J38" s="1138" t="str">
        <f>VLOOKUP(B38,'[27]Gui chi Quynh'!$B$11:$E$388,4,FALSE)</f>
        <v>A4</v>
      </c>
      <c r="K38" s="1138">
        <f t="shared" si="1"/>
        <v>0.5</v>
      </c>
      <c r="L38" s="1139">
        <v>20</v>
      </c>
      <c r="M38" s="1139">
        <v>20</v>
      </c>
      <c r="N38" s="1140"/>
      <c r="O38" s="1141">
        <f t="shared" si="2"/>
        <v>4282200</v>
      </c>
      <c r="P38" s="1155">
        <v>23</v>
      </c>
      <c r="Q38" s="1142">
        <f t="shared" si="3"/>
        <v>26</v>
      </c>
      <c r="R38" s="1143">
        <f>VLOOKUP(B38,'[28]CN BC'!$F$10:$K$270,6,FALSE)</f>
        <v>0</v>
      </c>
      <c r="S38" s="1656"/>
    </row>
    <row r="39" spans="1:26" s="1148" customFormat="1" ht="36" customHeight="1">
      <c r="A39" s="1132">
        <f>_xlfn.AGGREGATE(4,7,A$12:A38)+1</f>
        <v>27</v>
      </c>
      <c r="B39" s="1133" t="s">
        <v>2012</v>
      </c>
      <c r="C39" s="1153"/>
      <c r="D39" s="1168"/>
      <c r="E39" s="383" t="str">
        <f>VLOOKUP(B39,TH.Q2!B46:E377,4,FALSE)</f>
        <v>Nhân viên phòng Quản trị - Dịch vụ</v>
      </c>
      <c r="F39" s="1136">
        <v>4.58</v>
      </c>
      <c r="G39" s="1137"/>
      <c r="H39" s="1400">
        <f t="shared" si="0"/>
        <v>0</v>
      </c>
      <c r="I39" s="1138">
        <v>0.35</v>
      </c>
      <c r="J39" s="1138" t="str">
        <f>VLOOKUP(B39,'[27]Gui chi Quynh'!$B$11:$E$388,4,FALSE)</f>
        <v>A1</v>
      </c>
      <c r="K39" s="1138">
        <f t="shared" si="1"/>
        <v>0.8</v>
      </c>
      <c r="L39" s="1139">
        <v>20</v>
      </c>
      <c r="M39" s="1139">
        <v>20</v>
      </c>
      <c r="N39" s="1155"/>
      <c r="O39" s="1141">
        <f t="shared" si="2"/>
        <v>9228960</v>
      </c>
      <c r="P39" s="1155"/>
      <c r="Q39" s="1142">
        <f t="shared" si="3"/>
        <v>27</v>
      </c>
      <c r="R39" s="1143">
        <f>VLOOKUP(B39,'[28]CN BC'!$F$10:$K$270,6,FALSE)</f>
        <v>0</v>
      </c>
      <c r="S39" s="1656"/>
    </row>
    <row r="40" spans="1:26" s="1146" customFormat="1" ht="27" customHeight="1">
      <c r="A40" s="1132">
        <f>_xlfn.AGGREGATE(4,7,A$12:A39)+1</f>
        <v>28</v>
      </c>
      <c r="B40" s="1172" t="s">
        <v>1852</v>
      </c>
      <c r="C40" s="1149" t="s">
        <v>1636</v>
      </c>
      <c r="D40" s="1173" t="s">
        <v>1258</v>
      </c>
      <c r="E40" s="1058" t="str">
        <f>VLOOKUP(B40,TH.Q2!B47:E378,4,FALSE)</f>
        <v>Trưởng TT Y tế</v>
      </c>
      <c r="F40" s="1178">
        <v>4.9800000000000004</v>
      </c>
      <c r="G40" s="1182"/>
      <c r="H40" s="1393">
        <f t="shared" si="0"/>
        <v>0</v>
      </c>
      <c r="I40" s="1176"/>
      <c r="J40" s="1138" t="str">
        <f>VLOOKUP(B40,'[27]Gui chi Quynh'!$B$11:$E$388,4,FALSE)</f>
        <v>A2</v>
      </c>
      <c r="K40" s="1138">
        <f t="shared" si="1"/>
        <v>0.7</v>
      </c>
      <c r="L40" s="1139">
        <v>20</v>
      </c>
      <c r="M40" s="1139">
        <v>20</v>
      </c>
      <c r="N40" s="1140"/>
      <c r="O40" s="1141">
        <f t="shared" si="2"/>
        <v>8157240.0000000009</v>
      </c>
      <c r="P40" s="1140">
        <v>26</v>
      </c>
      <c r="Q40" s="1142">
        <f t="shared" si="3"/>
        <v>28</v>
      </c>
      <c r="R40" s="1143">
        <f>VLOOKUP(B40,'[28]CN BC'!$F$10:$K$270,6,FALSE)</f>
        <v>0</v>
      </c>
      <c r="S40" s="1656"/>
    </row>
    <row r="41" spans="1:26" s="1146" customFormat="1" ht="27" customHeight="1">
      <c r="A41" s="1132">
        <f>_xlfn.AGGREGATE(4,7,A$12:A40)+1</f>
        <v>29</v>
      </c>
      <c r="B41" s="1172" t="s">
        <v>1454</v>
      </c>
      <c r="C41" s="1149" t="s">
        <v>1637</v>
      </c>
      <c r="D41" s="1177">
        <v>1603205247426</v>
      </c>
      <c r="E41" s="1058" t="str">
        <f>VLOOKUP(B41,TH.Q2!B48:E379,4,FALSE)</f>
        <v>Nhân viên Trung tâm Y tế</v>
      </c>
      <c r="F41" s="1174">
        <v>3.86</v>
      </c>
      <c r="G41" s="1175"/>
      <c r="H41" s="1393">
        <f t="shared" si="0"/>
        <v>0</v>
      </c>
      <c r="I41" s="1176"/>
      <c r="J41" s="1138" t="str">
        <f>VLOOKUP(B41,'[27]Gui chi Quynh'!$B$11:$E$388,4,FALSE)</f>
        <v>A3</v>
      </c>
      <c r="K41" s="1138">
        <f t="shared" si="1"/>
        <v>0.6</v>
      </c>
      <c r="L41" s="1139">
        <v>20</v>
      </c>
      <c r="M41" s="1139">
        <v>20</v>
      </c>
      <c r="N41" s="1140"/>
      <c r="O41" s="1141">
        <f t="shared" si="2"/>
        <v>5419440</v>
      </c>
      <c r="P41" s="1140">
        <v>27</v>
      </c>
      <c r="Q41" s="1142">
        <f t="shared" si="3"/>
        <v>29</v>
      </c>
      <c r="R41" s="1143">
        <f>VLOOKUP(B41,'[28]CN BC'!$F$10:$K$270,6,FALSE)</f>
        <v>0</v>
      </c>
      <c r="S41" s="1656"/>
    </row>
    <row r="42" spans="1:26" s="1148" customFormat="1" ht="27" customHeight="1">
      <c r="A42" s="1132">
        <f>_xlfn.AGGREGATE(4,7,A$12:A41)+1</f>
        <v>30</v>
      </c>
      <c r="B42" s="1133" t="s">
        <v>1445</v>
      </c>
      <c r="C42" s="1149" t="s">
        <v>1638</v>
      </c>
      <c r="D42" s="1150" t="s">
        <v>1576</v>
      </c>
      <c r="E42" s="1058" t="str">
        <f>VLOOKUP(B42,TH.Q2!B49:E380,4,FALSE)</f>
        <v>TP. Kế hoạch - Tài chính</v>
      </c>
      <c r="F42" s="1160">
        <v>4.9800000000000004</v>
      </c>
      <c r="G42" s="1137">
        <v>0.38</v>
      </c>
      <c r="H42" s="1393">
        <f t="shared" si="0"/>
        <v>1.8919999999999999</v>
      </c>
      <c r="I42" s="1138">
        <v>0.45</v>
      </c>
      <c r="J42" s="1138" t="str">
        <f>VLOOKUP(B42,'[27]Gui chi Quynh'!$B$11:$E$388,4,FALSE)</f>
        <v>A1</v>
      </c>
      <c r="K42" s="1138">
        <f t="shared" si="1"/>
        <v>0.8</v>
      </c>
      <c r="L42" s="1139">
        <v>20</v>
      </c>
      <c r="M42" s="1139">
        <v>20</v>
      </c>
      <c r="N42" s="1140"/>
      <c r="O42" s="1141">
        <f t="shared" si="2"/>
        <v>13706784</v>
      </c>
      <c r="P42" s="1140">
        <v>29</v>
      </c>
      <c r="Q42" s="1142">
        <f t="shared" si="3"/>
        <v>30</v>
      </c>
      <c r="R42" s="1143">
        <f>VLOOKUP(B42,'[28]CN BC'!$F$10:$K$270,6,FALSE)</f>
        <v>0</v>
      </c>
      <c r="S42" s="1656"/>
      <c r="T42" s="1146"/>
      <c r="U42" s="1146"/>
      <c r="V42" s="1146"/>
      <c r="W42" s="1146"/>
      <c r="X42" s="1146"/>
      <c r="Y42" s="1146"/>
      <c r="Z42" s="1146"/>
    </row>
    <row r="43" spans="1:26" s="1146" customFormat="1" ht="26.25" customHeight="1">
      <c r="A43" s="1132">
        <f>_xlfn.AGGREGATE(4,7,A$12:A42)+1</f>
        <v>31</v>
      </c>
      <c r="B43" s="1172" t="s">
        <v>1455</v>
      </c>
      <c r="C43" s="1149" t="s">
        <v>1640</v>
      </c>
      <c r="D43" s="1173" t="s">
        <v>368</v>
      </c>
      <c r="E43" s="1058" t="str">
        <f>VLOOKUP(B43,TH.Q2!B50:E381,4,FALSE)</f>
        <v>NV phòng KH-TC</v>
      </c>
      <c r="F43" s="1174">
        <v>4.32</v>
      </c>
      <c r="G43" s="1175"/>
      <c r="H43" s="1393">
        <f t="shared" si="0"/>
        <v>0</v>
      </c>
      <c r="I43" s="1176"/>
      <c r="J43" s="1138" t="str">
        <f>VLOOKUP(B43,'[27]Gui chi Quynh'!$B$11:$E$388,4,FALSE)</f>
        <v>A1</v>
      </c>
      <c r="K43" s="1138">
        <f t="shared" si="1"/>
        <v>0.8</v>
      </c>
      <c r="L43" s="1139">
        <v>20</v>
      </c>
      <c r="M43" s="1139">
        <v>20</v>
      </c>
      <c r="N43" s="1140"/>
      <c r="O43" s="1141">
        <f t="shared" si="2"/>
        <v>8087040</v>
      </c>
      <c r="P43" s="1140">
        <v>27</v>
      </c>
      <c r="Q43" s="1142">
        <f t="shared" si="3"/>
        <v>31</v>
      </c>
      <c r="R43" s="1143">
        <f>VLOOKUP(B43,'[28]CN BC'!$F$10:$K$270,6,FALSE)</f>
        <v>0</v>
      </c>
      <c r="S43" s="1656"/>
    </row>
    <row r="44" spans="1:26" s="1148" customFormat="1" ht="27" customHeight="1">
      <c r="A44" s="1132">
        <f>_xlfn.AGGREGATE(4,7,A$12:A43)+1</f>
        <v>32</v>
      </c>
      <c r="B44" s="1133" t="s">
        <v>1456</v>
      </c>
      <c r="C44" s="1153" t="s">
        <v>1641</v>
      </c>
      <c r="D44" s="1168">
        <v>1603205178873</v>
      </c>
      <c r="E44" s="1058" t="str">
        <f>VLOOKUP(B44,TH.Q2!B51:E382,4,FALSE)</f>
        <v>NV phòng KH-TC</v>
      </c>
      <c r="F44" s="1136">
        <v>3.99</v>
      </c>
      <c r="G44" s="1137"/>
      <c r="H44" s="1393">
        <f t="shared" si="0"/>
        <v>0</v>
      </c>
      <c r="I44" s="1138"/>
      <c r="J44" s="1138" t="str">
        <f>VLOOKUP(B44,'[27]Gui chi Quynh'!$B$11:$E$388,4,FALSE)</f>
        <v>A1</v>
      </c>
      <c r="K44" s="1138">
        <f t="shared" si="1"/>
        <v>0.8</v>
      </c>
      <c r="L44" s="1139">
        <v>20</v>
      </c>
      <c r="M44" s="1139">
        <v>20</v>
      </c>
      <c r="N44" s="1140"/>
      <c r="O44" s="1141">
        <f t="shared" si="2"/>
        <v>7469280</v>
      </c>
      <c r="P44" s="1155">
        <v>27</v>
      </c>
      <c r="Q44" s="1142">
        <f t="shared" si="3"/>
        <v>32</v>
      </c>
      <c r="R44" s="1143">
        <f>VLOOKUP(B44,'[28]CN BC'!$F$10:$K$270,6,FALSE)</f>
        <v>0</v>
      </c>
      <c r="S44" s="1656"/>
      <c r="T44" s="1146"/>
      <c r="U44" s="1146"/>
      <c r="V44" s="1146"/>
    </row>
    <row r="45" spans="1:26" s="1148" customFormat="1" ht="33.75" customHeight="1">
      <c r="A45" s="1200">
        <f>_xlfn.AGGREGATE(4,7,A$12:A44)+1</f>
        <v>33</v>
      </c>
      <c r="B45" s="1590" t="s">
        <v>1457</v>
      </c>
      <c r="C45" s="1591" t="s">
        <v>1642</v>
      </c>
      <c r="D45" s="1653">
        <v>1603205372861</v>
      </c>
      <c r="E45" s="490" t="str">
        <f>VLOOKUP(B45,TH.Q2!B52:E383,4,FALSE)</f>
        <v>NV phòng KH-TC</v>
      </c>
      <c r="F45" s="1633">
        <v>3</v>
      </c>
      <c r="G45" s="1204"/>
      <c r="H45" s="1398">
        <f t="shared" si="0"/>
        <v>0</v>
      </c>
      <c r="I45" s="1205"/>
      <c r="J45" s="1138" t="str">
        <f>VLOOKUP(B45,'[27]Gui chi Quynh'!$B$11:$E$388,4,FALSE)</f>
        <v>A DN</v>
      </c>
      <c r="K45" s="1205">
        <f t="shared" si="1"/>
        <v>0</v>
      </c>
      <c r="L45" s="1139">
        <v>20</v>
      </c>
      <c r="M45" s="1338">
        <v>0</v>
      </c>
      <c r="N45" s="1206"/>
      <c r="O45" s="1339">
        <f t="shared" ref="O45:O76" si="4">(((F45+H45+I45)*$O$9/L45*M45)*K45)+N45</f>
        <v>0</v>
      </c>
      <c r="P45" s="1206">
        <v>24</v>
      </c>
      <c r="Q45" s="1207">
        <f t="shared" si="3"/>
        <v>33</v>
      </c>
      <c r="R45" s="1143" t="str">
        <f>VLOOKUP(B45,'[28]CN BC'!$F$10:$K$270,6,FALSE)</f>
        <v>Nghỉ HS từ T12/2024</v>
      </c>
      <c r="S45" s="1656"/>
      <c r="T45" s="1146"/>
      <c r="U45" s="1146"/>
      <c r="V45" s="1146"/>
    </row>
    <row r="46" spans="1:26" s="1148" customFormat="1" ht="27" customHeight="1">
      <c r="A46" s="1132">
        <f>_xlfn.AGGREGATE(4,7,A$12:A45)+1</f>
        <v>34</v>
      </c>
      <c r="B46" s="1133" t="s">
        <v>1859</v>
      </c>
      <c r="C46" s="1153" t="s">
        <v>1665</v>
      </c>
      <c r="D46" s="1179">
        <v>1603205185357</v>
      </c>
      <c r="E46" s="1058" t="str">
        <f>VLOOKUP(B46,TH.Q2!B53:E384,4,FALSE)</f>
        <v>NV Phòng KH-TC</v>
      </c>
      <c r="F46" s="1160">
        <v>3.99</v>
      </c>
      <c r="G46" s="1137"/>
      <c r="H46" s="1393">
        <f t="shared" si="0"/>
        <v>0</v>
      </c>
      <c r="I46" s="1138"/>
      <c r="J46" s="1138" t="str">
        <f>VLOOKUP(B46,'[27]Gui chi Quynh'!$B$11:$E$388,4,FALSE)</f>
        <v>A1</v>
      </c>
      <c r="K46" s="1138">
        <f t="shared" si="1"/>
        <v>0.8</v>
      </c>
      <c r="L46" s="1139">
        <v>20</v>
      </c>
      <c r="M46" s="1139">
        <v>20</v>
      </c>
      <c r="N46" s="1140"/>
      <c r="O46" s="1141">
        <f t="shared" si="4"/>
        <v>7469280</v>
      </c>
      <c r="P46" s="1155">
        <v>26</v>
      </c>
      <c r="Q46" s="1142">
        <f t="shared" si="3"/>
        <v>34</v>
      </c>
      <c r="R46" s="1143">
        <f>VLOOKUP(B46,'[28]CN BC'!$F$10:$K$270,6,FALSE)</f>
        <v>0</v>
      </c>
      <c r="S46" s="1656"/>
    </row>
    <row r="47" spans="1:26" s="1148" customFormat="1" ht="33" customHeight="1">
      <c r="A47" s="1200">
        <f>_xlfn.AGGREGATE(4,7,A$12:A46)+1</f>
        <v>35</v>
      </c>
      <c r="B47" s="1201" t="s">
        <v>1842</v>
      </c>
      <c r="C47" s="1591" t="s">
        <v>1962</v>
      </c>
      <c r="D47" s="1202" t="s">
        <v>1933</v>
      </c>
      <c r="E47" s="490" t="s">
        <v>2419</v>
      </c>
      <c r="F47" s="1633">
        <v>3</v>
      </c>
      <c r="G47" s="1204"/>
      <c r="H47" s="1398">
        <f>ROUND(F47*G47,3)</f>
        <v>0</v>
      </c>
      <c r="I47" s="1205"/>
      <c r="J47" s="1138" t="str">
        <f>VLOOKUP(B47,'[27]Gui chi Quynh'!$B$11:$E$388,4,FALSE)</f>
        <v>A DN</v>
      </c>
      <c r="K47" s="1205">
        <f>IF(J47="A1",0.8,IF(J47="A2",0.7,IF(J47="A3",0.6,IF(J47="A4",0.5,IF(J47="B1",0.35,IF(J47="B2",0.25,IF(J47="C1",0.15,IF(J47="C2",0.1,0))))))))</f>
        <v>0</v>
      </c>
      <c r="L47" s="1139">
        <v>20</v>
      </c>
      <c r="M47" s="1338">
        <v>0</v>
      </c>
      <c r="N47" s="1206"/>
      <c r="O47" s="1339">
        <f t="shared" si="4"/>
        <v>0</v>
      </c>
      <c r="P47" s="1206">
        <v>26</v>
      </c>
      <c r="Q47" s="1207">
        <f t="shared" si="3"/>
        <v>35</v>
      </c>
      <c r="R47" s="1143" t="str">
        <f>VLOOKUP(B47,'[28]CN BC'!$F$10:$K$270,6,FALSE)</f>
        <v>Nghỉ hộ sản hưởng chế độ BHXH từ T4/2025</v>
      </c>
      <c r="S47" s="1656"/>
      <c r="T47" s="1146"/>
      <c r="U47" s="1146"/>
      <c r="V47" s="1146"/>
    </row>
    <row r="48" spans="1:26" s="1148" customFormat="1" ht="24.75" customHeight="1">
      <c r="A48" s="1132">
        <f>_xlfn.AGGREGATE(4,7,A$12:A47)+1</f>
        <v>36</v>
      </c>
      <c r="B48" s="1133" t="s">
        <v>1459</v>
      </c>
      <c r="C48" s="1153" t="s">
        <v>1645</v>
      </c>
      <c r="D48" s="1166" t="s">
        <v>1578</v>
      </c>
      <c r="E48" s="1058" t="str">
        <f>VLOOKUP(B48,TH.Q2!B54:E385,4,FALSE)</f>
        <v>Trưởng phòng Thanh tra GD - Quan hệ DN</v>
      </c>
      <c r="F48" s="1136">
        <v>4.6500000000000004</v>
      </c>
      <c r="G48" s="1137"/>
      <c r="H48" s="1393">
        <f t="shared" si="0"/>
        <v>0</v>
      </c>
      <c r="I48" s="1138">
        <v>0.45</v>
      </c>
      <c r="J48" s="1138" t="str">
        <f>VLOOKUP(B48,'[27]Gui chi Quynh'!$B$11:$E$388,4,FALSE)</f>
        <v>A1</v>
      </c>
      <c r="K48" s="1138">
        <f t="shared" si="1"/>
        <v>0.8</v>
      </c>
      <c r="L48" s="1139">
        <v>20</v>
      </c>
      <c r="M48" s="1139">
        <v>20</v>
      </c>
      <c r="N48" s="1140"/>
      <c r="O48" s="1141">
        <f t="shared" si="4"/>
        <v>9547200.0000000019</v>
      </c>
      <c r="P48" s="1155">
        <v>25</v>
      </c>
      <c r="Q48" s="1142">
        <f t="shared" si="3"/>
        <v>36</v>
      </c>
      <c r="R48" s="1143" t="str">
        <f>VLOOKUP(B48,'[28]CN BC'!$F$10:$K$270,6,FALSE)</f>
        <v>Trừ 3 ngày nghỉ phép 5+6+7/5</v>
      </c>
      <c r="S48" s="1656"/>
    </row>
    <row r="49" spans="1:26" s="1148" customFormat="1" ht="29.25" customHeight="1">
      <c r="A49" s="1132">
        <f>_xlfn.AGGREGATE(4,7,A$12:A48)+1</f>
        <v>37</v>
      </c>
      <c r="B49" s="1133" t="s">
        <v>1541</v>
      </c>
      <c r="C49" s="1153" t="s">
        <v>1802</v>
      </c>
      <c r="D49" s="1166">
        <v>1603205356140</v>
      </c>
      <c r="E49" s="383" t="str">
        <f>VLOOKUP(B49,TH.Q2!B55:E386,4,FALSE)</f>
        <v>Nhân viên phòng Thanh tra GD - Quan hệ DN</v>
      </c>
      <c r="F49" s="1136">
        <v>4.32</v>
      </c>
      <c r="G49" s="1137"/>
      <c r="H49" s="1400">
        <f t="shared" si="0"/>
        <v>0</v>
      </c>
      <c r="I49" s="1138"/>
      <c r="J49" s="1138" t="str">
        <f>VLOOKUP(B49,'[27]Gui chi Quynh'!$B$11:$E$388,4,FALSE)</f>
        <v>A3</v>
      </c>
      <c r="K49" s="1138">
        <f t="shared" si="1"/>
        <v>0.6</v>
      </c>
      <c r="L49" s="1139">
        <v>20</v>
      </c>
      <c r="M49" s="1139">
        <v>20</v>
      </c>
      <c r="N49" s="1155"/>
      <c r="O49" s="1141">
        <f t="shared" si="4"/>
        <v>6065280</v>
      </c>
      <c r="P49" s="1155">
        <v>23</v>
      </c>
      <c r="Q49" s="1142">
        <f t="shared" si="3"/>
        <v>37</v>
      </c>
      <c r="R49" s="1143">
        <f>VLOOKUP(B49,'[28]CN BC'!$F$10:$K$270,6,FALSE)</f>
        <v>0</v>
      </c>
      <c r="S49" s="1656"/>
    </row>
    <row r="50" spans="1:26" s="1148" customFormat="1" ht="29.25" customHeight="1">
      <c r="A50" s="1132">
        <f>_xlfn.AGGREGATE(4,7,A$12:A49)+1</f>
        <v>38</v>
      </c>
      <c r="B50" s="1183" t="s">
        <v>1556</v>
      </c>
      <c r="C50" s="1153" t="s">
        <v>1648</v>
      </c>
      <c r="D50" s="1179">
        <v>1603205182727</v>
      </c>
      <c r="E50" s="1058" t="str">
        <f>VLOOKUP(B50,TH.Q2!B56:E387,4,FALSE)</f>
        <v>Nhân viên phòng Thanh tra GD - Quan hệ DN</v>
      </c>
      <c r="F50" s="1160">
        <v>4.6500000000000004</v>
      </c>
      <c r="G50" s="1184"/>
      <c r="H50" s="1393">
        <f t="shared" si="0"/>
        <v>0</v>
      </c>
      <c r="I50" s="1136"/>
      <c r="J50" s="1138" t="str">
        <f>VLOOKUP(B50,'[27]Gui chi Quynh'!$B$11:$E$388,4,FALSE)</f>
        <v>A1</v>
      </c>
      <c r="K50" s="1138">
        <f t="shared" si="1"/>
        <v>0.8</v>
      </c>
      <c r="L50" s="1139">
        <v>20</v>
      </c>
      <c r="M50" s="1139">
        <v>20</v>
      </c>
      <c r="N50" s="1140"/>
      <c r="O50" s="1141">
        <f t="shared" si="4"/>
        <v>8704800</v>
      </c>
      <c r="P50" s="1155">
        <v>24</v>
      </c>
      <c r="Q50" s="1142">
        <f t="shared" si="3"/>
        <v>38</v>
      </c>
      <c r="R50" s="1143">
        <f>VLOOKUP(B50,'[28]CN BC'!$F$10:$K$270,6,FALSE)</f>
        <v>0</v>
      </c>
      <c r="S50" s="1656"/>
      <c r="T50" s="1146"/>
      <c r="U50" s="1146"/>
      <c r="V50" s="1146"/>
    </row>
    <row r="51" spans="1:26" s="1148" customFormat="1" ht="28.5" customHeight="1">
      <c r="A51" s="1132">
        <f>_xlfn.AGGREGATE(4,7,A$12:A50)+1</f>
        <v>39</v>
      </c>
      <c r="B51" s="1133" t="s">
        <v>1460</v>
      </c>
      <c r="C51" s="1153" t="s">
        <v>1650</v>
      </c>
      <c r="D51" s="1168">
        <v>1603205189653</v>
      </c>
      <c r="E51" s="1058" t="str">
        <f>VLOOKUP(B51,TH.Q2!B58:E389,4,FALSE)</f>
        <v>Nhân viên phòng Thanh tra GD - Quan hệ DN</v>
      </c>
      <c r="F51" s="1136">
        <v>4.32</v>
      </c>
      <c r="G51" s="1137"/>
      <c r="H51" s="1393">
        <f t="shared" si="0"/>
        <v>0</v>
      </c>
      <c r="I51" s="1138"/>
      <c r="J51" s="1138" t="str">
        <f>VLOOKUP(B51,'[27]Gui chi Quynh'!$B$11:$E$388,4,FALSE)</f>
        <v>A3</v>
      </c>
      <c r="K51" s="1138">
        <f t="shared" si="1"/>
        <v>0.6</v>
      </c>
      <c r="L51" s="1139">
        <v>20</v>
      </c>
      <c r="M51" s="1139">
        <v>20</v>
      </c>
      <c r="N51" s="1140"/>
      <c r="O51" s="1141">
        <f t="shared" si="4"/>
        <v>6065280</v>
      </c>
      <c r="P51" s="1155">
        <v>25</v>
      </c>
      <c r="Q51" s="1142">
        <f t="shared" si="3"/>
        <v>39</v>
      </c>
      <c r="R51" s="1143">
        <f>VLOOKUP(B51,'[28]CN BC'!$F$10:$K$270,6,FALSE)</f>
        <v>0</v>
      </c>
      <c r="S51" s="1656"/>
    </row>
    <row r="52" spans="1:26" s="1148" customFormat="1" ht="32.25" customHeight="1">
      <c r="A52" s="1132">
        <f>_xlfn.AGGREGATE(4,7,A$12:A51)+1</f>
        <v>40</v>
      </c>
      <c r="B52" s="1133" t="s">
        <v>1461</v>
      </c>
      <c r="C52" s="1153" t="s">
        <v>1653</v>
      </c>
      <c r="D52" s="1154" t="s">
        <v>370</v>
      </c>
      <c r="E52" s="1058" t="str">
        <f>VLOOKUP(B52,TH.Q2!B59:E390,4,FALSE)</f>
        <v>Nhân viên phòng Thanh tra GD - Quan hệ DN</v>
      </c>
      <c r="F52" s="1160">
        <v>3.66</v>
      </c>
      <c r="G52" s="1137"/>
      <c r="H52" s="1393">
        <f t="shared" si="0"/>
        <v>0</v>
      </c>
      <c r="I52" s="1138"/>
      <c r="J52" s="1138" t="str">
        <f>VLOOKUP(B52,'[27]Gui chi Quynh'!$B$11:$E$388,4,FALSE)</f>
        <v>A2</v>
      </c>
      <c r="K52" s="1138">
        <f t="shared" si="1"/>
        <v>0.7</v>
      </c>
      <c r="L52" s="1139">
        <v>20</v>
      </c>
      <c r="M52" s="1139">
        <v>20</v>
      </c>
      <c r="N52" s="1140"/>
      <c r="O52" s="1141">
        <f t="shared" si="4"/>
        <v>5995080</v>
      </c>
      <c r="P52" s="1140">
        <v>24</v>
      </c>
      <c r="Q52" s="1142">
        <f t="shared" si="3"/>
        <v>40</v>
      </c>
      <c r="R52" s="1143">
        <f>VLOOKUP(B52,'[28]CN BC'!$F$10:$K$270,6,FALSE)</f>
        <v>0</v>
      </c>
      <c r="S52" s="1656"/>
      <c r="T52" s="1146"/>
      <c r="U52" s="1146"/>
      <c r="V52" s="1146"/>
    </row>
    <row r="53" spans="1:26" s="1148" customFormat="1" ht="32.25" customHeight="1">
      <c r="A53" s="1132">
        <f>_xlfn.AGGREGATE(4,7,A$12:A52)+1</f>
        <v>41</v>
      </c>
      <c r="B53" s="1133" t="s">
        <v>848</v>
      </c>
      <c r="C53" s="1153" t="s">
        <v>1655</v>
      </c>
      <c r="D53" s="1154" t="s">
        <v>1263</v>
      </c>
      <c r="E53" s="1058" t="str">
        <f>VLOOKUP(B53,TH.Q2!B60:E391,4,FALSE)</f>
        <v>Nhân viên phòng Thanh tra GD - Quan hệ DN</v>
      </c>
      <c r="F53" s="1136">
        <v>4.32</v>
      </c>
      <c r="G53" s="1137"/>
      <c r="H53" s="1393">
        <f t="shared" si="0"/>
        <v>0</v>
      </c>
      <c r="I53" s="1138"/>
      <c r="J53" s="1138" t="str">
        <f>VLOOKUP(B53,'[27]Gui chi Quynh'!$B$11:$E$388,4,FALSE)</f>
        <v>A1</v>
      </c>
      <c r="K53" s="1138">
        <f t="shared" si="1"/>
        <v>0.8</v>
      </c>
      <c r="L53" s="1139">
        <v>20</v>
      </c>
      <c r="M53" s="1139">
        <v>20</v>
      </c>
      <c r="N53" s="1140"/>
      <c r="O53" s="1141">
        <f t="shared" si="4"/>
        <v>8087040</v>
      </c>
      <c r="P53" s="1140">
        <v>26</v>
      </c>
      <c r="Q53" s="1142">
        <f t="shared" si="3"/>
        <v>41</v>
      </c>
      <c r="R53" s="1143">
        <f>VLOOKUP(B53,'[28]CN BC'!$F$10:$K$270,6,FALSE)</f>
        <v>0</v>
      </c>
      <c r="S53" s="1656"/>
      <c r="T53" s="1146"/>
      <c r="U53" s="1146"/>
      <c r="V53" s="1146"/>
    </row>
    <row r="54" spans="1:26" s="1148" customFormat="1" ht="27" customHeight="1">
      <c r="A54" s="1132">
        <f>_xlfn.AGGREGATE(4,7,A$12:A53)+1</f>
        <v>42</v>
      </c>
      <c r="B54" s="1133" t="s">
        <v>1857</v>
      </c>
      <c r="C54" s="1153" t="s">
        <v>1656</v>
      </c>
      <c r="D54" s="1168" t="s">
        <v>1358</v>
      </c>
      <c r="E54" s="1058" t="str">
        <f>VLOOKUP(B54,TH.Q2!B61:E392,4,FALSE)</f>
        <v>Nhân viên phòng Thanh tra GD - Quan hệ DN</v>
      </c>
      <c r="F54" s="1136">
        <v>4.32</v>
      </c>
      <c r="G54" s="1137"/>
      <c r="H54" s="1393">
        <f t="shared" si="0"/>
        <v>0</v>
      </c>
      <c r="I54" s="1138"/>
      <c r="J54" s="1138" t="str">
        <f>VLOOKUP(B54,'[27]Gui chi Quynh'!$B$11:$E$388,4,FALSE)</f>
        <v>A3</v>
      </c>
      <c r="K54" s="1138">
        <f t="shared" si="1"/>
        <v>0.6</v>
      </c>
      <c r="L54" s="1139">
        <v>20</v>
      </c>
      <c r="M54" s="1139">
        <v>20</v>
      </c>
      <c r="N54" s="1140"/>
      <c r="O54" s="1141">
        <f t="shared" si="4"/>
        <v>6065280</v>
      </c>
      <c r="P54" s="1140">
        <v>25</v>
      </c>
      <c r="Q54" s="1142">
        <f t="shared" si="3"/>
        <v>42</v>
      </c>
      <c r="R54" s="1143">
        <f>VLOOKUP(B54,'[28]CN BC'!$F$10:$K$270,6,FALSE)</f>
        <v>0</v>
      </c>
      <c r="S54" s="1656"/>
      <c r="T54" s="1146"/>
      <c r="U54" s="1146"/>
      <c r="V54" s="1146"/>
    </row>
    <row r="55" spans="1:26" s="1148" customFormat="1" ht="27" customHeight="1">
      <c r="A55" s="1132">
        <f>_xlfn.AGGREGATE(4,7,A$12:A54)+1</f>
        <v>43</v>
      </c>
      <c r="B55" s="1133" t="s">
        <v>1851</v>
      </c>
      <c r="C55" s="1149" t="s">
        <v>1632</v>
      </c>
      <c r="D55" s="1185" t="s">
        <v>1575</v>
      </c>
      <c r="E55" s="1058" t="str">
        <f>VLOOKUP(B55,TH.Q2!B62:E393,4,FALSE)</f>
        <v>Nhân viên phòng Thanh tra GD - Quan hệ DN</v>
      </c>
      <c r="F55" s="1160">
        <v>3.66</v>
      </c>
      <c r="G55" s="1137"/>
      <c r="H55" s="1393">
        <f t="shared" si="0"/>
        <v>0</v>
      </c>
      <c r="I55" s="1138"/>
      <c r="J55" s="1138" t="str">
        <f>VLOOKUP(B55,'[27]Gui chi Quynh'!$B$11:$E$388,4,FALSE)</f>
        <v>A4</v>
      </c>
      <c r="K55" s="1138">
        <f t="shared" si="1"/>
        <v>0.5</v>
      </c>
      <c r="L55" s="1139">
        <v>20</v>
      </c>
      <c r="M55" s="1139">
        <v>20</v>
      </c>
      <c r="N55" s="1140"/>
      <c r="O55" s="1141">
        <f t="shared" si="4"/>
        <v>4282200</v>
      </c>
      <c r="P55" s="1140">
        <v>25</v>
      </c>
      <c r="Q55" s="1142">
        <f t="shared" si="3"/>
        <v>43</v>
      </c>
      <c r="R55" s="1143">
        <f>VLOOKUP(B55,'[28]CN BC'!$F$10:$K$270,6,FALSE)</f>
        <v>0</v>
      </c>
      <c r="S55" s="1656"/>
      <c r="T55" s="1146"/>
      <c r="U55" s="1146"/>
      <c r="V55" s="1146"/>
      <c r="W55" s="1146"/>
      <c r="X55" s="1146"/>
      <c r="Y55" s="1146"/>
      <c r="Z55" s="1146"/>
    </row>
    <row r="56" spans="1:26" s="1148" customFormat="1" ht="27" customHeight="1">
      <c r="A56" s="1132">
        <f>_xlfn.AGGREGATE(4,7,A$12:A55)+1</f>
        <v>44</v>
      </c>
      <c r="B56" s="1133" t="s">
        <v>1561</v>
      </c>
      <c r="C56" s="1153" t="s">
        <v>1657</v>
      </c>
      <c r="D56" s="1150" t="s">
        <v>1562</v>
      </c>
      <c r="E56" s="1058" t="str">
        <f>VLOOKUP(B56,TH.Q2!B63:E394,4,FALSE)</f>
        <v>Nhân viên phòng Tuyển sinh - Đào tạo</v>
      </c>
      <c r="F56" s="1160">
        <v>3.66</v>
      </c>
      <c r="G56" s="1137"/>
      <c r="H56" s="1393">
        <f t="shared" si="0"/>
        <v>0</v>
      </c>
      <c r="I56" s="1138"/>
      <c r="J56" s="1138" t="str">
        <f>VLOOKUP(B56,'[27]Gui chi Quynh'!$B$11:$E$388,4,FALSE)</f>
        <v>A1</v>
      </c>
      <c r="K56" s="1138">
        <f t="shared" si="1"/>
        <v>0.8</v>
      </c>
      <c r="L56" s="1139">
        <v>20</v>
      </c>
      <c r="M56" s="1139">
        <v>20</v>
      </c>
      <c r="N56" s="1140"/>
      <c r="O56" s="1141">
        <f t="shared" si="4"/>
        <v>6851520</v>
      </c>
      <c r="P56" s="1155">
        <v>30</v>
      </c>
      <c r="Q56" s="1142">
        <f t="shared" si="3"/>
        <v>44</v>
      </c>
      <c r="R56" s="1143">
        <f>VLOOKUP(B56,'[28]CN BC'!$F$10:$K$270,6,FALSE)</f>
        <v>0</v>
      </c>
      <c r="S56" s="1656"/>
    </row>
    <row r="57" spans="1:26" s="1148" customFormat="1" ht="30" customHeight="1">
      <c r="A57" s="1132">
        <f>_xlfn.AGGREGATE(4,7,A$12:A56)+1</f>
        <v>45</v>
      </c>
      <c r="B57" s="1133" t="s">
        <v>1463</v>
      </c>
      <c r="C57" s="1153" t="s">
        <v>1617</v>
      </c>
      <c r="D57" s="1154" t="s">
        <v>1573</v>
      </c>
      <c r="E57" s="1058" t="str">
        <f>VLOOKUP(B57,TH.Q2!B64:E395,4,FALSE)</f>
        <v>Trưởng phòng Tuyển sinh - Đào tạo</v>
      </c>
      <c r="F57" s="1160">
        <v>4.74</v>
      </c>
      <c r="G57" s="1137"/>
      <c r="H57" s="1393">
        <f t="shared" si="0"/>
        <v>0</v>
      </c>
      <c r="I57" s="1138">
        <v>0.45</v>
      </c>
      <c r="J57" s="1138" t="str">
        <f>VLOOKUP(B57,'[27]Gui chi Quynh'!$B$11:$E$388,4,FALSE)</f>
        <v>A1</v>
      </c>
      <c r="K57" s="1138">
        <f t="shared" si="1"/>
        <v>0.8</v>
      </c>
      <c r="L57" s="1139">
        <v>20</v>
      </c>
      <c r="M57" s="1139">
        <v>20</v>
      </c>
      <c r="N57" s="1140"/>
      <c r="O57" s="1141">
        <f t="shared" si="4"/>
        <v>9715680</v>
      </c>
      <c r="P57" s="1140">
        <v>29</v>
      </c>
      <c r="Q57" s="1142">
        <f t="shared" si="3"/>
        <v>45</v>
      </c>
      <c r="R57" s="1143">
        <f>VLOOKUP(B57,'[28]CN BC'!$F$10:$K$270,6,FALSE)</f>
        <v>0</v>
      </c>
      <c r="S57" s="1656"/>
      <c r="T57" s="1146"/>
      <c r="U57" s="1146"/>
      <c r="V57" s="1146"/>
    </row>
    <row r="58" spans="1:26" s="1146" customFormat="1" ht="24.75" customHeight="1">
      <c r="A58" s="1132">
        <f>_xlfn.AGGREGATE(4,7,A$12:A57)+1</f>
        <v>46</v>
      </c>
      <c r="B58" s="1172" t="s">
        <v>1902</v>
      </c>
      <c r="C58" s="1149" t="s">
        <v>1785</v>
      </c>
      <c r="D58" s="1173" t="s">
        <v>1391</v>
      </c>
      <c r="E58" s="1058" t="str">
        <f>VLOOKUP(B58,TH.Q2!B65:E396,4,FALSE)</f>
        <v>Phó TP. Tuyể sinh - Đào tạo</v>
      </c>
      <c r="F58" s="1174">
        <v>4.32</v>
      </c>
      <c r="G58" s="1175"/>
      <c r="H58" s="1393">
        <f t="shared" si="0"/>
        <v>0</v>
      </c>
      <c r="I58" s="1176">
        <v>0.35</v>
      </c>
      <c r="J58" s="1138" t="str">
        <f>VLOOKUP(B58,'[27]Gui chi Quynh'!$B$11:$E$388,4,FALSE)</f>
        <v>A1</v>
      </c>
      <c r="K58" s="1138">
        <f t="shared" si="1"/>
        <v>0.8</v>
      </c>
      <c r="L58" s="1139">
        <v>20</v>
      </c>
      <c r="M58" s="1139">
        <v>20</v>
      </c>
      <c r="N58" s="1140"/>
      <c r="O58" s="1141">
        <f t="shared" si="4"/>
        <v>8742240</v>
      </c>
      <c r="P58" s="1140">
        <v>28</v>
      </c>
      <c r="Q58" s="1142">
        <f t="shared" si="3"/>
        <v>46</v>
      </c>
      <c r="R58" s="1143">
        <f>VLOOKUP(B58,'[28]CN BC'!$F$10:$K$270,6,FALSE)</f>
        <v>0</v>
      </c>
      <c r="S58" s="1656"/>
    </row>
    <row r="59" spans="1:26" s="1148" customFormat="1" ht="29.25" customHeight="1">
      <c r="A59" s="1132">
        <f>_xlfn.AGGREGATE(4,7,A$12:A58)+1</f>
        <v>47</v>
      </c>
      <c r="B59" s="1133" t="s">
        <v>1858</v>
      </c>
      <c r="C59" s="1153" t="s">
        <v>1659</v>
      </c>
      <c r="D59" s="1154" t="s">
        <v>1285</v>
      </c>
      <c r="E59" s="1058" t="str">
        <f>VLOOKUP(B59,TH.Q2!B66:E397,4,FALSE)</f>
        <v>Nhân viên phòng TS - Đào tạo</v>
      </c>
      <c r="F59" s="1136">
        <v>4.6500000000000004</v>
      </c>
      <c r="G59" s="1137"/>
      <c r="H59" s="1393">
        <f t="shared" si="0"/>
        <v>0</v>
      </c>
      <c r="I59" s="1138"/>
      <c r="J59" s="1138" t="str">
        <f>VLOOKUP(B59,'[27]Gui chi Quynh'!$B$11:$E$388,4,FALSE)</f>
        <v>A1</v>
      </c>
      <c r="K59" s="1138">
        <f t="shared" si="1"/>
        <v>0.8</v>
      </c>
      <c r="L59" s="1139">
        <v>20</v>
      </c>
      <c r="M59" s="1139">
        <v>20</v>
      </c>
      <c r="N59" s="1140"/>
      <c r="O59" s="1141">
        <f t="shared" si="4"/>
        <v>8704800</v>
      </c>
      <c r="P59" s="1155">
        <v>26</v>
      </c>
      <c r="Q59" s="1142">
        <f t="shared" si="3"/>
        <v>47</v>
      </c>
      <c r="R59" s="1143">
        <f>VLOOKUP(B59,'[28]CN BC'!$F$10:$K$270,6,FALSE)</f>
        <v>0</v>
      </c>
      <c r="S59" s="1656"/>
      <c r="T59" s="1146"/>
      <c r="U59" s="1146"/>
      <c r="V59" s="1146"/>
    </row>
    <row r="60" spans="1:26" s="1148" customFormat="1" ht="30.75" customHeight="1">
      <c r="A60" s="1132">
        <f>_xlfn.AGGREGATE(4,7,A$12:A59)+1</f>
        <v>48</v>
      </c>
      <c r="B60" s="1133" t="s">
        <v>1465</v>
      </c>
      <c r="C60" s="1153" t="s">
        <v>1661</v>
      </c>
      <c r="D60" s="1168">
        <v>1603205182394</v>
      </c>
      <c r="E60" s="1058" t="str">
        <f>VLOOKUP(B60,TH.Q2!B67:E398,4,FALSE)</f>
        <v>Nhân viên phòng TS - Đào tạo</v>
      </c>
      <c r="F60" s="1136">
        <v>4.32</v>
      </c>
      <c r="G60" s="1137"/>
      <c r="H60" s="1393">
        <f t="shared" si="0"/>
        <v>0</v>
      </c>
      <c r="I60" s="1138"/>
      <c r="J60" s="1138" t="str">
        <f>VLOOKUP(B60,'[27]Gui chi Quynh'!$B$11:$E$388,4,FALSE)</f>
        <v>A2</v>
      </c>
      <c r="K60" s="1138">
        <f t="shared" si="1"/>
        <v>0.7</v>
      </c>
      <c r="L60" s="1139">
        <v>20</v>
      </c>
      <c r="M60" s="1139">
        <v>20</v>
      </c>
      <c r="N60" s="1140"/>
      <c r="O60" s="1141">
        <f t="shared" si="4"/>
        <v>7076160</v>
      </c>
      <c r="P60" s="1155">
        <v>26</v>
      </c>
      <c r="Q60" s="1142">
        <f t="shared" si="3"/>
        <v>48</v>
      </c>
      <c r="R60" s="1143">
        <f>VLOOKUP(B60,'[28]CN BC'!$F$10:$K$270,6,FALSE)</f>
        <v>0</v>
      </c>
      <c r="S60" s="1656"/>
      <c r="T60" s="1146"/>
      <c r="U60" s="1146"/>
      <c r="V60" s="1146"/>
    </row>
    <row r="61" spans="1:26" s="1148" customFormat="1" ht="33" customHeight="1">
      <c r="A61" s="1132">
        <f>_xlfn.AGGREGATE(4,7,A$12:A60)+1</f>
        <v>49</v>
      </c>
      <c r="B61" s="1133" t="s">
        <v>844</v>
      </c>
      <c r="C61" s="1153" t="s">
        <v>1662</v>
      </c>
      <c r="D61" s="1168" t="s">
        <v>369</v>
      </c>
      <c r="E61" s="1058" t="str">
        <f>VLOOKUP(B61,TH.Q2!B68:E399,4,FALSE)</f>
        <v>Nhân viên phòng TS - Đào tạo</v>
      </c>
      <c r="F61" s="1136">
        <v>3.66</v>
      </c>
      <c r="G61" s="1137"/>
      <c r="H61" s="1393">
        <f t="shared" si="0"/>
        <v>0</v>
      </c>
      <c r="I61" s="1138"/>
      <c r="J61" s="1138" t="str">
        <f>VLOOKUP(B61,'[27]Gui chi Quynh'!$B$11:$E$388,4,FALSE)</f>
        <v>A2</v>
      </c>
      <c r="K61" s="1138">
        <f t="shared" si="1"/>
        <v>0.7</v>
      </c>
      <c r="L61" s="1139">
        <v>20</v>
      </c>
      <c r="M61" s="1139">
        <v>20</v>
      </c>
      <c r="N61" s="1140"/>
      <c r="O61" s="1141">
        <f t="shared" si="4"/>
        <v>5995080</v>
      </c>
      <c r="P61" s="1155">
        <v>30</v>
      </c>
      <c r="Q61" s="1142">
        <f t="shared" si="3"/>
        <v>49</v>
      </c>
      <c r="R61" s="1143">
        <f>VLOOKUP(B61,'[28]CN BC'!$F$10:$K$270,6,FALSE)</f>
        <v>0</v>
      </c>
      <c r="S61" s="1656"/>
      <c r="T61" s="1146"/>
      <c r="U61" s="1146"/>
      <c r="V61" s="1146"/>
    </row>
    <row r="62" spans="1:26" s="1148" customFormat="1" ht="31.5" customHeight="1">
      <c r="A62" s="1132">
        <f>_xlfn.AGGREGATE(4,7,A$12:A61)+1</f>
        <v>50</v>
      </c>
      <c r="B62" s="1183" t="s">
        <v>1557</v>
      </c>
      <c r="C62" s="1153" t="s">
        <v>1664</v>
      </c>
      <c r="D62" s="1179">
        <v>1603205182762</v>
      </c>
      <c r="E62" s="1058" t="str">
        <f>VLOOKUP(B62,TH.Q2!B69:E400,4,FALSE)</f>
        <v>Nhân viên phòng TS - Đào tạo</v>
      </c>
      <c r="F62" s="1160">
        <v>3.99</v>
      </c>
      <c r="G62" s="1184"/>
      <c r="H62" s="1393">
        <f t="shared" si="0"/>
        <v>0</v>
      </c>
      <c r="I62" s="1136"/>
      <c r="J62" s="1138" t="str">
        <f>VLOOKUP(B62,'[27]Gui chi Quynh'!$B$11:$E$388,4,FALSE)</f>
        <v>A1</v>
      </c>
      <c r="K62" s="1138">
        <f t="shared" si="1"/>
        <v>0.8</v>
      </c>
      <c r="L62" s="1139">
        <v>20</v>
      </c>
      <c r="M62" s="1139">
        <v>20</v>
      </c>
      <c r="N62" s="1140"/>
      <c r="O62" s="1141">
        <f t="shared" si="4"/>
        <v>7469280</v>
      </c>
      <c r="P62" s="1155">
        <v>27</v>
      </c>
      <c r="Q62" s="1142">
        <f t="shared" si="3"/>
        <v>50</v>
      </c>
      <c r="R62" s="1143">
        <f>VLOOKUP(B62,'[28]CN BC'!$F$10:$K$270,6,FALSE)</f>
        <v>0</v>
      </c>
      <c r="S62" s="1656"/>
      <c r="T62" s="1146"/>
      <c r="U62" s="1146"/>
      <c r="V62" s="1146"/>
    </row>
    <row r="63" spans="1:26" s="1148" customFormat="1" ht="31.5" customHeight="1">
      <c r="A63" s="1132">
        <f>_xlfn.AGGREGATE(4,7,A$12:A62)+1</f>
        <v>51</v>
      </c>
      <c r="B63" s="1133" t="s">
        <v>1524</v>
      </c>
      <c r="C63" s="1153" t="s">
        <v>1666</v>
      </c>
      <c r="D63" s="1168">
        <v>1603205182178</v>
      </c>
      <c r="E63" s="1058" t="str">
        <f>VLOOKUP(B63,TH.Q2!B70:E401,4,FALSE)</f>
        <v>Nhân viên phòng TS - Đào tạo</v>
      </c>
      <c r="F63" s="1136">
        <v>3.99</v>
      </c>
      <c r="G63" s="1137"/>
      <c r="H63" s="1393">
        <f t="shared" si="0"/>
        <v>0</v>
      </c>
      <c r="I63" s="1138"/>
      <c r="J63" s="1138" t="str">
        <f>VLOOKUP(B63,'[27]Gui chi Quynh'!$B$11:$E$388,4,FALSE)</f>
        <v>A2</v>
      </c>
      <c r="K63" s="1138">
        <f t="shared" si="1"/>
        <v>0.7</v>
      </c>
      <c r="L63" s="1139">
        <v>20</v>
      </c>
      <c r="M63" s="1139">
        <v>20</v>
      </c>
      <c r="N63" s="1140"/>
      <c r="O63" s="1141">
        <f t="shared" si="4"/>
        <v>6535620</v>
      </c>
      <c r="P63" s="1155">
        <v>26</v>
      </c>
      <c r="Q63" s="1142">
        <f t="shared" si="3"/>
        <v>51</v>
      </c>
      <c r="R63" s="1143">
        <f>VLOOKUP(B63,'[28]CN BC'!$F$10:$K$270,6,FALSE)</f>
        <v>0</v>
      </c>
      <c r="S63" s="1656"/>
    </row>
    <row r="64" spans="1:26" s="1148" customFormat="1" ht="30.75" customHeight="1">
      <c r="A64" s="1132">
        <f>_xlfn.AGGREGATE(4,7,A$12:A63)+1</f>
        <v>52</v>
      </c>
      <c r="B64" s="1164" t="s">
        <v>1860</v>
      </c>
      <c r="C64" s="1165" t="s">
        <v>1667</v>
      </c>
      <c r="D64" s="1166">
        <v>1603205351697</v>
      </c>
      <c r="E64" s="383" t="str">
        <f>VLOOKUP(B64,TH.Q2!B71:E402,4,FALSE)</f>
        <v>Nhân viên phòng TS - Đào tạo</v>
      </c>
      <c r="F64" s="1160">
        <v>3.66</v>
      </c>
      <c r="G64" s="1137"/>
      <c r="H64" s="1400">
        <f t="shared" si="0"/>
        <v>0</v>
      </c>
      <c r="I64" s="1138"/>
      <c r="J64" s="1138" t="str">
        <f>VLOOKUP(B64,'[27]Gui chi Quynh'!$B$11:$E$388,4,FALSE)</f>
        <v>A1</v>
      </c>
      <c r="K64" s="1138">
        <f t="shared" si="1"/>
        <v>0.8</v>
      </c>
      <c r="L64" s="1139">
        <v>20</v>
      </c>
      <c r="M64" s="1139">
        <v>20</v>
      </c>
      <c r="N64" s="1155"/>
      <c r="O64" s="1141">
        <f t="shared" si="4"/>
        <v>6851520</v>
      </c>
      <c r="P64" s="1155">
        <v>28</v>
      </c>
      <c r="Q64" s="1142">
        <f t="shared" si="3"/>
        <v>52</v>
      </c>
      <c r="R64" s="1143" t="str">
        <f>VLOOKUP(B64,'[28]CN BC'!$F$10:$K$270,6,FALSE)</f>
        <v>Trừ 1 ngày nghỉ phép 30/5</v>
      </c>
      <c r="S64" s="1656"/>
    </row>
    <row r="65" spans="1:26" s="1148" customFormat="1" ht="24.75" customHeight="1">
      <c r="A65" s="1132">
        <f>_xlfn.AGGREGATE(4,7,A$12:A64)+1</f>
        <v>53</v>
      </c>
      <c r="B65" s="1133" t="s">
        <v>1484</v>
      </c>
      <c r="C65" s="1153" t="s">
        <v>1649</v>
      </c>
      <c r="D65" s="1166">
        <v>1603205357194</v>
      </c>
      <c r="E65" s="1058" t="str">
        <f>VLOOKUP(B65,TH.Q2!B72:E403,4,FALSE)</f>
        <v>Nhân viên phòng Tuyển sinh - Đào tạo</v>
      </c>
      <c r="F65" s="1186">
        <v>3.66</v>
      </c>
      <c r="G65" s="1137"/>
      <c r="H65" s="1393">
        <f t="shared" si="0"/>
        <v>0</v>
      </c>
      <c r="I65" s="1138"/>
      <c r="J65" s="1138" t="str">
        <f>VLOOKUP(B65,'[27]Gui chi Quynh'!$B$11:$E$388,4,FALSE)</f>
        <v>A3</v>
      </c>
      <c r="K65" s="1138">
        <f t="shared" si="1"/>
        <v>0.6</v>
      </c>
      <c r="L65" s="1139">
        <v>20</v>
      </c>
      <c r="M65" s="1139">
        <v>20</v>
      </c>
      <c r="N65" s="1140"/>
      <c r="O65" s="1141">
        <f t="shared" si="4"/>
        <v>5138640</v>
      </c>
      <c r="P65" s="1155">
        <v>28</v>
      </c>
      <c r="Q65" s="1142">
        <f t="shared" si="3"/>
        <v>53</v>
      </c>
      <c r="R65" s="1143">
        <f>VLOOKUP(B65,'[28]CN BC'!$F$10:$K$270,6,FALSE)</f>
        <v>0</v>
      </c>
      <c r="S65" s="1656"/>
    </row>
    <row r="66" spans="1:26" s="1146" customFormat="1" ht="24.75" customHeight="1">
      <c r="A66" s="1132">
        <f>_xlfn.AGGREGATE(4,7,A$12:A65)+1</f>
        <v>54</v>
      </c>
      <c r="B66" s="1172" t="s">
        <v>1861</v>
      </c>
      <c r="C66" s="1149" t="s">
        <v>1668</v>
      </c>
      <c r="D66" s="1173" t="s">
        <v>1361</v>
      </c>
      <c r="E66" s="1058" t="str">
        <f>VLOOKUP(B66,TH.Q2!B73:E404,4,FALSE)</f>
        <v>Trưởng phòng Khảo thí và ĐBCL</v>
      </c>
      <c r="F66" s="1174">
        <v>4.6500000000000004</v>
      </c>
      <c r="G66" s="1175"/>
      <c r="H66" s="1393">
        <f t="shared" si="0"/>
        <v>0</v>
      </c>
      <c r="I66" s="1138">
        <v>0.45</v>
      </c>
      <c r="J66" s="1138" t="str">
        <f>VLOOKUP(B66,'[27]Gui chi Quynh'!$B$11:$E$388,4,FALSE)</f>
        <v>A1</v>
      </c>
      <c r="K66" s="1138">
        <f t="shared" si="1"/>
        <v>0.8</v>
      </c>
      <c r="L66" s="1139">
        <v>20</v>
      </c>
      <c r="M66" s="1139">
        <v>20</v>
      </c>
      <c r="N66" s="1140"/>
      <c r="O66" s="1141">
        <f t="shared" si="4"/>
        <v>9547200.0000000019</v>
      </c>
      <c r="P66" s="1140">
        <v>27</v>
      </c>
      <c r="Q66" s="1142">
        <f t="shared" si="3"/>
        <v>54</v>
      </c>
      <c r="R66" s="1143">
        <f>VLOOKUP(B66,'[28]CN BC'!$F$10:$K$270,6,FALSE)</f>
        <v>0</v>
      </c>
      <c r="S66" s="1656"/>
    </row>
    <row r="67" spans="1:26" s="1146" customFormat="1" ht="24.75" customHeight="1">
      <c r="A67" s="1132">
        <f>_xlfn.AGGREGATE(4,7,A$12:A66)+1</f>
        <v>55</v>
      </c>
      <c r="B67" s="1172" t="s">
        <v>1853</v>
      </c>
      <c r="C67" s="1149" t="s">
        <v>1639</v>
      </c>
      <c r="D67" s="1173" t="s">
        <v>1271</v>
      </c>
      <c r="E67" s="1058" t="str">
        <f>VLOOKUP(B67,TH.Q2!B74:E405,4,FALSE)</f>
        <v>Phó TP. Kế hoạch - Tài chính</v>
      </c>
      <c r="F67" s="1136">
        <v>4.6500000000000004</v>
      </c>
      <c r="G67" s="1175"/>
      <c r="H67" s="1393">
        <f t="shared" si="0"/>
        <v>0</v>
      </c>
      <c r="I67" s="1176">
        <v>0.35</v>
      </c>
      <c r="J67" s="1138" t="str">
        <f>VLOOKUP(B67,'[27]Gui chi Quynh'!$B$11:$E$388,4,FALSE)</f>
        <v>A2</v>
      </c>
      <c r="K67" s="1138">
        <f t="shared" si="1"/>
        <v>0.7</v>
      </c>
      <c r="L67" s="1139">
        <v>20</v>
      </c>
      <c r="M67" s="1139">
        <v>20</v>
      </c>
      <c r="N67" s="1140"/>
      <c r="O67" s="1141">
        <f t="shared" si="4"/>
        <v>8189999.9999999991</v>
      </c>
      <c r="P67" s="1140">
        <v>24</v>
      </c>
      <c r="Q67" s="1142">
        <f t="shared" si="3"/>
        <v>55</v>
      </c>
      <c r="R67" s="1143">
        <f>VLOOKUP(B67,'[28]CN BC'!$F$10:$K$270,6,FALSE)</f>
        <v>0</v>
      </c>
      <c r="S67" s="1656"/>
    </row>
    <row r="68" spans="1:26" s="1148" customFormat="1" ht="27" customHeight="1">
      <c r="A68" s="1132">
        <f>_xlfn.AGGREGATE(4,7,A$12:A67)+1</f>
        <v>56</v>
      </c>
      <c r="B68" s="1133" t="s">
        <v>842</v>
      </c>
      <c r="C68" s="1153" t="s">
        <v>1671</v>
      </c>
      <c r="D68" s="1154" t="s">
        <v>396</v>
      </c>
      <c r="E68" s="1058" t="str">
        <f>VLOOKUP(B68,TH.Q2!B76:E407,4,FALSE)</f>
        <v>Nhân viên phòng Khảo thí và ĐBCL</v>
      </c>
      <c r="F68" s="1136">
        <v>3.66</v>
      </c>
      <c r="G68" s="1137"/>
      <c r="H68" s="1393">
        <f t="shared" si="0"/>
        <v>0</v>
      </c>
      <c r="I68" s="1138"/>
      <c r="J68" s="1138" t="str">
        <f>VLOOKUP(B68,'[27]Gui chi Quynh'!$B$11:$E$388,4,FALSE)</f>
        <v>A3</v>
      </c>
      <c r="K68" s="1138">
        <f t="shared" si="1"/>
        <v>0.6</v>
      </c>
      <c r="L68" s="1139">
        <v>20</v>
      </c>
      <c r="M68" s="1139">
        <v>20</v>
      </c>
      <c r="N68" s="1140"/>
      <c r="O68" s="1141">
        <f t="shared" si="4"/>
        <v>5138640</v>
      </c>
      <c r="P68" s="1140">
        <v>24</v>
      </c>
      <c r="Q68" s="1142">
        <f t="shared" si="3"/>
        <v>56</v>
      </c>
      <c r="R68" s="1143">
        <f>VLOOKUP(B68,'[28]CN BC'!$F$10:$K$270,6,FALSE)</f>
        <v>0</v>
      </c>
      <c r="S68" s="1656"/>
      <c r="T68" s="1146"/>
      <c r="U68" s="1146"/>
      <c r="V68" s="1146"/>
    </row>
    <row r="69" spans="1:26" s="1148" customFormat="1" ht="27" customHeight="1">
      <c r="A69" s="1132">
        <f>_xlfn.AGGREGATE(4,7,A$12:A68)+1</f>
        <v>57</v>
      </c>
      <c r="B69" s="1133" t="s">
        <v>1551</v>
      </c>
      <c r="C69" s="1149" t="s">
        <v>1672</v>
      </c>
      <c r="D69" s="1179">
        <v>1603205182756</v>
      </c>
      <c r="E69" s="1058" t="str">
        <f>VLOOKUP(B69,TH.Q2!B77:E408,4,FALSE)</f>
        <v>Nhân viên phòng Khảo thí và ĐBCL</v>
      </c>
      <c r="F69" s="1136">
        <v>3.66</v>
      </c>
      <c r="G69" s="1137"/>
      <c r="H69" s="1393">
        <f t="shared" si="0"/>
        <v>0</v>
      </c>
      <c r="I69" s="1138"/>
      <c r="J69" s="1138" t="str">
        <f>VLOOKUP(B69,'[27]Gui chi Quynh'!$B$11:$E$388,4,FALSE)</f>
        <v>A2</v>
      </c>
      <c r="K69" s="1138">
        <f t="shared" si="1"/>
        <v>0.7</v>
      </c>
      <c r="L69" s="1139">
        <v>20</v>
      </c>
      <c r="M69" s="1139">
        <v>20</v>
      </c>
      <c r="N69" s="1140"/>
      <c r="O69" s="1141">
        <f t="shared" si="4"/>
        <v>5995080</v>
      </c>
      <c r="P69" s="1140">
        <v>21</v>
      </c>
      <c r="Q69" s="1142">
        <f t="shared" si="3"/>
        <v>57</v>
      </c>
      <c r="R69" s="1143">
        <f>VLOOKUP(B69,'[28]CN BC'!$F$10:$K$270,6,FALSE)</f>
        <v>0</v>
      </c>
      <c r="S69" s="1656"/>
      <c r="T69" s="1146"/>
      <c r="U69" s="1146"/>
      <c r="V69" s="1146"/>
      <c r="W69" s="1146"/>
      <c r="X69" s="1146"/>
      <c r="Y69" s="1146"/>
      <c r="Z69" s="1146"/>
    </row>
    <row r="70" spans="1:26" s="1148" customFormat="1" ht="27" customHeight="1">
      <c r="A70" s="1132">
        <f>_xlfn.AGGREGATE(4,7,A$12:A69)+1</f>
        <v>58</v>
      </c>
      <c r="B70" s="1133" t="s">
        <v>1521</v>
      </c>
      <c r="C70" s="1149" t="s">
        <v>1673</v>
      </c>
      <c r="D70" s="1185">
        <v>1603205286752</v>
      </c>
      <c r="E70" s="1058" t="str">
        <f>VLOOKUP(B70,TH.Q2!B78:E409,4,FALSE)</f>
        <v>Nhân viên phòng Khảo thí và ĐBCL</v>
      </c>
      <c r="F70" s="1160">
        <v>3.66</v>
      </c>
      <c r="G70" s="1137"/>
      <c r="H70" s="1393">
        <f t="shared" si="0"/>
        <v>0</v>
      </c>
      <c r="I70" s="1138"/>
      <c r="J70" s="1138" t="str">
        <f>VLOOKUP(B70,'[27]Gui chi Quynh'!$B$11:$E$388,4,FALSE)</f>
        <v>A1</v>
      </c>
      <c r="K70" s="1138">
        <f t="shared" si="1"/>
        <v>0.8</v>
      </c>
      <c r="L70" s="1139">
        <v>20</v>
      </c>
      <c r="M70" s="1139">
        <v>20</v>
      </c>
      <c r="N70" s="1140"/>
      <c r="O70" s="1141">
        <f t="shared" si="4"/>
        <v>6851520</v>
      </c>
      <c r="P70" s="1140">
        <v>25</v>
      </c>
      <c r="Q70" s="1142">
        <f t="shared" si="3"/>
        <v>58</v>
      </c>
      <c r="R70" s="1143">
        <f>VLOOKUP(B70,'[28]CN BC'!$F$10:$K$270,6,FALSE)</f>
        <v>0</v>
      </c>
      <c r="S70" s="1656"/>
      <c r="T70" s="1146"/>
      <c r="U70" s="1146"/>
      <c r="V70" s="1146"/>
      <c r="W70" s="1146"/>
      <c r="X70" s="1146"/>
      <c r="Y70" s="1146"/>
      <c r="Z70" s="1146"/>
    </row>
    <row r="71" spans="1:26" s="1148" customFormat="1" ht="30.75" customHeight="1">
      <c r="A71" s="1132">
        <f>_xlfn.AGGREGATE(4,7,A$12:A70)+1</f>
        <v>59</v>
      </c>
      <c r="B71" s="1133" t="s">
        <v>1854</v>
      </c>
      <c r="C71" s="1153" t="s">
        <v>1616</v>
      </c>
      <c r="D71" s="1154" t="s">
        <v>1260</v>
      </c>
      <c r="E71" s="383" t="s">
        <v>2418</v>
      </c>
      <c r="F71" s="1136">
        <v>4.9800000000000004</v>
      </c>
      <c r="G71" s="1137">
        <v>0.08</v>
      </c>
      <c r="H71" s="1400">
        <f>ROUND(F71*G71,3)</f>
        <v>0.39800000000000002</v>
      </c>
      <c r="I71" s="1138"/>
      <c r="J71" s="1138" t="str">
        <f>VLOOKUP(B71,'[27]Gui chi Quynh'!$B$11:$E$388,4,FALSE)</f>
        <v>A3</v>
      </c>
      <c r="K71" s="1138">
        <f>IF(J71="A1",0.8,IF(J71="A2",0.7,IF(J71="A3",0.6,IF(J71="A4",0.5,IF(J71="B1",0.35,IF(J71="B2",0.25,IF(J71="C1",0.15,IF(J71="C2",0.1,0))))))))</f>
        <v>0.6</v>
      </c>
      <c r="L71" s="1139">
        <v>20</v>
      </c>
      <c r="M71" s="1139">
        <v>20</v>
      </c>
      <c r="N71" s="1155"/>
      <c r="O71" s="1141">
        <f t="shared" si="4"/>
        <v>7550712</v>
      </c>
      <c r="P71" s="1155">
        <v>28</v>
      </c>
      <c r="Q71" s="1142">
        <f t="shared" si="3"/>
        <v>59</v>
      </c>
      <c r="R71" s="1143">
        <f>VLOOKUP(B71,'[28]CN BC'!$F$10:$K$270,6,FALSE)</f>
        <v>0</v>
      </c>
      <c r="S71" s="1656"/>
    </row>
    <row r="72" spans="1:26" s="1148" customFormat="1" ht="27" customHeight="1">
      <c r="A72" s="1132">
        <f>_xlfn.AGGREGATE(4,7,A$12:A71)+1</f>
        <v>60</v>
      </c>
      <c r="B72" s="1133" t="s">
        <v>1841</v>
      </c>
      <c r="C72" s="1153" t="s">
        <v>1956</v>
      </c>
      <c r="D72" s="1188" t="s">
        <v>1931</v>
      </c>
      <c r="E72" s="1058" t="s">
        <v>2394</v>
      </c>
      <c r="F72" s="1160">
        <v>3</v>
      </c>
      <c r="G72" s="1137"/>
      <c r="H72" s="1393">
        <f t="shared" si="0"/>
        <v>0</v>
      </c>
      <c r="I72" s="1138">
        <v>0.35</v>
      </c>
      <c r="J72" s="1138" t="str">
        <f>VLOOKUP(B72,'[27]Gui chi Quynh'!$B$11:$E$388,4,FALSE)</f>
        <v>A1</v>
      </c>
      <c r="K72" s="1138">
        <f t="shared" si="1"/>
        <v>0.8</v>
      </c>
      <c r="L72" s="1139">
        <v>20</v>
      </c>
      <c r="M72" s="1139">
        <v>20</v>
      </c>
      <c r="N72" s="1140"/>
      <c r="O72" s="1141">
        <f t="shared" si="4"/>
        <v>6271200</v>
      </c>
      <c r="P72" s="1140">
        <v>23</v>
      </c>
      <c r="Q72" s="1142">
        <f t="shared" si="3"/>
        <v>60</v>
      </c>
      <c r="R72" s="1143">
        <f>VLOOKUP(B72,'[28]CN BC'!$F$10:$K$270,6,FALSE)</f>
        <v>0</v>
      </c>
      <c r="S72" s="1656"/>
      <c r="T72" s="1146"/>
      <c r="U72" s="1146"/>
      <c r="V72" s="1146"/>
    </row>
    <row r="73" spans="1:26" s="1146" customFormat="1" ht="27" customHeight="1">
      <c r="A73" s="1132">
        <f>_xlfn.AGGREGATE(4,7,A$12:A72)+1</f>
        <v>61</v>
      </c>
      <c r="B73" s="1172" t="s">
        <v>1863</v>
      </c>
      <c r="C73" s="1149" t="s">
        <v>1675</v>
      </c>
      <c r="D73" s="1173" t="s">
        <v>1357</v>
      </c>
      <c r="E73" s="1058" t="str">
        <f>VLOOKUP(B73,TH.Q2!B80:E411,4,FALSE)</f>
        <v>Trưởng TT Điều hành và QLDL</v>
      </c>
      <c r="F73" s="1178">
        <v>3.99</v>
      </c>
      <c r="G73" s="1175"/>
      <c r="H73" s="1393">
        <f t="shared" si="0"/>
        <v>0</v>
      </c>
      <c r="I73" s="1176">
        <v>0.45</v>
      </c>
      <c r="J73" s="1138" t="str">
        <f>VLOOKUP(B73,'[27]Gui chi Quynh'!$B$11:$E$388,4,FALSE)</f>
        <v>A1</v>
      </c>
      <c r="K73" s="1138">
        <f t="shared" si="1"/>
        <v>0.8</v>
      </c>
      <c r="L73" s="1139">
        <v>20</v>
      </c>
      <c r="M73" s="1139">
        <v>20</v>
      </c>
      <c r="N73" s="1140"/>
      <c r="O73" s="1141">
        <f t="shared" si="4"/>
        <v>8311680</v>
      </c>
      <c r="P73" s="1140">
        <v>29</v>
      </c>
      <c r="Q73" s="1142">
        <f t="shared" si="3"/>
        <v>61</v>
      </c>
      <c r="R73" s="1143">
        <f>VLOOKUP(B73,'[28]CN BC'!$F$10:$K$270,6,FALSE)</f>
        <v>0</v>
      </c>
      <c r="S73" s="1656"/>
    </row>
    <row r="74" spans="1:26" s="1148" customFormat="1" ht="33.75" customHeight="1">
      <c r="A74" s="1132">
        <f>_xlfn.AGGREGATE(4,7,A$12:A73)+1</f>
        <v>62</v>
      </c>
      <c r="B74" s="1133" t="s">
        <v>1470</v>
      </c>
      <c r="C74" s="1149" t="s">
        <v>1679</v>
      </c>
      <c r="D74" s="1166" t="s">
        <v>1438</v>
      </c>
      <c r="E74" s="1058" t="str">
        <f>VLOOKUP(B74,TH.Q2!B81:E412,4,FALSE)</f>
        <v>NV Trung tâm ĐH và QLDL</v>
      </c>
      <c r="F74" s="1136">
        <v>3.99</v>
      </c>
      <c r="G74" s="1137"/>
      <c r="H74" s="1393">
        <f t="shared" si="0"/>
        <v>0</v>
      </c>
      <c r="I74" s="1138"/>
      <c r="J74" s="1138" t="str">
        <f>VLOOKUP(B74,'[27]Gui chi Quynh'!$B$11:$E$388,4,FALSE)</f>
        <v>A1</v>
      </c>
      <c r="K74" s="1138">
        <f t="shared" si="1"/>
        <v>0.8</v>
      </c>
      <c r="L74" s="1139">
        <v>20</v>
      </c>
      <c r="M74" s="1139">
        <v>20</v>
      </c>
      <c r="N74" s="1140"/>
      <c r="O74" s="1141">
        <f t="shared" si="4"/>
        <v>7469280</v>
      </c>
      <c r="P74" s="1140">
        <v>27</v>
      </c>
      <c r="Q74" s="1142">
        <f t="shared" si="3"/>
        <v>62</v>
      </c>
      <c r="R74" s="1143">
        <f>VLOOKUP(B74,'[28]CN BC'!$F$10:$K$270,6,FALSE)</f>
        <v>0</v>
      </c>
      <c r="S74" s="1656"/>
      <c r="T74" s="1146"/>
      <c r="U74" s="1146"/>
      <c r="V74" s="1146"/>
      <c r="W74" s="1146"/>
      <c r="X74" s="1146"/>
      <c r="Y74" s="1146"/>
      <c r="Z74" s="1146"/>
    </row>
    <row r="75" spans="1:26" s="1148" customFormat="1" ht="33.75" customHeight="1">
      <c r="A75" s="1132">
        <f>_xlfn.AGGREGATE(4,7,A$12:A74)+1</f>
        <v>63</v>
      </c>
      <c r="B75" s="1133" t="s">
        <v>1466</v>
      </c>
      <c r="C75" s="1153" t="s">
        <v>1663</v>
      </c>
      <c r="D75" s="1166" t="s">
        <v>1579</v>
      </c>
      <c r="E75" s="1058" t="str">
        <f>VLOOKUP(B75,TH.Q2!B82:E413,4,FALSE)</f>
        <v>Nhân viên TT Điều hành và QLDL</v>
      </c>
      <c r="F75" s="1136">
        <v>3.46</v>
      </c>
      <c r="G75" s="1137"/>
      <c r="H75" s="1393">
        <f t="shared" si="0"/>
        <v>0</v>
      </c>
      <c r="I75" s="1138"/>
      <c r="J75" s="1138" t="str">
        <f>VLOOKUP(B75,'[27]Gui chi Quynh'!$B$11:$E$388,4,FALSE)</f>
        <v>A1</v>
      </c>
      <c r="K75" s="1138">
        <f t="shared" si="1"/>
        <v>0.8</v>
      </c>
      <c r="L75" s="1139">
        <v>20</v>
      </c>
      <c r="M75" s="1139">
        <v>20</v>
      </c>
      <c r="N75" s="1140"/>
      <c r="O75" s="1141">
        <f t="shared" si="4"/>
        <v>6477120</v>
      </c>
      <c r="P75" s="1140">
        <v>27</v>
      </c>
      <c r="Q75" s="1142">
        <f t="shared" si="3"/>
        <v>63</v>
      </c>
      <c r="R75" s="1143">
        <f>VLOOKUP(B75,'[28]CN BC'!$F$10:$K$270,6,FALSE)</f>
        <v>0</v>
      </c>
      <c r="S75" s="1656"/>
      <c r="T75" s="1146"/>
      <c r="U75" s="1146"/>
      <c r="V75" s="1146"/>
    </row>
    <row r="76" spans="1:26" s="1148" customFormat="1" ht="29.25" customHeight="1">
      <c r="A76" s="1132">
        <f>_xlfn.AGGREGATE(4,7,A$12:A75)+1</f>
        <v>64</v>
      </c>
      <c r="B76" s="1133" t="s">
        <v>1834</v>
      </c>
      <c r="C76" s="1153" t="s">
        <v>1967</v>
      </c>
      <c r="D76" s="1188">
        <v>1603215005599</v>
      </c>
      <c r="E76" s="1058" t="str">
        <f>VLOOKUP(B76,TH.Q2!B83:E414,4,FALSE)</f>
        <v>Phụ trách TT Thư viện</v>
      </c>
      <c r="F76" s="1160">
        <v>3.99</v>
      </c>
      <c r="G76" s="1137"/>
      <c r="H76" s="1393">
        <f t="shared" ref="H76:H136" si="5">ROUND(F76*G76,3)</f>
        <v>0</v>
      </c>
      <c r="I76" s="1138">
        <v>0.45</v>
      </c>
      <c r="J76" s="1138" t="str">
        <f>VLOOKUP(B76,'[27]Gui chi Quynh'!$B$11:$E$388,4,FALSE)</f>
        <v>A2</v>
      </c>
      <c r="K76" s="1138">
        <f t="shared" ref="K76:K136" si="6">IF(J76="A1",0.8,IF(J76="A2",0.7,IF(J76="A3",0.6,IF(J76="A4",0.5,IF(J76="B1",0.35,IF(J76="B2",0.25,IF(J76="C1",0.15,IF(J76="C2",0.1,0))))))))</f>
        <v>0.7</v>
      </c>
      <c r="L76" s="1139">
        <v>20</v>
      </c>
      <c r="M76" s="1139">
        <v>20</v>
      </c>
      <c r="N76" s="1140"/>
      <c r="O76" s="1141">
        <f t="shared" si="4"/>
        <v>7272720</v>
      </c>
      <c r="P76" s="1155">
        <v>22</v>
      </c>
      <c r="Q76" s="1142">
        <f t="shared" si="3"/>
        <v>64</v>
      </c>
      <c r="R76" s="1143">
        <f>VLOOKUP(B76,'[28]CN BC'!$F$10:$K$270,6,FALSE)</f>
        <v>0</v>
      </c>
      <c r="S76" s="1656"/>
      <c r="T76" s="1146"/>
      <c r="U76" s="1146"/>
      <c r="V76" s="1146"/>
    </row>
    <row r="77" spans="1:26" s="1148" customFormat="1" ht="27" customHeight="1">
      <c r="A77" s="1132">
        <f>_xlfn.AGGREGATE(4,7,A$12:A76)+1</f>
        <v>65</v>
      </c>
      <c r="B77" s="1133" t="s">
        <v>1468</v>
      </c>
      <c r="C77" s="1153" t="s">
        <v>1676</v>
      </c>
      <c r="D77" s="1166" t="s">
        <v>1580</v>
      </c>
      <c r="E77" s="1058" t="str">
        <f>VLOOKUP(B77,TH.Q2!B84:E415,4,FALSE)</f>
        <v>Nhân viên TT Thư viện</v>
      </c>
      <c r="F77" s="1160">
        <v>3.33</v>
      </c>
      <c r="G77" s="1137"/>
      <c r="H77" s="1393">
        <f t="shared" si="5"/>
        <v>0</v>
      </c>
      <c r="I77" s="1138"/>
      <c r="J77" s="1138" t="str">
        <f>VLOOKUP(B77,'[27]Gui chi Quynh'!$B$11:$E$388,4,FALSE)</f>
        <v>A3</v>
      </c>
      <c r="K77" s="1138">
        <f t="shared" si="6"/>
        <v>0.6</v>
      </c>
      <c r="L77" s="1139">
        <v>20</v>
      </c>
      <c r="M77" s="1139">
        <v>20</v>
      </c>
      <c r="N77" s="1140"/>
      <c r="O77" s="1141">
        <f t="shared" ref="O77:O108" si="7">(((F77+H77+I77)*$O$9/L77*M77)*K77)+N77</f>
        <v>4675320</v>
      </c>
      <c r="P77" s="1140">
        <v>25</v>
      </c>
      <c r="Q77" s="1142">
        <f t="shared" ref="Q77:Q140" si="8">A77</f>
        <v>65</v>
      </c>
      <c r="R77" s="1143">
        <f>VLOOKUP(B77,'[28]CN BC'!$F$10:$K$270,6,FALSE)</f>
        <v>0</v>
      </c>
      <c r="S77" s="1656"/>
      <c r="T77" s="1146"/>
      <c r="U77" s="1146"/>
      <c r="V77" s="1146"/>
    </row>
    <row r="78" spans="1:26" s="1148" customFormat="1" ht="27" customHeight="1">
      <c r="A78" s="1132">
        <f>_xlfn.AGGREGATE(4,7,A$12:A77)+1</f>
        <v>66</v>
      </c>
      <c r="B78" s="1133" t="s">
        <v>1469</v>
      </c>
      <c r="C78" s="1153" t="s">
        <v>1677</v>
      </c>
      <c r="D78" s="1179">
        <v>1603205185623</v>
      </c>
      <c r="E78" s="1058" t="str">
        <f>VLOOKUP(B78,TH.Q2!B85:E416,4,FALSE)</f>
        <v>Nhân viên TT Thư viện</v>
      </c>
      <c r="F78" s="1160">
        <v>3.66</v>
      </c>
      <c r="G78" s="1137"/>
      <c r="H78" s="1393">
        <f t="shared" si="5"/>
        <v>0</v>
      </c>
      <c r="I78" s="1138"/>
      <c r="J78" s="1138" t="str">
        <f>VLOOKUP(B78,'[27]Gui chi Quynh'!$B$11:$E$388,4,FALSE)</f>
        <v>A3</v>
      </c>
      <c r="K78" s="1138">
        <f t="shared" si="6"/>
        <v>0.6</v>
      </c>
      <c r="L78" s="1139">
        <v>20</v>
      </c>
      <c r="M78" s="1139">
        <v>20</v>
      </c>
      <c r="N78" s="1140"/>
      <c r="O78" s="1141">
        <f t="shared" si="7"/>
        <v>5138640</v>
      </c>
      <c r="P78" s="1140">
        <v>23</v>
      </c>
      <c r="Q78" s="1142">
        <f t="shared" si="8"/>
        <v>66</v>
      </c>
      <c r="R78" s="1143">
        <f>VLOOKUP(B78,'[28]CN BC'!$F$10:$K$270,6,FALSE)</f>
        <v>0</v>
      </c>
      <c r="S78" s="1656"/>
      <c r="T78" s="1146"/>
      <c r="U78" s="1146"/>
      <c r="V78" s="1146"/>
    </row>
    <row r="79" spans="1:26" s="1148" customFormat="1" ht="27" customHeight="1">
      <c r="A79" s="1132">
        <f>_xlfn.AGGREGATE(4,7,A$12:A78)+1</f>
        <v>67</v>
      </c>
      <c r="B79" s="1133" t="s">
        <v>1864</v>
      </c>
      <c r="C79" s="1153" t="s">
        <v>1678</v>
      </c>
      <c r="D79" s="1154" t="s">
        <v>1402</v>
      </c>
      <c r="E79" s="383" t="str">
        <f>VLOOKUP(B79,TH.Q2!B86:E417,4,FALSE)</f>
        <v>Nhân viên TT Thư viện</v>
      </c>
      <c r="F79" s="1136">
        <v>4.9800000000000004</v>
      </c>
      <c r="G79" s="1137">
        <v>0.06</v>
      </c>
      <c r="H79" s="1400">
        <f t="shared" si="5"/>
        <v>0.29899999999999999</v>
      </c>
      <c r="I79" s="1138"/>
      <c r="J79" s="1138" t="str">
        <f>VLOOKUP(B79,'[27]Gui chi Quynh'!$B$11:$E$388,4,FALSE)</f>
        <v>A4</v>
      </c>
      <c r="K79" s="1138">
        <f t="shared" si="6"/>
        <v>0.5</v>
      </c>
      <c r="L79" s="1139">
        <v>20</v>
      </c>
      <c r="M79" s="1139">
        <v>19.5</v>
      </c>
      <c r="N79" s="1155"/>
      <c r="O79" s="1141">
        <f t="shared" si="7"/>
        <v>6022019.2500000009</v>
      </c>
      <c r="P79" s="1155">
        <v>23</v>
      </c>
      <c r="Q79" s="1142">
        <f t="shared" si="8"/>
        <v>67</v>
      </c>
      <c r="R79" s="1143" t="str">
        <f>VLOOKUP(B79,'[28]CN BC'!$F$10:$K$270,6,FALSE)</f>
        <v>Trừ 1/2 ngày nghỉ phép</v>
      </c>
      <c r="S79" s="1656"/>
    </row>
    <row r="80" spans="1:26" s="1148" customFormat="1" ht="31.5" customHeight="1">
      <c r="A80" s="1132">
        <f>_xlfn.AGGREGATE(4,7,A$12:A79)+1</f>
        <v>68</v>
      </c>
      <c r="B80" s="1133" t="s">
        <v>1471</v>
      </c>
      <c r="C80" s="1153" t="s">
        <v>1680</v>
      </c>
      <c r="D80" s="1166" t="s">
        <v>1581</v>
      </c>
      <c r="E80" s="1058" t="str">
        <f>VLOOKUP(B80,TH.Q2!B87:E418,4,FALSE)</f>
        <v>Trưởng phòng KHCN &amp; HTQT</v>
      </c>
      <c r="F80" s="1136">
        <v>4.9800000000000004</v>
      </c>
      <c r="G80" s="1137"/>
      <c r="H80" s="1393">
        <f t="shared" si="5"/>
        <v>0</v>
      </c>
      <c r="I80" s="1138">
        <v>0.45</v>
      </c>
      <c r="J80" s="1138" t="str">
        <f>VLOOKUP(B80,'[27]Gui chi Quynh'!$B$11:$E$388,4,FALSE)</f>
        <v>A1</v>
      </c>
      <c r="K80" s="1138">
        <f t="shared" si="6"/>
        <v>0.8</v>
      </c>
      <c r="L80" s="1139">
        <v>20</v>
      </c>
      <c r="M80" s="1139">
        <v>20</v>
      </c>
      <c r="N80" s="1140"/>
      <c r="O80" s="1141">
        <f t="shared" si="7"/>
        <v>10164960.000000002</v>
      </c>
      <c r="P80" s="1155">
        <v>23</v>
      </c>
      <c r="Q80" s="1142">
        <f t="shared" si="8"/>
        <v>68</v>
      </c>
      <c r="R80" s="1143">
        <f>VLOOKUP(B80,'[28]CN BC'!$F$10:$K$270,6,FALSE)</f>
        <v>0</v>
      </c>
      <c r="S80" s="1656"/>
    </row>
    <row r="81" spans="1:26" s="1148" customFormat="1" ht="26.25" customHeight="1">
      <c r="A81" s="1132">
        <f>_xlfn.AGGREGATE(4,7,A$12:A80)+1</f>
        <v>69</v>
      </c>
      <c r="B81" s="1164" t="s">
        <v>2009</v>
      </c>
      <c r="C81" s="1165"/>
      <c r="D81" s="1166"/>
      <c r="E81" s="1058" t="str">
        <f>VLOOKUP(B81,TH.Q2!B88:E419,4,FALSE)</f>
        <v>NV Phòng KHCN &amp; HTQT</v>
      </c>
      <c r="F81" s="1160">
        <v>3.99</v>
      </c>
      <c r="G81" s="1137"/>
      <c r="H81" s="1393">
        <f t="shared" si="5"/>
        <v>0</v>
      </c>
      <c r="I81" s="1138"/>
      <c r="J81" s="1138" t="str">
        <f>VLOOKUP(B81,'[27]Gui chi Quynh'!$B$11:$E$388,4,FALSE)</f>
        <v>A2</v>
      </c>
      <c r="K81" s="1138">
        <f t="shared" si="6"/>
        <v>0.7</v>
      </c>
      <c r="L81" s="1139">
        <v>20</v>
      </c>
      <c r="M81" s="1139">
        <v>20</v>
      </c>
      <c r="N81" s="1140"/>
      <c r="O81" s="1141">
        <f t="shared" si="7"/>
        <v>6535620</v>
      </c>
      <c r="P81" s="1155"/>
      <c r="Q81" s="1142">
        <f t="shared" si="8"/>
        <v>69</v>
      </c>
      <c r="R81" s="1143">
        <f>VLOOKUP(B81,'[28]CN BC'!$F$10:$K$270,6,FALSE)</f>
        <v>0</v>
      </c>
      <c r="S81" s="1656"/>
    </row>
    <row r="82" spans="1:26" s="1148" customFormat="1" ht="44.25" customHeight="1">
      <c r="A82" s="1132">
        <f>_xlfn.AGGREGATE(4,7,A$12:A81)+1</f>
        <v>70</v>
      </c>
      <c r="B82" s="1164" t="s">
        <v>1830</v>
      </c>
      <c r="C82" s="1165" t="s">
        <v>1829</v>
      </c>
      <c r="D82" s="1190">
        <v>1603205354978</v>
      </c>
      <c r="E82" s="1058" t="str">
        <f>VLOOKUP(B82,TH.Q2!B89:E420,4,FALSE)</f>
        <v>Giám đốc TT Đào tạo và Quản lý vật tư thiết bị</v>
      </c>
      <c r="F82" s="1160">
        <v>3</v>
      </c>
      <c r="G82" s="1137"/>
      <c r="H82" s="1393">
        <f t="shared" si="5"/>
        <v>0</v>
      </c>
      <c r="I82" s="1138">
        <v>0.45</v>
      </c>
      <c r="J82" s="1138" t="str">
        <f>VLOOKUP(B82,'[27]Gui chi Quynh'!$B$11:$E$388,4,FALSE)</f>
        <v>A1</v>
      </c>
      <c r="K82" s="1138">
        <f t="shared" si="6"/>
        <v>0.8</v>
      </c>
      <c r="L82" s="1139">
        <v>20</v>
      </c>
      <c r="M82" s="1139">
        <v>20</v>
      </c>
      <c r="N82" s="1140"/>
      <c r="O82" s="1141">
        <f t="shared" si="7"/>
        <v>6458400</v>
      </c>
      <c r="P82" s="1140">
        <v>17</v>
      </c>
      <c r="Q82" s="1191">
        <f t="shared" si="8"/>
        <v>70</v>
      </c>
      <c r="R82" s="1143">
        <f>VLOOKUP(B82,'[28]CN BC'!$F$10:$K$270,6,FALSE)</f>
        <v>0</v>
      </c>
      <c r="S82" s="1656"/>
      <c r="T82" s="1146"/>
      <c r="U82" s="1146"/>
      <c r="V82" s="1146"/>
    </row>
    <row r="83" spans="1:26" s="1130" customFormat="1" ht="28.5" customHeight="1">
      <c r="A83" s="1132">
        <f>_xlfn.AGGREGATE(4,7,A$12:A82)+1</f>
        <v>71</v>
      </c>
      <c r="B83" s="1172" t="s">
        <v>2005</v>
      </c>
      <c r="C83" s="1192" t="s">
        <v>1826</v>
      </c>
      <c r="D83" s="1193" t="s">
        <v>12</v>
      </c>
      <c r="E83" s="1058" t="str">
        <f>VLOOKUP(B83,TH.Q2!B90:E421,4,FALSE)</f>
        <v>TT Đào tạo và Quản lý vật tư thiết bị</v>
      </c>
      <c r="F83" s="1176">
        <v>3.66</v>
      </c>
      <c r="G83" s="1194"/>
      <c r="H83" s="1393">
        <f t="shared" si="5"/>
        <v>0</v>
      </c>
      <c r="I83" s="1194">
        <v>0</v>
      </c>
      <c r="J83" s="1138" t="str">
        <f>VLOOKUP(B83,'[27]Gui chi Quynh'!$B$11:$E$388,4,FALSE)</f>
        <v>A3</v>
      </c>
      <c r="K83" s="1138">
        <f t="shared" si="6"/>
        <v>0.6</v>
      </c>
      <c r="L83" s="1139">
        <v>20</v>
      </c>
      <c r="M83" s="1139">
        <v>20</v>
      </c>
      <c r="N83" s="1140"/>
      <c r="O83" s="1141">
        <f t="shared" si="7"/>
        <v>5138640</v>
      </c>
      <c r="P83" s="1192">
        <v>21</v>
      </c>
      <c r="Q83" s="1195">
        <f t="shared" si="8"/>
        <v>71</v>
      </c>
      <c r="R83" s="1143">
        <f>VLOOKUP(B83,'[28]CN BC'!$F$10:$K$270,6,FALSE)</f>
        <v>0</v>
      </c>
      <c r="S83" s="1656"/>
    </row>
    <row r="84" spans="1:26" s="1148" customFormat="1" ht="27" customHeight="1">
      <c r="A84" s="1132">
        <f>_xlfn.AGGREGATE(4,7,A$12:A83)+1</f>
        <v>72</v>
      </c>
      <c r="B84" s="1164" t="s">
        <v>1607</v>
      </c>
      <c r="C84" s="1165" t="s">
        <v>1957</v>
      </c>
      <c r="D84" s="1181">
        <v>1603215003961</v>
      </c>
      <c r="E84" s="383" t="str">
        <f>VLOOKUP(B84,TH.Q2!B91:E422,4,FALSE)</f>
        <v>Trưởng khoa Xây dựng - Nhiệt lạnh</v>
      </c>
      <c r="F84" s="1160">
        <v>3.99</v>
      </c>
      <c r="G84" s="1137"/>
      <c r="H84" s="1400">
        <f t="shared" si="5"/>
        <v>0</v>
      </c>
      <c r="I84" s="1138">
        <v>0.45</v>
      </c>
      <c r="J84" s="1138" t="str">
        <f>VLOOKUP(B84,'[27]Gui chi Quynh'!$B$11:$E$388,4,FALSE)</f>
        <v>A2</v>
      </c>
      <c r="K84" s="1138">
        <f t="shared" si="6"/>
        <v>0.7</v>
      </c>
      <c r="L84" s="1139">
        <v>20</v>
      </c>
      <c r="M84" s="1139">
        <v>20</v>
      </c>
      <c r="N84" s="1155"/>
      <c r="O84" s="1141">
        <f t="shared" si="7"/>
        <v>7272720</v>
      </c>
      <c r="P84" s="1155">
        <v>23</v>
      </c>
      <c r="Q84" s="1142">
        <f t="shared" si="8"/>
        <v>72</v>
      </c>
      <c r="R84" s="1143">
        <f>VLOOKUP(B84,'[28]CN BC'!$F$10:$K$270,6,FALSE)</f>
        <v>0</v>
      </c>
      <c r="S84" s="1656"/>
    </row>
    <row r="85" spans="1:26" s="1148" customFormat="1" ht="25.5" customHeight="1">
      <c r="A85" s="1132">
        <f>_xlfn.AGGREGATE(4,7,A$12:A84)+1</f>
        <v>73</v>
      </c>
      <c r="B85" s="1133" t="s">
        <v>1924</v>
      </c>
      <c r="C85" s="1153" t="s">
        <v>1958</v>
      </c>
      <c r="D85" s="1188" t="s">
        <v>1935</v>
      </c>
      <c r="E85" s="1058" t="str">
        <f>VLOOKUP(B85,TH.Q2!B92:E423,4,FALSE)</f>
        <v>Giảng viên khoa Xây dựng - Nhiệt lạnh</v>
      </c>
      <c r="F85" s="1160">
        <v>3</v>
      </c>
      <c r="G85" s="1137"/>
      <c r="H85" s="1393">
        <f t="shared" si="5"/>
        <v>0</v>
      </c>
      <c r="I85" s="1138"/>
      <c r="J85" s="1138" t="str">
        <f>VLOOKUP(B85,'[27]Gui chi Quynh'!$B$11:$E$388,4,FALSE)</f>
        <v>A4</v>
      </c>
      <c r="K85" s="1138">
        <f t="shared" si="6"/>
        <v>0.5</v>
      </c>
      <c r="L85" s="1139">
        <v>20</v>
      </c>
      <c r="M85" s="1139">
        <v>20</v>
      </c>
      <c r="N85" s="1140"/>
      <c r="O85" s="1141">
        <f t="shared" si="7"/>
        <v>3510000</v>
      </c>
      <c r="P85" s="1155">
        <v>23</v>
      </c>
      <c r="Q85" s="1142">
        <f t="shared" si="8"/>
        <v>73</v>
      </c>
      <c r="R85" s="1143">
        <f>VLOOKUP(B85,'[28]CN BC'!$F$10:$K$270,6,FALSE)</f>
        <v>0</v>
      </c>
      <c r="S85" s="1656"/>
    </row>
    <row r="86" spans="1:26" s="1148" customFormat="1" ht="25.15" customHeight="1">
      <c r="A86" s="1132">
        <f>_xlfn.AGGREGATE(4,7,A$12:A85)+1</f>
        <v>74</v>
      </c>
      <c r="B86" s="1133" t="s">
        <v>1944</v>
      </c>
      <c r="C86" s="1153" t="s">
        <v>1959</v>
      </c>
      <c r="D86" s="1181"/>
      <c r="E86" s="1058" t="str">
        <f>VLOOKUP(B86,TH.Q2!B93:E424,4,FALSE)</f>
        <v>Giảng viên khoa Xây dựng - Nhiệt lạnh</v>
      </c>
      <c r="F86" s="1136">
        <v>2.67</v>
      </c>
      <c r="G86" s="1137"/>
      <c r="H86" s="1393">
        <f t="shared" si="5"/>
        <v>0</v>
      </c>
      <c r="I86" s="1138"/>
      <c r="J86" s="1138" t="str">
        <f>VLOOKUP(B86,'[27]Gui chi Quynh'!$B$11:$E$388,4,FALSE)</f>
        <v>A3</v>
      </c>
      <c r="K86" s="1138">
        <f t="shared" si="6"/>
        <v>0.6</v>
      </c>
      <c r="L86" s="1139">
        <v>20</v>
      </c>
      <c r="M86" s="1139">
        <v>20</v>
      </c>
      <c r="N86" s="1140"/>
      <c r="O86" s="1141">
        <f t="shared" si="7"/>
        <v>3748680</v>
      </c>
      <c r="P86" s="1155">
        <v>23</v>
      </c>
      <c r="Q86" s="1142">
        <f t="shared" si="8"/>
        <v>74</v>
      </c>
      <c r="R86" s="1143">
        <f>VLOOKUP(B86,'[28]CN BC'!$F$10:$K$270,6,FALSE)</f>
        <v>0</v>
      </c>
      <c r="S86" s="1656"/>
    </row>
    <row r="87" spans="1:26" s="1148" customFormat="1" ht="25.5" customHeight="1">
      <c r="A87" s="1132">
        <f>_xlfn.AGGREGATE(4,7,A$12:A86)+1</f>
        <v>75</v>
      </c>
      <c r="B87" s="1133" t="s">
        <v>1472</v>
      </c>
      <c r="C87" s="1149" t="s">
        <v>1682</v>
      </c>
      <c r="D87" s="1166" t="s">
        <v>1582</v>
      </c>
      <c r="E87" s="1058" t="str">
        <f>VLOOKUP(B87,TH.Q2!B94:E425,4,FALSE)</f>
        <v>Trưởng khoa Kinh tế</v>
      </c>
      <c r="F87" s="1160">
        <v>4.32</v>
      </c>
      <c r="G87" s="1137"/>
      <c r="H87" s="1393">
        <f t="shared" si="5"/>
        <v>0</v>
      </c>
      <c r="I87" s="1138">
        <v>0.45</v>
      </c>
      <c r="J87" s="1138" t="str">
        <f>VLOOKUP(B87,'[27]Gui chi Quynh'!$B$11:$E$388,4,FALSE)</f>
        <v>A1</v>
      </c>
      <c r="K87" s="1138">
        <f t="shared" si="6"/>
        <v>0.8</v>
      </c>
      <c r="L87" s="1139">
        <v>20</v>
      </c>
      <c r="M87" s="1139">
        <v>20</v>
      </c>
      <c r="N87" s="1140"/>
      <c r="O87" s="1141">
        <f t="shared" si="7"/>
        <v>8929440.0000000019</v>
      </c>
      <c r="P87" s="1140">
        <v>23</v>
      </c>
      <c r="Q87" s="1142">
        <f t="shared" si="8"/>
        <v>75</v>
      </c>
      <c r="R87" s="1143">
        <f>VLOOKUP(B87,'[28]CN BC'!$F$10:$K$270,6,FALSE)</f>
        <v>0</v>
      </c>
      <c r="S87" s="1656"/>
      <c r="T87" s="1146"/>
      <c r="U87" s="1146"/>
      <c r="V87" s="1146"/>
      <c r="W87" s="1146"/>
      <c r="X87" s="1146"/>
      <c r="Y87" s="1146"/>
      <c r="Z87" s="1146"/>
    </row>
    <row r="88" spans="1:26" s="1148" customFormat="1" ht="25.15" customHeight="1">
      <c r="A88" s="1132">
        <f>_xlfn.AGGREGATE(4,7,A$12:A87)+1</f>
        <v>76</v>
      </c>
      <c r="B88" s="1133" t="s">
        <v>1566</v>
      </c>
      <c r="C88" s="1153" t="s">
        <v>1681</v>
      </c>
      <c r="D88" s="1196" t="s">
        <v>1567</v>
      </c>
      <c r="E88" s="1058" t="str">
        <f>VLOOKUP(B88,TH.Q2!B95:E426,4,FALSE)</f>
        <v>Giảng viên khoa Kinh tế</v>
      </c>
      <c r="F88" s="1160">
        <v>3.33</v>
      </c>
      <c r="G88" s="1137"/>
      <c r="H88" s="1393">
        <f t="shared" si="5"/>
        <v>0</v>
      </c>
      <c r="I88" s="1138"/>
      <c r="J88" s="1138" t="str">
        <f>VLOOKUP(B88,'[27]Gui chi Quynh'!$B$11:$E$388,4,FALSE)</f>
        <v>A3</v>
      </c>
      <c r="K88" s="1138">
        <f t="shared" si="6"/>
        <v>0.6</v>
      </c>
      <c r="L88" s="1139">
        <v>20</v>
      </c>
      <c r="M88" s="1139">
        <v>20</v>
      </c>
      <c r="N88" s="1140"/>
      <c r="O88" s="1141">
        <f t="shared" si="7"/>
        <v>4675320</v>
      </c>
      <c r="P88" s="1155">
        <v>23</v>
      </c>
      <c r="Q88" s="1142">
        <f t="shared" si="8"/>
        <v>76</v>
      </c>
      <c r="R88" s="1143">
        <f>VLOOKUP(B88,'[28]CN BC'!$F$10:$K$270,6,FALSE)</f>
        <v>0</v>
      </c>
      <c r="S88" s="1656"/>
    </row>
    <row r="89" spans="1:26" s="1148" customFormat="1" ht="25.15" customHeight="1">
      <c r="A89" s="1132">
        <f>_xlfn.AGGREGATE(4,7,A$12:A88)+1</f>
        <v>77</v>
      </c>
      <c r="B89" s="1133" t="s">
        <v>1831</v>
      </c>
      <c r="C89" s="1153" t="s">
        <v>1960</v>
      </c>
      <c r="D89" s="1198">
        <v>1603215005603</v>
      </c>
      <c r="E89" s="1058" t="str">
        <f>VLOOKUP(B89,TH.Q2!B96:E427,4,FALSE)</f>
        <v>Giảng viên khoa 
Kinh tế</v>
      </c>
      <c r="F89" s="1160">
        <v>3</v>
      </c>
      <c r="G89" s="1137"/>
      <c r="H89" s="1393">
        <f t="shared" si="5"/>
        <v>0</v>
      </c>
      <c r="I89" s="1138"/>
      <c r="J89" s="1138" t="str">
        <f>VLOOKUP(B89,'[27]Gui chi Quynh'!$B$11:$E$388,4,FALSE)</f>
        <v>A2</v>
      </c>
      <c r="K89" s="1138">
        <f t="shared" si="6"/>
        <v>0.7</v>
      </c>
      <c r="L89" s="1139">
        <v>20</v>
      </c>
      <c r="M89" s="1139">
        <v>20</v>
      </c>
      <c r="N89" s="1140"/>
      <c r="O89" s="1141">
        <f t="shared" si="7"/>
        <v>4914000</v>
      </c>
      <c r="P89" s="1140">
        <v>23</v>
      </c>
      <c r="Q89" s="1142">
        <f t="shared" si="8"/>
        <v>77</v>
      </c>
      <c r="R89" s="1143">
        <f>VLOOKUP(B89,'[28]CN BC'!$F$10:$K$270,6,FALSE)</f>
        <v>0</v>
      </c>
      <c r="S89" s="1656"/>
      <c r="T89" s="1146"/>
      <c r="U89" s="1146"/>
      <c r="V89" s="1146"/>
    </row>
    <row r="90" spans="1:26" s="1148" customFormat="1" ht="26.25" customHeight="1">
      <c r="A90" s="1200">
        <f>_xlfn.AGGREGATE(4,7,A$12:A89)+1</f>
        <v>78</v>
      </c>
      <c r="B90" s="1201" t="s">
        <v>1928</v>
      </c>
      <c r="C90" s="1591" t="s">
        <v>1961</v>
      </c>
      <c r="D90" s="1202" t="s">
        <v>1934</v>
      </c>
      <c r="E90" s="490" t="str">
        <f>VLOOKUP(B90,TH.Q2!B98:E429,4,FALSE)</f>
        <v>Giảng viên khoa Du lịch - Khách sạn</v>
      </c>
      <c r="F90" s="1203">
        <v>2.67</v>
      </c>
      <c r="G90" s="1204"/>
      <c r="H90" s="1398">
        <f t="shared" si="5"/>
        <v>0</v>
      </c>
      <c r="I90" s="1205"/>
      <c r="J90" s="1138" t="str">
        <f>VLOOKUP(B90,'[27]Gui chi Quynh'!$B$11:$E$388,4,FALSE)</f>
        <v>A DN</v>
      </c>
      <c r="K90" s="1205">
        <f t="shared" si="6"/>
        <v>0</v>
      </c>
      <c r="L90" s="1139">
        <v>20</v>
      </c>
      <c r="M90" s="1338">
        <v>0</v>
      </c>
      <c r="N90" s="1206"/>
      <c r="O90" s="1339">
        <f t="shared" si="7"/>
        <v>0</v>
      </c>
      <c r="P90" s="1206">
        <v>23</v>
      </c>
      <c r="Q90" s="1207">
        <f t="shared" si="8"/>
        <v>78</v>
      </c>
      <c r="R90" s="1143" t="str">
        <f>VLOOKUP(B90,'[28]CN BC'!$F$10:$K$270,6,FALSE)</f>
        <v>Nghỉ hộ sản</v>
      </c>
      <c r="S90" s="1656"/>
    </row>
    <row r="91" spans="1:26" s="1148" customFormat="1" ht="32.25" customHeight="1">
      <c r="A91" s="1132">
        <f>_xlfn.AGGREGATE(4,7,A$12:A90)+1</f>
        <v>79</v>
      </c>
      <c r="B91" s="1133" t="s">
        <v>1474</v>
      </c>
      <c r="C91" s="1153" t="s">
        <v>1684</v>
      </c>
      <c r="D91" s="1166" t="s">
        <v>1584</v>
      </c>
      <c r="E91" s="1058" t="str">
        <f>VLOOKUP(B91,TH.Q2!B99:E430,4,FALSE)</f>
        <v>Giảng viên khoa Kinh tế</v>
      </c>
      <c r="F91" s="1160">
        <v>3.33</v>
      </c>
      <c r="G91" s="1137"/>
      <c r="H91" s="1393">
        <f t="shared" si="5"/>
        <v>0</v>
      </c>
      <c r="I91" s="1138"/>
      <c r="J91" s="1138" t="str">
        <f>VLOOKUP(B91,'[27]Gui chi Quynh'!$B$11:$E$388,4,FALSE)</f>
        <v>A1</v>
      </c>
      <c r="K91" s="1138">
        <f t="shared" si="6"/>
        <v>0.8</v>
      </c>
      <c r="L91" s="1139">
        <v>20</v>
      </c>
      <c r="M91" s="1139">
        <v>20</v>
      </c>
      <c r="N91" s="1140"/>
      <c r="O91" s="1141">
        <f t="shared" si="7"/>
        <v>6233760</v>
      </c>
      <c r="P91" s="1155">
        <v>23</v>
      </c>
      <c r="Q91" s="1142">
        <f t="shared" si="8"/>
        <v>79</v>
      </c>
      <c r="R91" s="1143">
        <f>VLOOKUP(B91,'[28]CN BC'!$F$10:$K$270,6,FALSE)</f>
        <v>0</v>
      </c>
      <c r="S91" s="1656"/>
    </row>
    <row r="92" spans="1:26" s="1148" customFormat="1" ht="28.5" customHeight="1">
      <c r="A92" s="1132">
        <f>_xlfn.AGGREGATE(4,7,A$12:A91)+1</f>
        <v>80</v>
      </c>
      <c r="B92" s="1133" t="s">
        <v>1571</v>
      </c>
      <c r="C92" s="1153" t="s">
        <v>1685</v>
      </c>
      <c r="D92" s="1196" t="s">
        <v>1572</v>
      </c>
      <c r="E92" s="1058" t="str">
        <f>VLOOKUP(B92,TH.Q2!B100:E431,4,FALSE)</f>
        <v>Giảng viên khoa Kinh tế</v>
      </c>
      <c r="F92" s="1160">
        <v>3.33</v>
      </c>
      <c r="G92" s="1137"/>
      <c r="H92" s="1393">
        <f t="shared" si="5"/>
        <v>0</v>
      </c>
      <c r="I92" s="1138"/>
      <c r="J92" s="1138" t="str">
        <f>VLOOKUP(B92,'[27]Gui chi Quynh'!$B$11:$E$388,4,FALSE)</f>
        <v>A3</v>
      </c>
      <c r="K92" s="1138">
        <f t="shared" si="6"/>
        <v>0.6</v>
      </c>
      <c r="L92" s="1139">
        <v>20</v>
      </c>
      <c r="M92" s="1139">
        <v>20</v>
      </c>
      <c r="N92" s="1140"/>
      <c r="O92" s="1141">
        <f t="shared" si="7"/>
        <v>4675320</v>
      </c>
      <c r="P92" s="1140">
        <v>23</v>
      </c>
      <c r="Q92" s="1142">
        <f t="shared" si="8"/>
        <v>80</v>
      </c>
      <c r="R92" s="1143">
        <f>VLOOKUP(B92,'[28]CN BC'!$F$10:$K$270,6,FALSE)</f>
        <v>0</v>
      </c>
      <c r="S92" s="1656"/>
      <c r="T92" s="1146"/>
      <c r="U92" s="1146"/>
      <c r="V92" s="1146"/>
    </row>
    <row r="93" spans="1:26" s="1148" customFormat="1" ht="28.5" customHeight="1">
      <c r="A93" s="1132">
        <f>_xlfn.AGGREGATE(4,7,A$12:A92)+1</f>
        <v>81</v>
      </c>
      <c r="B93" s="1133" t="s">
        <v>1475</v>
      </c>
      <c r="C93" s="1153" t="s">
        <v>1686</v>
      </c>
      <c r="D93" s="1166" t="s">
        <v>1585</v>
      </c>
      <c r="E93" s="1058" t="str">
        <f>VLOOKUP(B93,TH.Q2!B101:E432,4,FALSE)</f>
        <v>Giảng viên khoa Kinh tế</v>
      </c>
      <c r="F93" s="1160">
        <v>3.66</v>
      </c>
      <c r="G93" s="1137"/>
      <c r="H93" s="1393">
        <f t="shared" si="5"/>
        <v>0</v>
      </c>
      <c r="I93" s="1138"/>
      <c r="J93" s="1138" t="str">
        <f>VLOOKUP(B93,'[27]Gui chi Quynh'!$B$11:$E$388,4,FALSE)</f>
        <v>A1</v>
      </c>
      <c r="K93" s="1138">
        <f t="shared" si="6"/>
        <v>0.8</v>
      </c>
      <c r="L93" s="1139">
        <v>20</v>
      </c>
      <c r="M93" s="1139">
        <v>20</v>
      </c>
      <c r="N93" s="1140"/>
      <c r="O93" s="1141">
        <f t="shared" si="7"/>
        <v>6851520</v>
      </c>
      <c r="P93" s="1155">
        <v>23</v>
      </c>
      <c r="Q93" s="1142">
        <f t="shared" si="8"/>
        <v>81</v>
      </c>
      <c r="R93" s="1143">
        <f>VLOOKUP(B93,'[28]CN BC'!$F$10:$K$270,6,FALSE)</f>
        <v>0</v>
      </c>
      <c r="S93" s="1656"/>
    </row>
    <row r="94" spans="1:26" s="1148" customFormat="1" ht="30" customHeight="1">
      <c r="A94" s="1132">
        <f>_xlfn.AGGREGATE(4,7,A$12:A93)+1</f>
        <v>82</v>
      </c>
      <c r="B94" s="1133" t="s">
        <v>1476</v>
      </c>
      <c r="C94" s="1153" t="s">
        <v>1687</v>
      </c>
      <c r="D94" s="1166" t="s">
        <v>1586</v>
      </c>
      <c r="E94" s="1058" t="str">
        <f>VLOOKUP(B94,TH.Q2!B102:E433,4,FALSE)</f>
        <v>Giảng viên khoa Du lịch - Khách sạn</v>
      </c>
      <c r="F94" s="1160">
        <v>3</v>
      </c>
      <c r="G94" s="1137"/>
      <c r="H94" s="1393">
        <f t="shared" si="5"/>
        <v>0</v>
      </c>
      <c r="I94" s="1138"/>
      <c r="J94" s="1138" t="str">
        <f>VLOOKUP(B94,'[27]Gui chi Quynh'!$B$11:$E$388,4,FALSE)</f>
        <v>A3</v>
      </c>
      <c r="K94" s="1138">
        <f t="shared" si="6"/>
        <v>0.6</v>
      </c>
      <c r="L94" s="1139">
        <v>20</v>
      </c>
      <c r="M94" s="1139">
        <v>20</v>
      </c>
      <c r="N94" s="1140"/>
      <c r="O94" s="1141">
        <f t="shared" si="7"/>
        <v>4212000</v>
      </c>
      <c r="P94" s="1140">
        <v>23</v>
      </c>
      <c r="Q94" s="1142">
        <f t="shared" si="8"/>
        <v>82</v>
      </c>
      <c r="R94" s="1143">
        <f>VLOOKUP(B94,'[28]CN BC'!$F$10:$K$270,6,FALSE)</f>
        <v>0</v>
      </c>
      <c r="S94" s="1656"/>
      <c r="T94" s="1146"/>
      <c r="U94" s="1146"/>
      <c r="V94" s="1146"/>
    </row>
    <row r="95" spans="1:26" s="1148" customFormat="1" ht="30" customHeight="1">
      <c r="A95" s="1132">
        <f>_xlfn.AGGREGATE(4,7,A$12:A94)+1</f>
        <v>83</v>
      </c>
      <c r="B95" s="1133" t="s">
        <v>1477</v>
      </c>
      <c r="C95" s="1153" t="s">
        <v>1688</v>
      </c>
      <c r="D95" s="1166" t="s">
        <v>1587</v>
      </c>
      <c r="E95" s="1058" t="str">
        <f>VLOOKUP(B95,TH.Q2!B103:E434,4,FALSE)</f>
        <v>Giảng viên khoa Du lịch - Khách sạn</v>
      </c>
      <c r="F95" s="1160">
        <v>3.66</v>
      </c>
      <c r="G95" s="1137"/>
      <c r="H95" s="1393">
        <f t="shared" si="5"/>
        <v>0</v>
      </c>
      <c r="I95" s="1138">
        <v>0.25</v>
      </c>
      <c r="J95" s="1138" t="str">
        <f>VLOOKUP(B95,'[27]Gui chi Quynh'!$B$11:$E$388,4,FALSE)</f>
        <v>A1</v>
      </c>
      <c r="K95" s="1138">
        <f t="shared" si="6"/>
        <v>0.8</v>
      </c>
      <c r="L95" s="1139">
        <v>20</v>
      </c>
      <c r="M95" s="1139">
        <v>20</v>
      </c>
      <c r="N95" s="1140"/>
      <c r="O95" s="1141">
        <f t="shared" si="7"/>
        <v>7319520</v>
      </c>
      <c r="P95" s="1140">
        <v>23</v>
      </c>
      <c r="Q95" s="1142">
        <f t="shared" si="8"/>
        <v>83</v>
      </c>
      <c r="R95" s="1143">
        <f>VLOOKUP(B95,'[28]CN BC'!$F$10:$K$270,6,FALSE)</f>
        <v>0</v>
      </c>
      <c r="S95" s="1656"/>
      <c r="T95" s="1146"/>
      <c r="U95" s="1146"/>
      <c r="V95" s="1146"/>
    </row>
    <row r="96" spans="1:26" s="1148" customFormat="1" ht="28.5" customHeight="1">
      <c r="A96" s="1132">
        <f>_xlfn.AGGREGATE(4,7,A$12:A95)+1</f>
        <v>84</v>
      </c>
      <c r="B96" s="1199" t="s">
        <v>1946</v>
      </c>
      <c r="C96" s="1132" t="s">
        <v>1950</v>
      </c>
      <c r="D96" s="1181" t="s">
        <v>1951</v>
      </c>
      <c r="E96" s="1058" t="str">
        <f>VLOOKUP(B96,TH.Q2!B105:E436,4,FALSE)</f>
        <v>Trưởng khoa Du lịch - Khách sạn</v>
      </c>
      <c r="F96" s="1197">
        <v>2.67</v>
      </c>
      <c r="G96" s="1137"/>
      <c r="H96" s="1393">
        <f t="shared" si="5"/>
        <v>0</v>
      </c>
      <c r="I96" s="1138">
        <v>0.45</v>
      </c>
      <c r="J96" s="1138" t="str">
        <f>VLOOKUP(B96,'[27]Gui chi Quynh'!$B$11:$E$388,4,FALSE)</f>
        <v>A1</v>
      </c>
      <c r="K96" s="1138">
        <f t="shared" si="6"/>
        <v>0.8</v>
      </c>
      <c r="L96" s="1139">
        <v>20</v>
      </c>
      <c r="M96" s="1139">
        <v>20</v>
      </c>
      <c r="N96" s="1140"/>
      <c r="O96" s="1141">
        <f t="shared" si="7"/>
        <v>5840640</v>
      </c>
      <c r="P96" s="1155">
        <v>23</v>
      </c>
      <c r="Q96" s="1142">
        <f t="shared" si="8"/>
        <v>84</v>
      </c>
      <c r="R96" s="1143">
        <f>VLOOKUP(B96,'[28]CN BC'!$F$10:$K$270,6,FALSE)</f>
        <v>0</v>
      </c>
      <c r="S96" s="1656"/>
      <c r="T96" s="1146"/>
      <c r="U96" s="1146"/>
      <c r="V96" s="1146"/>
    </row>
    <row r="97" spans="1:26" s="1148" customFormat="1" ht="28.5" customHeight="1">
      <c r="A97" s="1132">
        <f>_xlfn.AGGREGATE(4,7,A$12:A96)+1</f>
        <v>85</v>
      </c>
      <c r="B97" s="1199" t="s">
        <v>1997</v>
      </c>
      <c r="C97" s="1132"/>
      <c r="D97" s="1181"/>
      <c r="E97" s="1058" t="str">
        <f>VLOOKUP(B97,TH.Q2!B107:E438,4,FALSE)</f>
        <v>Giảng viên khoa Kinh tế</v>
      </c>
      <c r="F97" s="1197">
        <v>2.34</v>
      </c>
      <c r="G97" s="1137"/>
      <c r="H97" s="1393">
        <f t="shared" si="5"/>
        <v>0</v>
      </c>
      <c r="I97" s="1138"/>
      <c r="J97" s="1138" t="str">
        <f>VLOOKUP(B97,'[27]Gui chi Quynh'!$B$11:$E$388,4,FALSE)</f>
        <v>A2</v>
      </c>
      <c r="K97" s="1138">
        <f t="shared" si="6"/>
        <v>0.7</v>
      </c>
      <c r="L97" s="1139">
        <v>20</v>
      </c>
      <c r="M97" s="1139">
        <v>20</v>
      </c>
      <c r="N97" s="1140"/>
      <c r="O97" s="1141">
        <f t="shared" si="7"/>
        <v>3832919.9999999995</v>
      </c>
      <c r="P97" s="1155">
        <v>23</v>
      </c>
      <c r="Q97" s="1142">
        <f t="shared" si="8"/>
        <v>85</v>
      </c>
      <c r="R97" s="1143">
        <f>VLOOKUP(B97,'[28]CN BC'!$F$10:$K$270,6,FALSE)</f>
        <v>0</v>
      </c>
      <c r="S97" s="1656"/>
    </row>
    <row r="98" spans="1:26" s="1148" customFormat="1" ht="26.25" customHeight="1">
      <c r="A98" s="1132">
        <f>_xlfn.AGGREGATE(4,7,A$12:A97)+1</f>
        <v>86</v>
      </c>
      <c r="B98" s="1199" t="s">
        <v>1998</v>
      </c>
      <c r="C98" s="1132"/>
      <c r="D98" s="1181"/>
      <c r="E98" s="1058" t="str">
        <f>VLOOKUP(B98,TH.Q2!B108:E439,4,FALSE)</f>
        <v>Giảng viên khoa Du lịch - Khách sạn</v>
      </c>
      <c r="F98" s="1160">
        <v>3.66</v>
      </c>
      <c r="G98" s="1137"/>
      <c r="H98" s="1393">
        <f t="shared" si="5"/>
        <v>0</v>
      </c>
      <c r="I98" s="1138"/>
      <c r="J98" s="1138" t="str">
        <f>VLOOKUP(B98,'[27]Gui chi Quynh'!$B$11:$E$388,4,FALSE)</f>
        <v>A2</v>
      </c>
      <c r="K98" s="1138">
        <f t="shared" si="6"/>
        <v>0.7</v>
      </c>
      <c r="L98" s="1139">
        <v>20</v>
      </c>
      <c r="M98" s="1139">
        <v>20</v>
      </c>
      <c r="N98" s="1140"/>
      <c r="O98" s="1141">
        <f t="shared" si="7"/>
        <v>5995080</v>
      </c>
      <c r="P98" s="1155">
        <v>23</v>
      </c>
      <c r="Q98" s="1142">
        <f t="shared" si="8"/>
        <v>86</v>
      </c>
      <c r="R98" s="1143">
        <f>VLOOKUP(B98,'[28]CN BC'!$F$10:$K$270,6,FALSE)</f>
        <v>0</v>
      </c>
      <c r="S98" s="1656"/>
    </row>
    <row r="99" spans="1:26" s="1148" customFormat="1" ht="28.5" customHeight="1">
      <c r="A99" s="1132">
        <f>_xlfn.AGGREGATE(4,7,A$12:A98)+1</f>
        <v>87</v>
      </c>
      <c r="B99" s="1199" t="s">
        <v>1999</v>
      </c>
      <c r="C99" s="1132"/>
      <c r="D99" s="1181"/>
      <c r="E99" s="1058" t="s">
        <v>2251</v>
      </c>
      <c r="F99" s="1160">
        <v>3.66</v>
      </c>
      <c r="G99" s="1137"/>
      <c r="H99" s="1393">
        <f t="shared" si="5"/>
        <v>0</v>
      </c>
      <c r="I99" s="1138"/>
      <c r="J99" s="1138" t="str">
        <f>VLOOKUP(B99,'[27]Gui chi Quynh'!$B$11:$E$388,4,FALSE)</f>
        <v>A1</v>
      </c>
      <c r="K99" s="1138">
        <f t="shared" si="6"/>
        <v>0.8</v>
      </c>
      <c r="L99" s="1139">
        <v>20</v>
      </c>
      <c r="M99" s="1139">
        <v>20</v>
      </c>
      <c r="N99" s="1140"/>
      <c r="O99" s="1141">
        <f t="shared" si="7"/>
        <v>6851520</v>
      </c>
      <c r="P99" s="1155">
        <v>23</v>
      </c>
      <c r="Q99" s="1142">
        <f t="shared" si="8"/>
        <v>87</v>
      </c>
      <c r="R99" s="1143">
        <f>VLOOKUP(B99,'[28]CN BC'!$F$10:$K$270,6,FALSE)</f>
        <v>0</v>
      </c>
      <c r="S99" s="1656"/>
    </row>
    <row r="100" spans="1:26" s="1148" customFormat="1" ht="28.5" customHeight="1">
      <c r="A100" s="1132">
        <f>_xlfn.AGGREGATE(4,7,A$12:A99)+1</f>
        <v>88</v>
      </c>
      <c r="B100" s="1199" t="s">
        <v>2001</v>
      </c>
      <c r="C100" s="1132"/>
      <c r="D100" s="1181"/>
      <c r="E100" s="1058" t="str">
        <f>VLOOKUP(B100,TH.Q2!B110:E441,4,FALSE)</f>
        <v>Giảng viên khoa Kinh tế</v>
      </c>
      <c r="F100" s="1160">
        <v>3</v>
      </c>
      <c r="G100" s="1137"/>
      <c r="H100" s="1393">
        <f t="shared" si="5"/>
        <v>0</v>
      </c>
      <c r="I100" s="1138"/>
      <c r="J100" s="1138" t="str">
        <f>VLOOKUP(B100,'[27]Gui chi Quynh'!$B$11:$E$388,4,FALSE)</f>
        <v>A3</v>
      </c>
      <c r="K100" s="1138">
        <f t="shared" si="6"/>
        <v>0.6</v>
      </c>
      <c r="L100" s="1139">
        <v>20</v>
      </c>
      <c r="M100" s="1139">
        <v>20</v>
      </c>
      <c r="N100" s="1140"/>
      <c r="O100" s="1141">
        <f t="shared" si="7"/>
        <v>4212000</v>
      </c>
      <c r="P100" s="1155">
        <v>23</v>
      </c>
      <c r="Q100" s="1142">
        <f t="shared" si="8"/>
        <v>88</v>
      </c>
      <c r="R100" s="1143">
        <f>VLOOKUP(B100,'[28]CN BC'!$F$10:$K$270,6,FALSE)</f>
        <v>0</v>
      </c>
      <c r="S100" s="1656"/>
    </row>
    <row r="101" spans="1:26" s="1148" customFormat="1" ht="28.5" customHeight="1">
      <c r="A101" s="1132">
        <f>_xlfn.AGGREGATE(4,7,A$12:A100)+1</f>
        <v>89</v>
      </c>
      <c r="B101" s="1199" t="s">
        <v>2096</v>
      </c>
      <c r="C101" s="1132"/>
      <c r="D101" s="1181"/>
      <c r="E101" s="383" t="str">
        <f>VLOOKUP(B101,TH.Q2!B111:E442,4,FALSE)</f>
        <v>NV Kế toán</v>
      </c>
      <c r="F101" s="1160">
        <f>2.67*85%</f>
        <v>2.2694999999999999</v>
      </c>
      <c r="G101" s="1137"/>
      <c r="H101" s="1400">
        <f t="shared" si="5"/>
        <v>0</v>
      </c>
      <c r="I101" s="1138"/>
      <c r="J101" s="1138" t="str">
        <f>VLOOKUP(B101,'[27]Gui chi Quynh'!$B$11:$E$388,4,FALSE)</f>
        <v>A1</v>
      </c>
      <c r="K101" s="1138">
        <f t="shared" si="6"/>
        <v>0.8</v>
      </c>
      <c r="L101" s="1139">
        <v>20</v>
      </c>
      <c r="M101" s="1139">
        <v>20</v>
      </c>
      <c r="N101" s="1155"/>
      <c r="O101" s="1141">
        <f t="shared" si="7"/>
        <v>4248504</v>
      </c>
      <c r="P101" s="1155"/>
      <c r="Q101" s="1142">
        <f t="shared" si="8"/>
        <v>89</v>
      </c>
      <c r="R101" s="1143" t="str">
        <f>VLOOKUP(B101,'[28]CN BC'!$F$10:$K$270,6,FALSE)</f>
        <v>Hỗ trợ công việc phòng KHTC</v>
      </c>
      <c r="S101" s="1656"/>
    </row>
    <row r="102" spans="1:26" s="1148" customFormat="1" ht="25.5" customHeight="1">
      <c r="A102" s="1132">
        <f>_xlfn.AGGREGATE(4,7,A$12:A101)+1</f>
        <v>90</v>
      </c>
      <c r="B102" s="1133" t="s">
        <v>1478</v>
      </c>
      <c r="C102" s="1153" t="s">
        <v>1689</v>
      </c>
      <c r="D102" s="1154" t="s">
        <v>371</v>
      </c>
      <c r="E102" s="1058" t="str">
        <f>VLOOKUP(B102,TH.Q2!B19:E350,4,FALSE)</f>
        <v>Giảng viên khoa May - Thời trang</v>
      </c>
      <c r="F102" s="1160">
        <v>3.99</v>
      </c>
      <c r="G102" s="1137"/>
      <c r="H102" s="1393">
        <f t="shared" si="5"/>
        <v>0</v>
      </c>
      <c r="I102" s="1138"/>
      <c r="J102" s="1138" t="str">
        <f>VLOOKUP(B102,'[27]Gui chi Quynh'!$B$11:$E$388,4,FALSE)</f>
        <v>A3</v>
      </c>
      <c r="K102" s="1138">
        <f t="shared" si="6"/>
        <v>0.6</v>
      </c>
      <c r="L102" s="1139">
        <v>20</v>
      </c>
      <c r="M102" s="1139">
        <v>20</v>
      </c>
      <c r="N102" s="1140"/>
      <c r="O102" s="1141">
        <f t="shared" si="7"/>
        <v>5601960</v>
      </c>
      <c r="P102" s="1140">
        <v>23</v>
      </c>
      <c r="Q102" s="1142">
        <f t="shared" si="8"/>
        <v>90</v>
      </c>
      <c r="R102" s="1143">
        <f>VLOOKUP(B102,'[28]CN BC'!$F$10:$K$270,6,FALSE)</f>
        <v>0</v>
      </c>
      <c r="S102" s="1656"/>
      <c r="T102" s="1146"/>
      <c r="U102" s="1146"/>
      <c r="V102" s="1146"/>
    </row>
    <row r="103" spans="1:26" s="1148" customFormat="1" ht="24.75" customHeight="1">
      <c r="A103" s="1132">
        <f>_xlfn.AGGREGATE(4,7,A$12:A102)+1</f>
        <v>91</v>
      </c>
      <c r="B103" s="1172" t="s">
        <v>1479</v>
      </c>
      <c r="C103" s="1149" t="s">
        <v>1690</v>
      </c>
      <c r="D103" s="1173" t="s">
        <v>372</v>
      </c>
      <c r="E103" s="1058" t="str">
        <f>VLOOKUP(B103,TH.Q2!B20:E351,4,FALSE)</f>
        <v>Giảng viên khoa May - Thời trang</v>
      </c>
      <c r="F103" s="1178">
        <v>3.99</v>
      </c>
      <c r="G103" s="1175"/>
      <c r="H103" s="1393">
        <f t="shared" si="5"/>
        <v>0</v>
      </c>
      <c r="I103" s="1176"/>
      <c r="J103" s="1138" t="str">
        <f>VLOOKUP(B103,'[27]Gui chi Quynh'!$B$11:$E$388,4,FALSE)</f>
        <v>A4</v>
      </c>
      <c r="K103" s="1138">
        <f t="shared" si="6"/>
        <v>0.5</v>
      </c>
      <c r="L103" s="1139">
        <v>20</v>
      </c>
      <c r="M103" s="1139">
        <v>20</v>
      </c>
      <c r="N103" s="1140"/>
      <c r="O103" s="1141">
        <f t="shared" si="7"/>
        <v>4668300</v>
      </c>
      <c r="P103" s="1140">
        <v>23</v>
      </c>
      <c r="Q103" s="1142">
        <f t="shared" si="8"/>
        <v>91</v>
      </c>
      <c r="R103" s="1143">
        <f>VLOOKUP(B103,'[28]CN BC'!$F$10:$K$270,6,FALSE)</f>
        <v>0</v>
      </c>
      <c r="S103" s="1656"/>
      <c r="T103" s="1146"/>
      <c r="U103" s="1146"/>
      <c r="V103" s="1146"/>
      <c r="W103" s="1146"/>
      <c r="X103" s="1146"/>
      <c r="Y103" s="1146"/>
      <c r="Z103" s="1146"/>
    </row>
    <row r="104" spans="1:26" s="1148" customFormat="1" ht="24.75" customHeight="1">
      <c r="A104" s="1132">
        <f>_xlfn.AGGREGATE(4,7,A$12:A103)+1</f>
        <v>92</v>
      </c>
      <c r="B104" s="1133" t="s">
        <v>1480</v>
      </c>
      <c r="C104" s="1149" t="s">
        <v>1691</v>
      </c>
      <c r="D104" s="1166" t="s">
        <v>735</v>
      </c>
      <c r="E104" s="1058" t="str">
        <f>VLOOKUP(B104,TH.Q2!B21:E352,4,FALSE)</f>
        <v>Phó Trưởng khoa May - Thời trang</v>
      </c>
      <c r="F104" s="1160">
        <v>3.33</v>
      </c>
      <c r="G104" s="1137"/>
      <c r="H104" s="1393">
        <f t="shared" si="5"/>
        <v>0</v>
      </c>
      <c r="I104" s="1138">
        <v>0.45</v>
      </c>
      <c r="J104" s="1138" t="str">
        <f>VLOOKUP(B104,'[27]Gui chi Quynh'!$B$11:$E$388,4,FALSE)</f>
        <v>A2</v>
      </c>
      <c r="K104" s="1138">
        <f t="shared" si="6"/>
        <v>0.7</v>
      </c>
      <c r="L104" s="1139">
        <v>20</v>
      </c>
      <c r="M104" s="1139">
        <v>20</v>
      </c>
      <c r="N104" s="1140"/>
      <c r="O104" s="1141">
        <f t="shared" si="7"/>
        <v>6191640</v>
      </c>
      <c r="P104" s="1140">
        <v>23</v>
      </c>
      <c r="Q104" s="1142">
        <f t="shared" si="8"/>
        <v>92</v>
      </c>
      <c r="R104" s="1143">
        <f>VLOOKUP(B104,'[28]CN BC'!$F$10:$K$270,6,FALSE)</f>
        <v>0</v>
      </c>
      <c r="S104" s="1656"/>
      <c r="T104" s="1146"/>
      <c r="U104" s="1146"/>
      <c r="V104" s="1146"/>
      <c r="W104" s="1146"/>
      <c r="X104" s="1146"/>
      <c r="Y104" s="1146"/>
      <c r="Z104" s="1146"/>
    </row>
    <row r="105" spans="1:26" s="1148" customFormat="1" ht="24.75" customHeight="1">
      <c r="A105" s="1132">
        <f>_xlfn.AGGREGATE(4,7,A$12:A104)+1</f>
        <v>93</v>
      </c>
      <c r="B105" s="1133" t="s">
        <v>1481</v>
      </c>
      <c r="C105" s="1153" t="s">
        <v>1692</v>
      </c>
      <c r="D105" s="1166">
        <v>1603205353742</v>
      </c>
      <c r="E105" s="1058" t="str">
        <f>VLOOKUP(B105,TH.Q2!B22:E353,4,FALSE)</f>
        <v>Giảng viên khoa May - Thời trang</v>
      </c>
      <c r="F105" s="1160">
        <v>3.33</v>
      </c>
      <c r="G105" s="1137"/>
      <c r="H105" s="1393">
        <f t="shared" si="5"/>
        <v>0</v>
      </c>
      <c r="I105" s="1138"/>
      <c r="J105" s="1138" t="str">
        <f>VLOOKUP(B105,'[27]Gui chi Quynh'!$B$11:$E$388,4,FALSE)</f>
        <v>A3</v>
      </c>
      <c r="K105" s="1138">
        <f t="shared" si="6"/>
        <v>0.6</v>
      </c>
      <c r="L105" s="1139">
        <v>20</v>
      </c>
      <c r="M105" s="1139">
        <v>20</v>
      </c>
      <c r="N105" s="1140"/>
      <c r="O105" s="1141">
        <f t="shared" si="7"/>
        <v>4675320</v>
      </c>
      <c r="P105" s="1140">
        <v>23</v>
      </c>
      <c r="Q105" s="1142">
        <f t="shared" si="8"/>
        <v>93</v>
      </c>
      <c r="R105" s="1143">
        <f>VLOOKUP(B105,'[28]CN BC'!$F$10:$K$270,6,FALSE)</f>
        <v>0</v>
      </c>
      <c r="S105" s="1656"/>
      <c r="T105" s="1146"/>
      <c r="U105" s="1146"/>
      <c r="V105" s="1146"/>
    </row>
    <row r="106" spans="1:26" s="1148" customFormat="1" ht="24.75" customHeight="1">
      <c r="A106" s="1132">
        <f>_xlfn.AGGREGATE(4,7,A$12:A105)+1</f>
        <v>94</v>
      </c>
      <c r="B106" s="1133" t="s">
        <v>1865</v>
      </c>
      <c r="C106" s="1149" t="s">
        <v>1693</v>
      </c>
      <c r="D106" s="1166">
        <v>1603205357136</v>
      </c>
      <c r="E106" s="1058" t="str">
        <f>VLOOKUP(B106,TH.Q2!B23:E354,4,FALSE)</f>
        <v>Giảng viên khoa May - Thời trang</v>
      </c>
      <c r="F106" s="1160">
        <v>3.66</v>
      </c>
      <c r="G106" s="1137"/>
      <c r="H106" s="1393">
        <f t="shared" si="5"/>
        <v>0</v>
      </c>
      <c r="I106" s="1138"/>
      <c r="J106" s="1138" t="str">
        <f>VLOOKUP(B106,'[27]Gui chi Quynh'!$B$11:$E$388,4,FALSE)</f>
        <v>A3</v>
      </c>
      <c r="K106" s="1138">
        <f t="shared" si="6"/>
        <v>0.6</v>
      </c>
      <c r="L106" s="1139">
        <v>20</v>
      </c>
      <c r="M106" s="1139">
        <v>20</v>
      </c>
      <c r="N106" s="1140"/>
      <c r="O106" s="1141">
        <f t="shared" si="7"/>
        <v>5138640</v>
      </c>
      <c r="P106" s="1140">
        <v>23</v>
      </c>
      <c r="Q106" s="1142">
        <f t="shared" si="8"/>
        <v>94</v>
      </c>
      <c r="R106" s="1143">
        <f>VLOOKUP(B106,'[28]CN BC'!$F$10:$K$270,6,FALSE)</f>
        <v>0</v>
      </c>
      <c r="S106" s="1656"/>
      <c r="T106" s="1146"/>
      <c r="U106" s="1146"/>
      <c r="V106" s="1146"/>
      <c r="W106" s="1146"/>
      <c r="X106" s="1146"/>
      <c r="Y106" s="1146"/>
      <c r="Z106" s="1146"/>
    </row>
    <row r="107" spans="1:26" s="1148" customFormat="1" ht="29.25" customHeight="1">
      <c r="A107" s="1132">
        <f>_xlfn.AGGREGATE(4,7,A$12:A106)+1</f>
        <v>95</v>
      </c>
      <c r="B107" s="1133" t="s">
        <v>1482</v>
      </c>
      <c r="C107" s="1153" t="s">
        <v>1694</v>
      </c>
      <c r="D107" s="1150" t="s">
        <v>1422</v>
      </c>
      <c r="E107" s="383" t="str">
        <f>VLOOKUP(B107,TH.Q2!B24:E355,4,FALSE)</f>
        <v>Giảng viên khoa May - Thời trang</v>
      </c>
      <c r="F107" s="1160">
        <v>3.33</v>
      </c>
      <c r="G107" s="1137"/>
      <c r="H107" s="1400">
        <f t="shared" si="5"/>
        <v>0</v>
      </c>
      <c r="I107" s="1138"/>
      <c r="J107" s="1138" t="str">
        <f>VLOOKUP(B107,'[27]Gui chi Quynh'!$B$11:$E$388,4,FALSE)</f>
        <v>A3</v>
      </c>
      <c r="K107" s="1138">
        <f t="shared" si="6"/>
        <v>0.6</v>
      </c>
      <c r="L107" s="1139">
        <v>20</v>
      </c>
      <c r="M107" s="1139">
        <v>20</v>
      </c>
      <c r="N107" s="1155"/>
      <c r="O107" s="1141">
        <f t="shared" si="7"/>
        <v>4675320</v>
      </c>
      <c r="P107" s="1155">
        <v>23</v>
      </c>
      <c r="Q107" s="1142">
        <f t="shared" si="8"/>
        <v>95</v>
      </c>
      <c r="R107" s="1143">
        <f>VLOOKUP(B107,'[28]CN BC'!$F$10:$K$270,6,FALSE)</f>
        <v>0</v>
      </c>
      <c r="S107" s="1656"/>
      <c r="T107" s="1146"/>
      <c r="U107" s="1146"/>
      <c r="V107" s="1146"/>
      <c r="W107" s="1146"/>
      <c r="X107" s="1146"/>
      <c r="Y107" s="1146"/>
      <c r="Z107" s="1146"/>
    </row>
    <row r="108" spans="1:26" s="1148" customFormat="1" ht="24.75" customHeight="1">
      <c r="A108" s="1132">
        <f>_xlfn.AGGREGATE(4,7,A$12:A107)+1</f>
        <v>96</v>
      </c>
      <c r="B108" s="1133" t="s">
        <v>1483</v>
      </c>
      <c r="C108" s="1149" t="s">
        <v>1695</v>
      </c>
      <c r="D108" s="1150" t="s">
        <v>1432</v>
      </c>
      <c r="E108" s="1058" t="str">
        <f>VLOOKUP(B108,TH.Q2!B25:E356,4,FALSE)</f>
        <v>Giảng viên khoa Du lịch - Khách sạn</v>
      </c>
      <c r="F108" s="1136">
        <v>4.9800000000000004</v>
      </c>
      <c r="G108" s="1137">
        <v>0.06</v>
      </c>
      <c r="H108" s="1400">
        <f t="shared" si="5"/>
        <v>0.29899999999999999</v>
      </c>
      <c r="I108" s="1138">
        <v>0.25</v>
      </c>
      <c r="J108" s="1138" t="str">
        <f>VLOOKUP(B108,'[27]Gui chi Quynh'!$B$11:$E$388,4,FALSE)</f>
        <v>A3</v>
      </c>
      <c r="K108" s="1138">
        <f t="shared" si="6"/>
        <v>0.6</v>
      </c>
      <c r="L108" s="1139">
        <v>20</v>
      </c>
      <c r="M108" s="1139">
        <v>20</v>
      </c>
      <c r="N108" s="1140"/>
      <c r="O108" s="1141">
        <f t="shared" si="7"/>
        <v>7762716.0000000009</v>
      </c>
      <c r="P108" s="1140">
        <v>23</v>
      </c>
      <c r="Q108" s="1142">
        <f t="shared" si="8"/>
        <v>96</v>
      </c>
      <c r="R108" s="1143">
        <f>VLOOKUP(B108,'[28]CN BC'!$F$10:$K$270,6,FALSE)</f>
        <v>0</v>
      </c>
      <c r="S108" s="1656"/>
      <c r="T108" s="1146"/>
      <c r="U108" s="1146"/>
      <c r="V108" s="1146"/>
      <c r="W108" s="1146"/>
      <c r="X108" s="1146"/>
      <c r="Y108" s="1146"/>
      <c r="Z108" s="1146"/>
    </row>
    <row r="109" spans="1:26" s="1148" customFormat="1" ht="24.75" customHeight="1">
      <c r="A109" s="1132">
        <f>_xlfn.AGGREGATE(4,7,A$12:A108)+1</f>
        <v>97</v>
      </c>
      <c r="B109" s="1172" t="s">
        <v>1568</v>
      </c>
      <c r="C109" s="1149" t="s">
        <v>1696</v>
      </c>
      <c r="D109" s="1163" t="s">
        <v>1569</v>
      </c>
      <c r="E109" s="1058" t="str">
        <f>VLOOKUP(B109,TH.Q2!B26:E357,4,FALSE)</f>
        <v>Giảng viên khoa May - Thời trang</v>
      </c>
      <c r="F109" s="1160">
        <v>3.33</v>
      </c>
      <c r="G109" s="1137"/>
      <c r="H109" s="1400">
        <f t="shared" si="5"/>
        <v>0</v>
      </c>
      <c r="I109" s="1138"/>
      <c r="J109" s="1138" t="str">
        <f>VLOOKUP(B109,'[27]Gui chi Quynh'!$B$11:$E$388,4,FALSE)</f>
        <v>A3</v>
      </c>
      <c r="K109" s="1138">
        <f t="shared" si="6"/>
        <v>0.6</v>
      </c>
      <c r="L109" s="1139">
        <v>20</v>
      </c>
      <c r="M109" s="1139">
        <v>20</v>
      </c>
      <c r="N109" s="1140"/>
      <c r="O109" s="1141">
        <f t="shared" ref="O109:O140" si="9">(((F109+H109+I109)*$O$9/L109*M109)*K109)+N109</f>
        <v>4675320</v>
      </c>
      <c r="P109" s="1140">
        <v>23</v>
      </c>
      <c r="Q109" s="1142">
        <f t="shared" si="8"/>
        <v>97</v>
      </c>
      <c r="R109" s="1143">
        <f>VLOOKUP(B109,'[28]CN BC'!$F$10:$K$270,6,FALSE)</f>
        <v>0</v>
      </c>
      <c r="S109" s="1656"/>
      <c r="T109" s="1146"/>
      <c r="U109" s="1146"/>
      <c r="V109" s="1146"/>
      <c r="W109" s="1146"/>
      <c r="X109" s="1146"/>
      <c r="Y109" s="1146"/>
      <c r="Z109" s="1146"/>
    </row>
    <row r="110" spans="1:26" s="1148" customFormat="1" ht="24.75" customHeight="1">
      <c r="A110" s="1132">
        <f>_xlfn.AGGREGATE(4,7,A$12:A109)+1</f>
        <v>98</v>
      </c>
      <c r="B110" s="1133" t="s">
        <v>1832</v>
      </c>
      <c r="C110" s="1153" t="s">
        <v>1963</v>
      </c>
      <c r="D110" s="1208">
        <v>1603215005610</v>
      </c>
      <c r="E110" s="1058" t="str">
        <f>VLOOKUP(B110,TH.Q2!B27:E358,4,FALSE)</f>
        <v>Giảng viên khoa May - Thời trang</v>
      </c>
      <c r="F110" s="1160">
        <v>3.33</v>
      </c>
      <c r="G110" s="1137"/>
      <c r="H110" s="1393">
        <f t="shared" si="5"/>
        <v>0</v>
      </c>
      <c r="I110" s="1138"/>
      <c r="J110" s="1138" t="str">
        <f>VLOOKUP(B110,'[27]Gui chi Quynh'!$B$11:$E$388,4,FALSE)</f>
        <v>A4</v>
      </c>
      <c r="K110" s="1138">
        <f t="shared" si="6"/>
        <v>0.5</v>
      </c>
      <c r="L110" s="1139">
        <v>20</v>
      </c>
      <c r="M110" s="1139">
        <v>20</v>
      </c>
      <c r="N110" s="1140"/>
      <c r="O110" s="1141">
        <f t="shared" si="9"/>
        <v>3896100</v>
      </c>
      <c r="P110" s="1140">
        <v>23</v>
      </c>
      <c r="Q110" s="1142">
        <f t="shared" si="8"/>
        <v>98</v>
      </c>
      <c r="R110" s="1143">
        <f>VLOOKUP(B110,'[28]CN BC'!$F$10:$K$270,6,FALSE)</f>
        <v>0</v>
      </c>
      <c r="S110" s="1656"/>
      <c r="T110" s="1146"/>
      <c r="U110" s="1146"/>
      <c r="V110" s="1146"/>
    </row>
    <row r="111" spans="1:26" s="1146" customFormat="1" ht="27" customHeight="1">
      <c r="A111" s="1132">
        <f>_xlfn.AGGREGATE(4,7,A$12:A110)+1</f>
        <v>99</v>
      </c>
      <c r="B111" s="1172" t="s">
        <v>1555</v>
      </c>
      <c r="C111" s="1149" t="s">
        <v>1658</v>
      </c>
      <c r="D111" s="1173" t="s">
        <v>1278</v>
      </c>
      <c r="E111" s="1058" t="str">
        <f>VLOOKUP(B111,TH.Q2!B28:E359,4,FALSE)</f>
        <v>Trưởng khoa KHCB</v>
      </c>
      <c r="F111" s="1174">
        <v>4.9800000000000004</v>
      </c>
      <c r="G111" s="1209"/>
      <c r="H111" s="1393">
        <f t="shared" si="5"/>
        <v>0</v>
      </c>
      <c r="I111" s="1210">
        <v>0.45</v>
      </c>
      <c r="J111" s="1138" t="str">
        <f>VLOOKUP(B111,'[27]Gui chi Quynh'!$B$11:$E$388,4,FALSE)</f>
        <v>A2</v>
      </c>
      <c r="K111" s="1138">
        <f t="shared" si="6"/>
        <v>0.7</v>
      </c>
      <c r="L111" s="1139">
        <v>20</v>
      </c>
      <c r="M111" s="1139">
        <v>20</v>
      </c>
      <c r="N111" s="1140"/>
      <c r="O111" s="1141">
        <f t="shared" si="9"/>
        <v>8894340</v>
      </c>
      <c r="P111" s="1140">
        <v>24</v>
      </c>
      <c r="Q111" s="1142">
        <f t="shared" si="8"/>
        <v>99</v>
      </c>
      <c r="R111" s="1143">
        <f>VLOOKUP(B111,'[28]CN BC'!$F$10:$K$270,6,FALSE)</f>
        <v>0</v>
      </c>
      <c r="S111" s="1656"/>
    </row>
    <row r="112" spans="1:26" s="1148" customFormat="1" ht="28.5" customHeight="1">
      <c r="A112" s="1132">
        <f>_xlfn.AGGREGATE(4,7,A$12:A111)+1</f>
        <v>100</v>
      </c>
      <c r="B112" s="1133" t="s">
        <v>1866</v>
      </c>
      <c r="C112" s="1153" t="s">
        <v>1697</v>
      </c>
      <c r="D112" s="1154" t="s">
        <v>1300</v>
      </c>
      <c r="E112" s="1058" t="str">
        <f>VLOOKUP(B112,TH.Q2!B29:E360,4,FALSE)</f>
        <v>Giảng viên Khoa KHCB</v>
      </c>
      <c r="F112" s="1136">
        <v>4.9800000000000004</v>
      </c>
      <c r="G112" s="1137">
        <v>7.0000000000000007E-2</v>
      </c>
      <c r="H112" s="1393">
        <f t="shared" si="5"/>
        <v>0.34899999999999998</v>
      </c>
      <c r="I112" s="1138"/>
      <c r="J112" s="1138" t="str">
        <f>VLOOKUP(B112,'[27]Gui chi Quynh'!$B$11:$E$388,4,FALSE)</f>
        <v>A3</v>
      </c>
      <c r="K112" s="1138">
        <f t="shared" si="6"/>
        <v>0.6</v>
      </c>
      <c r="L112" s="1139">
        <v>20</v>
      </c>
      <c r="M112" s="1139">
        <v>20</v>
      </c>
      <c r="N112" s="1140"/>
      <c r="O112" s="1141">
        <f t="shared" si="9"/>
        <v>7481916.0000000009</v>
      </c>
      <c r="P112" s="1155">
        <v>23</v>
      </c>
      <c r="Q112" s="1142">
        <f t="shared" si="8"/>
        <v>100</v>
      </c>
      <c r="R112" s="1143">
        <f>VLOOKUP(B112,'[28]CN BC'!$F$10:$K$270,6,FALSE)</f>
        <v>0</v>
      </c>
      <c r="S112" s="1656"/>
    </row>
    <row r="113" spans="1:26" s="1146" customFormat="1" ht="30" customHeight="1">
      <c r="A113" s="1132">
        <f>_xlfn.AGGREGATE(4,7,A$12:A112)+1</f>
        <v>101</v>
      </c>
      <c r="B113" s="1172" t="s">
        <v>1867</v>
      </c>
      <c r="C113" s="1149" t="s">
        <v>1698</v>
      </c>
      <c r="D113" s="1173" t="s">
        <v>1299</v>
      </c>
      <c r="E113" s="1058" t="str">
        <f>VLOOKUP(B113,TH.Q2!B30:E361,4,FALSE)</f>
        <v>Giảng viên Khoa KHCB</v>
      </c>
      <c r="F113" s="1174">
        <v>4.32</v>
      </c>
      <c r="G113" s="1175"/>
      <c r="H113" s="1393">
        <f t="shared" si="5"/>
        <v>0</v>
      </c>
      <c r="I113" s="1176"/>
      <c r="J113" s="1138" t="str">
        <f>VLOOKUP(B113,'[27]Gui chi Quynh'!$B$11:$E$388,4,FALSE)</f>
        <v>A3</v>
      </c>
      <c r="K113" s="1138">
        <f t="shared" si="6"/>
        <v>0.6</v>
      </c>
      <c r="L113" s="1139">
        <v>20</v>
      </c>
      <c r="M113" s="1139">
        <v>20</v>
      </c>
      <c r="N113" s="1140"/>
      <c r="O113" s="1141">
        <f t="shared" si="9"/>
        <v>6065280</v>
      </c>
      <c r="P113" s="1140">
        <v>23</v>
      </c>
      <c r="Q113" s="1142">
        <f t="shared" si="8"/>
        <v>101</v>
      </c>
      <c r="R113" s="1143">
        <f>VLOOKUP(B113,'[28]CN BC'!$F$10:$K$270,6,FALSE)</f>
        <v>0</v>
      </c>
      <c r="S113" s="1656"/>
    </row>
    <row r="114" spans="1:26" s="1148" customFormat="1" ht="30" customHeight="1">
      <c r="A114" s="1132">
        <f>_xlfn.AGGREGATE(4,7,A$12:A113)+1</f>
        <v>102</v>
      </c>
      <c r="B114" s="1133" t="s">
        <v>1485</v>
      </c>
      <c r="C114" s="1153" t="s">
        <v>1699</v>
      </c>
      <c r="D114" s="1154" t="s">
        <v>373</v>
      </c>
      <c r="E114" s="383" t="str">
        <f>VLOOKUP(B114,TH.Q2!B31:E362,4,FALSE)</f>
        <v>Giảng viên khoa KHCB</v>
      </c>
      <c r="F114" s="1136">
        <v>4.32</v>
      </c>
      <c r="G114" s="1137"/>
      <c r="H114" s="1400">
        <f t="shared" si="5"/>
        <v>0</v>
      </c>
      <c r="I114" s="1138"/>
      <c r="J114" s="1138" t="str">
        <f>VLOOKUP(B114,'[27]Gui chi Quynh'!$B$11:$E$388,4,FALSE)</f>
        <v>A4</v>
      </c>
      <c r="K114" s="1138">
        <f t="shared" si="6"/>
        <v>0.5</v>
      </c>
      <c r="L114" s="1139">
        <v>20</v>
      </c>
      <c r="M114" s="1139">
        <v>20</v>
      </c>
      <c r="N114" s="1155"/>
      <c r="O114" s="1141">
        <f t="shared" si="9"/>
        <v>5054400</v>
      </c>
      <c r="P114" s="1155">
        <v>23</v>
      </c>
      <c r="Q114" s="1142">
        <f t="shared" si="8"/>
        <v>102</v>
      </c>
      <c r="R114" s="1143">
        <f>VLOOKUP(B114,'[28]CN BC'!$F$10:$K$270,6,FALSE)</f>
        <v>0</v>
      </c>
      <c r="S114" s="1656"/>
    </row>
    <row r="115" spans="1:26" s="1148" customFormat="1" ht="30" customHeight="1">
      <c r="A115" s="1132">
        <f>_xlfn.AGGREGATE(4,7,A$12:A114)+1</f>
        <v>103</v>
      </c>
      <c r="B115" s="1133" t="s">
        <v>1559</v>
      </c>
      <c r="C115" s="1149" t="s">
        <v>1647</v>
      </c>
      <c r="D115" s="1154" t="s">
        <v>406</v>
      </c>
      <c r="E115" s="1058" t="str">
        <f>VLOOKUP(B115,TH.Q2!B32:E363,4,FALSE)</f>
        <v>Giảng viên khoa KHCB</v>
      </c>
      <c r="F115" s="1160">
        <v>3.66</v>
      </c>
      <c r="G115" s="1170"/>
      <c r="H115" s="1393">
        <f t="shared" si="5"/>
        <v>0</v>
      </c>
      <c r="I115" s="1138"/>
      <c r="J115" s="1138" t="str">
        <f>VLOOKUP(B115,'[27]Gui chi Quynh'!$B$11:$E$388,4,FALSE)</f>
        <v>A4</v>
      </c>
      <c r="K115" s="1138">
        <f t="shared" si="6"/>
        <v>0.5</v>
      </c>
      <c r="L115" s="1139">
        <v>20</v>
      </c>
      <c r="M115" s="1139">
        <v>20</v>
      </c>
      <c r="N115" s="1140"/>
      <c r="O115" s="1141">
        <f t="shared" si="9"/>
        <v>4282200</v>
      </c>
      <c r="P115" s="1140">
        <v>23</v>
      </c>
      <c r="Q115" s="1142">
        <f t="shared" si="8"/>
        <v>103</v>
      </c>
      <c r="R115" s="1143">
        <f>VLOOKUP(B115,'[28]CN BC'!$F$10:$K$270,6,FALSE)</f>
        <v>0</v>
      </c>
      <c r="S115" s="1656"/>
      <c r="T115" s="1146"/>
      <c r="U115" s="1146"/>
      <c r="V115" s="1146"/>
      <c r="W115" s="1146"/>
      <c r="X115" s="1146"/>
      <c r="Y115" s="1146"/>
      <c r="Z115" s="1146"/>
    </row>
    <row r="116" spans="1:26" s="1148" customFormat="1" ht="30" customHeight="1">
      <c r="A116" s="1132">
        <f>_xlfn.AGGREGATE(4,7,A$12:A115)+1</f>
        <v>104</v>
      </c>
      <c r="B116" s="1133" t="s">
        <v>1868</v>
      </c>
      <c r="C116" s="1153" t="s">
        <v>1700</v>
      </c>
      <c r="D116" s="1154" t="s">
        <v>1303</v>
      </c>
      <c r="E116" s="1058" t="str">
        <f>VLOOKUP(B116,TH.Q2!B33:E364,4,FALSE)</f>
        <v>Giảng viên Khoa KHCB</v>
      </c>
      <c r="F116" s="1136">
        <v>4.9800000000000004</v>
      </c>
      <c r="G116" s="1137"/>
      <c r="H116" s="1393">
        <f t="shared" si="5"/>
        <v>0</v>
      </c>
      <c r="I116" s="1138"/>
      <c r="J116" s="1138" t="str">
        <f>VLOOKUP(B116,'[27]Gui chi Quynh'!$B$11:$E$388,4,FALSE)</f>
        <v>A4</v>
      </c>
      <c r="K116" s="1138">
        <f t="shared" si="6"/>
        <v>0.5</v>
      </c>
      <c r="L116" s="1139">
        <v>20</v>
      </c>
      <c r="M116" s="1139">
        <v>20</v>
      </c>
      <c r="N116" s="1140"/>
      <c r="O116" s="1141">
        <f t="shared" si="9"/>
        <v>5826600.0000000009</v>
      </c>
      <c r="P116" s="1140">
        <v>23</v>
      </c>
      <c r="Q116" s="1142">
        <f t="shared" si="8"/>
        <v>104</v>
      </c>
      <c r="R116" s="1143">
        <f>VLOOKUP(B116,'[28]CN BC'!$F$10:$K$270,6,FALSE)</f>
        <v>0</v>
      </c>
      <c r="S116" s="1656"/>
      <c r="T116" s="1146"/>
      <c r="U116" s="1146"/>
      <c r="V116" s="1146"/>
    </row>
    <row r="117" spans="1:26" s="1148" customFormat="1" ht="30" customHeight="1">
      <c r="A117" s="1132">
        <f>_xlfn.AGGREGATE(4,7,A$12:A116)+1</f>
        <v>105</v>
      </c>
      <c r="B117" s="1133" t="s">
        <v>1869</v>
      </c>
      <c r="C117" s="1149" t="s">
        <v>1701</v>
      </c>
      <c r="D117" s="1154" t="s">
        <v>1304</v>
      </c>
      <c r="E117" s="1058" t="str">
        <f>VLOOKUP(B117,TH.Q2!B34:E365,4,FALSE)</f>
        <v>Giảng viên Khoa KHCB</v>
      </c>
      <c r="F117" s="1160">
        <v>4.32</v>
      </c>
      <c r="G117" s="1137"/>
      <c r="H117" s="1393">
        <f t="shared" si="5"/>
        <v>0</v>
      </c>
      <c r="I117" s="1138"/>
      <c r="J117" s="1138" t="str">
        <f>VLOOKUP(B117,'[27]Gui chi Quynh'!$B$11:$E$388,4,FALSE)</f>
        <v>A4</v>
      </c>
      <c r="K117" s="1138">
        <f t="shared" si="6"/>
        <v>0.5</v>
      </c>
      <c r="L117" s="1139">
        <v>20</v>
      </c>
      <c r="M117" s="1139">
        <v>20</v>
      </c>
      <c r="N117" s="1140"/>
      <c r="O117" s="1141">
        <f t="shared" si="9"/>
        <v>5054400</v>
      </c>
      <c r="P117" s="1140">
        <v>23</v>
      </c>
      <c r="Q117" s="1142">
        <f t="shared" si="8"/>
        <v>105</v>
      </c>
      <c r="R117" s="1143">
        <f>VLOOKUP(B117,'[28]CN BC'!$F$10:$K$270,6,FALSE)</f>
        <v>0</v>
      </c>
      <c r="S117" s="1656"/>
      <c r="T117" s="1146"/>
      <c r="U117" s="1146"/>
      <c r="V117" s="1146"/>
      <c r="W117" s="1146"/>
      <c r="X117" s="1146"/>
      <c r="Y117" s="1146"/>
      <c r="Z117" s="1146"/>
    </row>
    <row r="118" spans="1:26" s="1148" customFormat="1" ht="30" customHeight="1">
      <c r="A118" s="1132">
        <f>_xlfn.AGGREGATE(4,7,A$12:A117)+1</f>
        <v>106</v>
      </c>
      <c r="B118" s="1133" t="s">
        <v>1870</v>
      </c>
      <c r="C118" s="1153" t="s">
        <v>1702</v>
      </c>
      <c r="D118" s="1154" t="s">
        <v>1306</v>
      </c>
      <c r="E118" s="383" t="str">
        <f>VLOOKUP(B118,TH.Q2!B35:E366,4,FALSE)</f>
        <v>Giảng viên Khoa KHCB</v>
      </c>
      <c r="F118" s="1136">
        <v>4.9800000000000004</v>
      </c>
      <c r="G118" s="1137">
        <v>0.09</v>
      </c>
      <c r="H118" s="1400">
        <f t="shared" si="5"/>
        <v>0.44800000000000001</v>
      </c>
      <c r="I118" s="1138"/>
      <c r="J118" s="1138" t="str">
        <f>VLOOKUP(B118,'[27]Gui chi Quynh'!$B$11:$E$388,4,FALSE)</f>
        <v>A3</v>
      </c>
      <c r="K118" s="1138">
        <f t="shared" si="6"/>
        <v>0.6</v>
      </c>
      <c r="L118" s="1139">
        <v>20</v>
      </c>
      <c r="M118" s="1139">
        <v>20</v>
      </c>
      <c r="N118" s="1155"/>
      <c r="O118" s="1141">
        <f t="shared" si="9"/>
        <v>7620912.0000000009</v>
      </c>
      <c r="P118" s="1155">
        <v>23</v>
      </c>
      <c r="Q118" s="1142">
        <f t="shared" si="8"/>
        <v>106</v>
      </c>
      <c r="R118" s="1143">
        <f>VLOOKUP(B118,'[28]CN BC'!$F$10:$K$270,6,FALSE)</f>
        <v>0</v>
      </c>
      <c r="S118" s="1656"/>
    </row>
    <row r="119" spans="1:26" s="1148" customFormat="1" ht="26.25" customHeight="1">
      <c r="A119" s="1132">
        <f>_xlfn.AGGREGATE(4,7,A$12:A118)+1</f>
        <v>107</v>
      </c>
      <c r="B119" s="1133" t="s">
        <v>847</v>
      </c>
      <c r="C119" s="1153" t="s">
        <v>1703</v>
      </c>
      <c r="D119" s="1154" t="s">
        <v>1307</v>
      </c>
      <c r="E119" s="1058" t="str">
        <f>VLOOKUP(B119,TH.Q2!B36:E367,4,FALSE)</f>
        <v>Giảng viên khoa KHCB</v>
      </c>
      <c r="F119" s="1160">
        <v>3.99</v>
      </c>
      <c r="G119" s="1137"/>
      <c r="H119" s="1393">
        <f t="shared" si="5"/>
        <v>0</v>
      </c>
      <c r="I119" s="1138"/>
      <c r="J119" s="1138" t="str">
        <f>VLOOKUP(B119,'[27]Gui chi Quynh'!$B$11:$E$388,4,FALSE)</f>
        <v>A3</v>
      </c>
      <c r="K119" s="1138">
        <f t="shared" si="6"/>
        <v>0.6</v>
      </c>
      <c r="L119" s="1139">
        <v>20</v>
      </c>
      <c r="M119" s="1139">
        <v>20</v>
      </c>
      <c r="N119" s="1140"/>
      <c r="O119" s="1141">
        <f t="shared" si="9"/>
        <v>5601960</v>
      </c>
      <c r="P119" s="1155">
        <v>23</v>
      </c>
      <c r="Q119" s="1211">
        <f t="shared" si="8"/>
        <v>107</v>
      </c>
      <c r="R119" s="1143">
        <f>VLOOKUP(B119,'[28]CN BC'!$F$10:$K$270,6,FALSE)</f>
        <v>0</v>
      </c>
      <c r="S119" s="1656"/>
    </row>
    <row r="120" spans="1:26" s="1148" customFormat="1" ht="30" customHeight="1">
      <c r="A120" s="1132">
        <f>_xlfn.AGGREGATE(4,7,A$12:A119)+1</f>
        <v>108</v>
      </c>
      <c r="B120" s="1133" t="s">
        <v>1486</v>
      </c>
      <c r="C120" s="1149" t="s">
        <v>1704</v>
      </c>
      <c r="D120" s="1166" t="s">
        <v>1588</v>
      </c>
      <c r="E120" s="1058" t="str">
        <f>VLOOKUP(B120,TH.Q2!B37:E368,4,FALSE)</f>
        <v>Giảng viên khoa KHCB</v>
      </c>
      <c r="F120" s="1160">
        <v>3.66</v>
      </c>
      <c r="G120" s="1137"/>
      <c r="H120" s="1393">
        <f t="shared" si="5"/>
        <v>0</v>
      </c>
      <c r="I120" s="1138"/>
      <c r="J120" s="1138" t="str">
        <f>VLOOKUP(B120,'[27]Gui chi Quynh'!$B$11:$E$388,4,FALSE)</f>
        <v>A4</v>
      </c>
      <c r="K120" s="1138">
        <f t="shared" si="6"/>
        <v>0.5</v>
      </c>
      <c r="L120" s="1139">
        <v>20</v>
      </c>
      <c r="M120" s="1139">
        <v>20</v>
      </c>
      <c r="N120" s="1140"/>
      <c r="O120" s="1141">
        <f t="shared" si="9"/>
        <v>4282200</v>
      </c>
      <c r="P120" s="1140">
        <v>23</v>
      </c>
      <c r="Q120" s="1211">
        <f t="shared" si="8"/>
        <v>108</v>
      </c>
      <c r="R120" s="1143">
        <f>VLOOKUP(B120,'[28]CN BC'!$F$10:$K$270,6,FALSE)</f>
        <v>0</v>
      </c>
      <c r="S120" s="1656"/>
      <c r="T120" s="1146"/>
      <c r="U120" s="1146"/>
      <c r="V120" s="1146"/>
      <c r="W120" s="1146"/>
      <c r="X120" s="1146"/>
      <c r="Y120" s="1146"/>
      <c r="Z120" s="1146"/>
    </row>
    <row r="121" spans="1:26" s="1146" customFormat="1" ht="30" customHeight="1">
      <c r="A121" s="1132">
        <f>_xlfn.AGGREGATE(4,7,A$12:A120)+1</f>
        <v>109</v>
      </c>
      <c r="B121" s="1133" t="s">
        <v>1871</v>
      </c>
      <c r="C121" s="1153" t="s">
        <v>1705</v>
      </c>
      <c r="D121" s="1154" t="s">
        <v>1309</v>
      </c>
      <c r="E121" s="1058" t="str">
        <f>VLOOKUP(B121,TH.Q2!B38:E369,4,FALSE)</f>
        <v>Phó TK Khoa KHCB</v>
      </c>
      <c r="F121" s="1136">
        <v>4.9800000000000004</v>
      </c>
      <c r="G121" s="1137"/>
      <c r="H121" s="1393">
        <f t="shared" si="5"/>
        <v>0</v>
      </c>
      <c r="I121" s="1138">
        <v>0.35</v>
      </c>
      <c r="J121" s="1138" t="str">
        <f>VLOOKUP(B121,'[27]Gui chi Quynh'!$B$11:$E$388,4,FALSE)</f>
        <v>A2</v>
      </c>
      <c r="K121" s="1138">
        <f t="shared" si="6"/>
        <v>0.7</v>
      </c>
      <c r="L121" s="1139">
        <v>20</v>
      </c>
      <c r="M121" s="1139">
        <v>20</v>
      </c>
      <c r="N121" s="1140"/>
      <c r="O121" s="1141">
        <f t="shared" si="9"/>
        <v>8730540</v>
      </c>
      <c r="P121" s="1140">
        <v>23</v>
      </c>
      <c r="Q121" s="1211">
        <f t="shared" si="8"/>
        <v>109</v>
      </c>
      <c r="R121" s="1143">
        <f>VLOOKUP(B121,'[28]CN BC'!$F$10:$K$270,6,FALSE)</f>
        <v>0</v>
      </c>
      <c r="S121" s="1656"/>
    </row>
    <row r="122" spans="1:26" s="1148" customFormat="1" ht="30" customHeight="1">
      <c r="A122" s="1132">
        <f>_xlfn.AGGREGATE(4,7,A$12:A121)+1</f>
        <v>110</v>
      </c>
      <c r="B122" s="1133" t="s">
        <v>1872</v>
      </c>
      <c r="C122" s="1153" t="s">
        <v>1706</v>
      </c>
      <c r="D122" s="1154" t="s">
        <v>1311</v>
      </c>
      <c r="E122" s="383" t="str">
        <f>VLOOKUP(B122,TH.Q2!B39:E370,4,FALSE)</f>
        <v>Giảng viên Khoa KHCB</v>
      </c>
      <c r="F122" s="1136">
        <v>4.9800000000000004</v>
      </c>
      <c r="G122" s="1137">
        <v>0.06</v>
      </c>
      <c r="H122" s="1400">
        <f t="shared" si="5"/>
        <v>0.29899999999999999</v>
      </c>
      <c r="I122" s="1138"/>
      <c r="J122" s="1138" t="str">
        <f>VLOOKUP(B122,'[27]Gui chi Quynh'!$B$11:$E$388,4,FALSE)</f>
        <v>A4</v>
      </c>
      <c r="K122" s="1138">
        <f t="shared" si="6"/>
        <v>0.5</v>
      </c>
      <c r="L122" s="1139">
        <v>20</v>
      </c>
      <c r="M122" s="1139">
        <v>20</v>
      </c>
      <c r="N122" s="1155"/>
      <c r="O122" s="1141">
        <f t="shared" si="9"/>
        <v>6176430.0000000009</v>
      </c>
      <c r="P122" s="1155">
        <v>23</v>
      </c>
      <c r="Q122" s="1211">
        <f t="shared" si="8"/>
        <v>110</v>
      </c>
      <c r="R122" s="1143">
        <f>VLOOKUP(B122,'[28]CN BC'!$F$10:$K$270,6,FALSE)</f>
        <v>0</v>
      </c>
      <c r="S122" s="1656"/>
    </row>
    <row r="123" spans="1:26" s="1148" customFormat="1" ht="32.25" customHeight="1">
      <c r="A123" s="1132">
        <f>_xlfn.AGGREGATE(4,7,A$12:A122)+1</f>
        <v>111</v>
      </c>
      <c r="B123" s="1133" t="s">
        <v>1487</v>
      </c>
      <c r="C123" s="1153" t="s">
        <v>1707</v>
      </c>
      <c r="D123" s="1154" t="s">
        <v>1312</v>
      </c>
      <c r="E123" s="1058" t="str">
        <f>VLOOKUP(B123,TH.Q2!B40:E371,4,FALSE)</f>
        <v>Giảng viên khoa KHCB</v>
      </c>
      <c r="F123" s="1160">
        <v>3.99</v>
      </c>
      <c r="G123" s="1137"/>
      <c r="H123" s="1393">
        <f t="shared" si="5"/>
        <v>0</v>
      </c>
      <c r="I123" s="1138"/>
      <c r="J123" s="1138" t="str">
        <f>VLOOKUP(B123,'[27]Gui chi Quynh'!$B$11:$E$388,4,FALSE)</f>
        <v>A3</v>
      </c>
      <c r="K123" s="1138">
        <f t="shared" si="6"/>
        <v>0.6</v>
      </c>
      <c r="L123" s="1139">
        <v>20</v>
      </c>
      <c r="M123" s="1139">
        <v>20</v>
      </c>
      <c r="N123" s="1140"/>
      <c r="O123" s="1141">
        <f t="shared" si="9"/>
        <v>5601960</v>
      </c>
      <c r="P123" s="1155">
        <v>23</v>
      </c>
      <c r="Q123" s="1142">
        <f t="shared" si="8"/>
        <v>111</v>
      </c>
      <c r="R123" s="1143">
        <f>VLOOKUP(B123,'[28]CN BC'!$F$10:$K$270,6,FALSE)</f>
        <v>0</v>
      </c>
      <c r="S123" s="1656"/>
    </row>
    <row r="124" spans="1:26" s="1148" customFormat="1" ht="30" customHeight="1">
      <c r="A124" s="1132">
        <f>_xlfn.AGGREGATE(4,7,A$12:A123)+1</f>
        <v>112</v>
      </c>
      <c r="B124" s="1133" t="s">
        <v>1488</v>
      </c>
      <c r="C124" s="1153" t="s">
        <v>1708</v>
      </c>
      <c r="D124" s="1154" t="s">
        <v>374</v>
      </c>
      <c r="E124" s="1058" t="str">
        <f>VLOOKUP(B124,TH.Q2!B41:E372,4,FALSE)</f>
        <v>Giảng viên khoa KHCB</v>
      </c>
      <c r="F124" s="1160">
        <v>3.66</v>
      </c>
      <c r="G124" s="1137"/>
      <c r="H124" s="1393">
        <f t="shared" si="5"/>
        <v>0</v>
      </c>
      <c r="I124" s="1138"/>
      <c r="J124" s="1138" t="str">
        <f>VLOOKUP(B124,'[27]Gui chi Quynh'!$B$11:$E$388,4,FALSE)</f>
        <v>A4</v>
      </c>
      <c r="K124" s="1138">
        <f t="shared" si="6"/>
        <v>0.5</v>
      </c>
      <c r="L124" s="1139">
        <v>20</v>
      </c>
      <c r="M124" s="1139">
        <v>20</v>
      </c>
      <c r="N124" s="1140"/>
      <c r="O124" s="1141">
        <f t="shared" si="9"/>
        <v>4282200</v>
      </c>
      <c r="P124" s="1140">
        <v>23</v>
      </c>
      <c r="Q124" s="1142">
        <f t="shared" si="8"/>
        <v>112</v>
      </c>
      <c r="R124" s="1143">
        <f>VLOOKUP(B124,'[28]CN BC'!$F$10:$K$270,6,FALSE)</f>
        <v>0</v>
      </c>
      <c r="S124" s="1656"/>
      <c r="T124" s="1146"/>
      <c r="U124" s="1146"/>
      <c r="V124" s="1146"/>
    </row>
    <row r="125" spans="1:26" s="1148" customFormat="1" ht="30" customHeight="1">
      <c r="A125" s="1132">
        <f>_xlfn.AGGREGATE(4,7,A$12:A124)+1</f>
        <v>113</v>
      </c>
      <c r="B125" s="1133" t="s">
        <v>1489</v>
      </c>
      <c r="C125" s="1153" t="s">
        <v>1709</v>
      </c>
      <c r="D125" s="1150" t="s">
        <v>1424</v>
      </c>
      <c r="E125" s="1058" t="str">
        <f>VLOOKUP(B125,TH.Q2!B42:E373,4,FALSE)</f>
        <v>Giảng viên khoa KHCB</v>
      </c>
      <c r="F125" s="1160">
        <v>3.33</v>
      </c>
      <c r="G125" s="1137"/>
      <c r="H125" s="1393">
        <f t="shared" si="5"/>
        <v>0</v>
      </c>
      <c r="I125" s="1138"/>
      <c r="J125" s="1138" t="str">
        <f>VLOOKUP(B125,'[27]Gui chi Quynh'!$B$11:$E$388,4,FALSE)</f>
        <v>A3</v>
      </c>
      <c r="K125" s="1138">
        <f t="shared" si="6"/>
        <v>0.6</v>
      </c>
      <c r="L125" s="1139">
        <v>20</v>
      </c>
      <c r="M125" s="1139">
        <v>20</v>
      </c>
      <c r="N125" s="1140"/>
      <c r="O125" s="1141">
        <f t="shared" si="9"/>
        <v>4675320</v>
      </c>
      <c r="P125" s="1140">
        <v>23</v>
      </c>
      <c r="Q125" s="1142">
        <f t="shared" si="8"/>
        <v>113</v>
      </c>
      <c r="R125" s="1143">
        <f>VLOOKUP(B125,'[28]CN BC'!$F$10:$K$270,6,FALSE)</f>
        <v>0</v>
      </c>
      <c r="S125" s="1656"/>
      <c r="T125" s="1146"/>
      <c r="U125" s="1146"/>
      <c r="V125" s="1146"/>
    </row>
    <row r="126" spans="1:26" s="1148" customFormat="1" ht="27.75" customHeight="1">
      <c r="A126" s="1132">
        <f>_xlfn.AGGREGATE(4,7,A$12:A125)+1</f>
        <v>114</v>
      </c>
      <c r="B126" s="1133" t="s">
        <v>1490</v>
      </c>
      <c r="C126" s="1153" t="s">
        <v>1710</v>
      </c>
      <c r="D126" s="1150" t="s">
        <v>1425</v>
      </c>
      <c r="E126" s="1058" t="str">
        <f>VLOOKUP(B126,TH.Q2!B43:E374,4,FALSE)</f>
        <v>Giảng viên khoa KHCB</v>
      </c>
      <c r="F126" s="1160">
        <v>3.33</v>
      </c>
      <c r="G126" s="1137"/>
      <c r="H126" s="1393">
        <f t="shared" si="5"/>
        <v>0</v>
      </c>
      <c r="I126" s="1138"/>
      <c r="J126" s="1138" t="str">
        <f>VLOOKUP(B126,'[27]Gui chi Quynh'!$B$11:$E$388,4,FALSE)</f>
        <v>A4</v>
      </c>
      <c r="K126" s="1138">
        <f t="shared" si="6"/>
        <v>0.5</v>
      </c>
      <c r="L126" s="1139">
        <v>20</v>
      </c>
      <c r="M126" s="1139">
        <v>20</v>
      </c>
      <c r="N126" s="1140"/>
      <c r="O126" s="1141">
        <f t="shared" si="9"/>
        <v>3896100</v>
      </c>
      <c r="P126" s="1155">
        <v>23</v>
      </c>
      <c r="Q126" s="1142">
        <f t="shared" si="8"/>
        <v>114</v>
      </c>
      <c r="R126" s="1143">
        <f>VLOOKUP(B126,'[28]CN BC'!$F$10:$K$270,6,FALSE)</f>
        <v>0</v>
      </c>
      <c r="S126" s="1656"/>
    </row>
    <row r="127" spans="1:26" s="1148" customFormat="1" ht="30" customHeight="1">
      <c r="A127" s="1132">
        <f>_xlfn.AGGREGATE(4,7,A$12:A126)+1</f>
        <v>115</v>
      </c>
      <c r="B127" s="1133" t="s">
        <v>1873</v>
      </c>
      <c r="C127" s="1153" t="s">
        <v>1711</v>
      </c>
      <c r="D127" s="1154" t="s">
        <v>1322</v>
      </c>
      <c r="E127" s="383" t="str">
        <f>VLOOKUP(B127,TH.Q2!B44:E375,4,FALSE)</f>
        <v>Giảng viên Khoa KHCB</v>
      </c>
      <c r="F127" s="1160">
        <v>4.32</v>
      </c>
      <c r="G127" s="1137"/>
      <c r="H127" s="1400">
        <f t="shared" si="5"/>
        <v>0</v>
      </c>
      <c r="I127" s="1138">
        <f>0.25</f>
        <v>0.25</v>
      </c>
      <c r="J127" s="1138" t="str">
        <f>VLOOKUP(B127,'[27]Gui chi Quynh'!$B$11:$E$388,4,FALSE)</f>
        <v>A3</v>
      </c>
      <c r="K127" s="1138">
        <f t="shared" si="6"/>
        <v>0.6</v>
      </c>
      <c r="L127" s="1139">
        <v>20</v>
      </c>
      <c r="M127" s="1139">
        <v>20</v>
      </c>
      <c r="N127" s="1155"/>
      <c r="O127" s="1141">
        <f t="shared" si="9"/>
        <v>6416280</v>
      </c>
      <c r="P127" s="1155">
        <v>23</v>
      </c>
      <c r="Q127" s="1142">
        <f t="shared" si="8"/>
        <v>115</v>
      </c>
      <c r="R127" s="1143">
        <f>VLOOKUP(B127,'[28]CN BC'!$F$10:$K$270,6,FALSE)</f>
        <v>0</v>
      </c>
      <c r="S127" s="1656"/>
    </row>
    <row r="128" spans="1:26" s="1148" customFormat="1" ht="30" customHeight="1">
      <c r="A128" s="1132">
        <f>_xlfn.AGGREGATE(4,7,A$12:A127)+1</f>
        <v>116</v>
      </c>
      <c r="B128" s="1133" t="s">
        <v>1491</v>
      </c>
      <c r="C128" s="1153" t="s">
        <v>1712</v>
      </c>
      <c r="D128" s="1154" t="s">
        <v>1323</v>
      </c>
      <c r="E128" s="1058" t="str">
        <f>VLOOKUP(B128,TH.Q2!B45:E376,4,FALSE)</f>
        <v>Giảng viên khoa KHCB</v>
      </c>
      <c r="F128" s="1160">
        <v>4.32</v>
      </c>
      <c r="G128" s="1137"/>
      <c r="H128" s="1393">
        <f t="shared" si="5"/>
        <v>0</v>
      </c>
      <c r="I128" s="1138"/>
      <c r="J128" s="1138" t="str">
        <f>VLOOKUP(B128,'[27]Gui chi Quynh'!$B$11:$E$388,4,FALSE)</f>
        <v>A4</v>
      </c>
      <c r="K128" s="1138">
        <f t="shared" si="6"/>
        <v>0.5</v>
      </c>
      <c r="L128" s="1139">
        <v>20</v>
      </c>
      <c r="M128" s="1139">
        <v>20</v>
      </c>
      <c r="N128" s="1140"/>
      <c r="O128" s="1141">
        <f t="shared" si="9"/>
        <v>5054400</v>
      </c>
      <c r="P128" s="1155">
        <v>23</v>
      </c>
      <c r="Q128" s="1142">
        <f t="shared" si="8"/>
        <v>116</v>
      </c>
      <c r="R128" s="1143">
        <f>VLOOKUP(B128,'[28]CN BC'!$F$10:$K$270,6,FALSE)</f>
        <v>0</v>
      </c>
      <c r="S128" s="1656"/>
      <c r="T128" s="1146"/>
      <c r="U128" s="1146"/>
      <c r="V128" s="1146"/>
    </row>
    <row r="129" spans="1:26" s="1148" customFormat="1" ht="36" customHeight="1">
      <c r="A129" s="1132">
        <f>_xlfn.AGGREGATE(4,7,A$12:A128)+1</f>
        <v>117</v>
      </c>
      <c r="B129" s="1133" t="s">
        <v>845</v>
      </c>
      <c r="C129" s="1153" t="s">
        <v>1713</v>
      </c>
      <c r="D129" s="1154" t="s">
        <v>1324</v>
      </c>
      <c r="E129" s="1058" t="str">
        <f>VLOOKUP(B129,TH.Q2!B46:E377,4,FALSE)</f>
        <v>Giảng viên khoa KHCB</v>
      </c>
      <c r="F129" s="1160">
        <v>3.99</v>
      </c>
      <c r="G129" s="1137"/>
      <c r="H129" s="1393">
        <f t="shared" si="5"/>
        <v>0</v>
      </c>
      <c r="I129" s="1138">
        <v>0.25</v>
      </c>
      <c r="J129" s="1138" t="str">
        <f>VLOOKUP(B129,'[27]Gui chi Quynh'!$B$11:$E$388,4,FALSE)</f>
        <v>A3</v>
      </c>
      <c r="K129" s="1138">
        <f t="shared" si="6"/>
        <v>0.6</v>
      </c>
      <c r="L129" s="1139">
        <v>20</v>
      </c>
      <c r="M129" s="1139">
        <v>20</v>
      </c>
      <c r="N129" s="1140"/>
      <c r="O129" s="1141">
        <f t="shared" si="9"/>
        <v>5952960</v>
      </c>
      <c r="P129" s="1140">
        <v>25</v>
      </c>
      <c r="Q129" s="1142">
        <f t="shared" si="8"/>
        <v>117</v>
      </c>
      <c r="R129" s="1143">
        <f>VLOOKUP(B129,'[28]CN BC'!$F$10:$K$270,6,FALSE)</f>
        <v>0</v>
      </c>
      <c r="S129" s="1656"/>
      <c r="T129" s="1146"/>
      <c r="U129" s="1146"/>
      <c r="V129" s="1146"/>
    </row>
    <row r="130" spans="1:26" s="1148" customFormat="1" ht="27.75" customHeight="1">
      <c r="A130" s="1132">
        <f>_xlfn.AGGREGATE(4,7,A$12:A129)+1</f>
        <v>118</v>
      </c>
      <c r="B130" s="1133" t="s">
        <v>1492</v>
      </c>
      <c r="C130" s="1149" t="s">
        <v>1714</v>
      </c>
      <c r="D130" s="1212" t="s">
        <v>1938</v>
      </c>
      <c r="E130" s="1058" t="str">
        <f>VLOOKUP(B130,TH.Q2!B47:E378,4,FALSE)</f>
        <v>Giảng viên khoa KHCB</v>
      </c>
      <c r="F130" s="1160">
        <v>3.99</v>
      </c>
      <c r="G130" s="1137"/>
      <c r="H130" s="1393">
        <f t="shared" si="5"/>
        <v>0</v>
      </c>
      <c r="I130" s="1138"/>
      <c r="J130" s="1138" t="str">
        <f>VLOOKUP(B130,'[27]Gui chi Quynh'!$B$11:$E$388,4,FALSE)</f>
        <v>A1</v>
      </c>
      <c r="K130" s="1138">
        <f t="shared" si="6"/>
        <v>0.8</v>
      </c>
      <c r="L130" s="1139">
        <v>20</v>
      </c>
      <c r="M130" s="1139">
        <v>20</v>
      </c>
      <c r="N130" s="1140"/>
      <c r="O130" s="1141">
        <f t="shared" si="9"/>
        <v>7469280</v>
      </c>
      <c r="P130" s="1140">
        <v>23</v>
      </c>
      <c r="Q130" s="1142">
        <f t="shared" si="8"/>
        <v>118</v>
      </c>
      <c r="R130" s="1143">
        <f>VLOOKUP(B130,'[28]CN BC'!$F$10:$K$270,6,FALSE)</f>
        <v>0</v>
      </c>
      <c r="S130" s="1656"/>
      <c r="T130" s="1146"/>
      <c r="U130" s="1146"/>
      <c r="V130" s="1146"/>
      <c r="W130" s="1146"/>
      <c r="X130" s="1146"/>
      <c r="Y130" s="1146"/>
      <c r="Z130" s="1146"/>
    </row>
    <row r="131" spans="1:26" s="1148" customFormat="1" ht="31.5" customHeight="1">
      <c r="A131" s="1132">
        <f>_xlfn.AGGREGATE(4,7,A$12:A130)+1</f>
        <v>119</v>
      </c>
      <c r="B131" s="1133" t="s">
        <v>1558</v>
      </c>
      <c r="C131" s="1153" t="s">
        <v>1715</v>
      </c>
      <c r="D131" s="1154" t="s">
        <v>21</v>
      </c>
      <c r="E131" s="1058" t="str">
        <f>VLOOKUP(B131,TH.Q2!B48:E379,4,FALSE)</f>
        <v>Giảng viên khoa KHCB</v>
      </c>
      <c r="F131" s="1160">
        <v>4.32</v>
      </c>
      <c r="G131" s="1137"/>
      <c r="H131" s="1393">
        <f t="shared" si="5"/>
        <v>0</v>
      </c>
      <c r="I131" s="1138"/>
      <c r="J131" s="1138" t="str">
        <f>VLOOKUP(B131,'[27]Gui chi Quynh'!$B$11:$E$388,4,FALSE)</f>
        <v>A4</v>
      </c>
      <c r="K131" s="1138">
        <f t="shared" si="6"/>
        <v>0.5</v>
      </c>
      <c r="L131" s="1139">
        <v>20</v>
      </c>
      <c r="M131" s="1139">
        <v>20</v>
      </c>
      <c r="N131" s="1140"/>
      <c r="O131" s="1141">
        <f t="shared" si="9"/>
        <v>5054400</v>
      </c>
      <c r="P131" s="1140">
        <v>23</v>
      </c>
      <c r="Q131" s="1142">
        <f t="shared" si="8"/>
        <v>119</v>
      </c>
      <c r="R131" s="1143">
        <f>VLOOKUP(B131,'[28]CN BC'!$F$10:$K$270,6,FALSE)</f>
        <v>0</v>
      </c>
      <c r="S131" s="1656"/>
      <c r="T131" s="1146"/>
      <c r="U131" s="1146"/>
      <c r="V131" s="1146"/>
    </row>
    <row r="132" spans="1:26" s="1148" customFormat="1" ht="31.5" customHeight="1">
      <c r="A132" s="1132">
        <f>_xlfn.AGGREGATE(4,7,A$12:A131)+1</f>
        <v>120</v>
      </c>
      <c r="B132" s="1133" t="s">
        <v>1493</v>
      </c>
      <c r="C132" s="1153" t="s">
        <v>1716</v>
      </c>
      <c r="D132" s="1154" t="s">
        <v>1330</v>
      </c>
      <c r="E132" s="1058" t="str">
        <f>VLOOKUP(B132,TH.Q2!B49:E380,4,FALSE)</f>
        <v>Giảng viên khoa Ngoại ngữ</v>
      </c>
      <c r="F132" s="1136">
        <v>4.6500000000000004</v>
      </c>
      <c r="G132" s="1137"/>
      <c r="H132" s="1393">
        <f t="shared" si="5"/>
        <v>0</v>
      </c>
      <c r="I132" s="1138"/>
      <c r="J132" s="1138" t="str">
        <f>VLOOKUP(B132,'[27]Gui chi Quynh'!$B$11:$E$388,4,FALSE)</f>
        <v>A3</v>
      </c>
      <c r="K132" s="1138">
        <f t="shared" si="6"/>
        <v>0.6</v>
      </c>
      <c r="L132" s="1139">
        <v>20</v>
      </c>
      <c r="M132" s="1139">
        <v>20</v>
      </c>
      <c r="N132" s="1140"/>
      <c r="O132" s="1141">
        <f t="shared" si="9"/>
        <v>6528600</v>
      </c>
      <c r="P132" s="1155">
        <v>23</v>
      </c>
      <c r="Q132" s="1142">
        <f t="shared" si="8"/>
        <v>120</v>
      </c>
      <c r="R132" s="1143">
        <f>VLOOKUP(B132,'[28]CN BC'!$F$10:$K$270,6,FALSE)</f>
        <v>0</v>
      </c>
      <c r="S132" s="1656"/>
    </row>
    <row r="133" spans="1:26" s="1148" customFormat="1" ht="31.5" customHeight="1">
      <c r="A133" s="1132">
        <f>_xlfn.AGGREGATE(4,7,A$12:A132)+1</f>
        <v>121</v>
      </c>
      <c r="B133" s="1133" t="s">
        <v>1874</v>
      </c>
      <c r="C133" s="1153" t="s">
        <v>1717</v>
      </c>
      <c r="D133" s="1154" t="s">
        <v>1331</v>
      </c>
      <c r="E133" s="1058" t="str">
        <f>VLOOKUP(B133,TH.Q2!B50:E381,4,FALSE)</f>
        <v>Giảng viên khoa Ngoại ngữ</v>
      </c>
      <c r="F133" s="1136">
        <v>4.6500000000000004</v>
      </c>
      <c r="G133" s="1137"/>
      <c r="H133" s="1393">
        <f t="shared" si="5"/>
        <v>0</v>
      </c>
      <c r="I133" s="1138"/>
      <c r="J133" s="1138" t="str">
        <f>VLOOKUP(B133,'[27]Gui chi Quynh'!$B$11:$E$388,4,FALSE)</f>
        <v>A3</v>
      </c>
      <c r="K133" s="1138">
        <f t="shared" si="6"/>
        <v>0.6</v>
      </c>
      <c r="L133" s="1139">
        <v>20</v>
      </c>
      <c r="M133" s="1139">
        <v>20</v>
      </c>
      <c r="N133" s="1140"/>
      <c r="O133" s="1141">
        <f t="shared" si="9"/>
        <v>6528600</v>
      </c>
      <c r="P133" s="1155">
        <v>23</v>
      </c>
      <c r="Q133" s="1142">
        <f t="shared" si="8"/>
        <v>121</v>
      </c>
      <c r="R133" s="1143">
        <f>VLOOKUP(B133,'[28]CN BC'!$F$10:$K$270,6,FALSE)</f>
        <v>0</v>
      </c>
      <c r="S133" s="1656"/>
      <c r="T133" s="1146"/>
      <c r="U133" s="1146"/>
      <c r="V133" s="1146"/>
    </row>
    <row r="134" spans="1:26" s="1148" customFormat="1" ht="31.5" customHeight="1">
      <c r="A134" s="1132">
        <f>_xlfn.AGGREGATE(4,7,A$12:A133)+1</f>
        <v>122</v>
      </c>
      <c r="B134" s="1133" t="s">
        <v>1875</v>
      </c>
      <c r="C134" s="1153" t="s">
        <v>1718</v>
      </c>
      <c r="D134" s="1154" t="s">
        <v>1332</v>
      </c>
      <c r="E134" s="1058" t="str">
        <f>VLOOKUP(B134,TH.Q2!B51:E382,4,FALSE)</f>
        <v>Giảng viên khoa Ngoại ngữ</v>
      </c>
      <c r="F134" s="1136">
        <v>4.6500000000000004</v>
      </c>
      <c r="G134" s="1137"/>
      <c r="H134" s="1393">
        <f t="shared" si="5"/>
        <v>0</v>
      </c>
      <c r="I134" s="1138"/>
      <c r="J134" s="1138" t="str">
        <f>VLOOKUP(B134,'[27]Gui chi Quynh'!$B$11:$E$388,4,FALSE)</f>
        <v>A4</v>
      </c>
      <c r="K134" s="1138">
        <f t="shared" si="6"/>
        <v>0.5</v>
      </c>
      <c r="L134" s="1139">
        <v>20</v>
      </c>
      <c r="M134" s="1139">
        <v>20</v>
      </c>
      <c r="N134" s="1140"/>
      <c r="O134" s="1141">
        <f t="shared" si="9"/>
        <v>5440500</v>
      </c>
      <c r="P134" s="1155">
        <v>23</v>
      </c>
      <c r="Q134" s="1142">
        <f t="shared" si="8"/>
        <v>122</v>
      </c>
      <c r="R134" s="1143">
        <f>VLOOKUP(B134,'[28]CN BC'!$F$10:$K$270,6,FALSE)</f>
        <v>0</v>
      </c>
      <c r="S134" s="1656"/>
    </row>
    <row r="135" spans="1:26" s="1148" customFormat="1" ht="31.5" customHeight="1">
      <c r="A135" s="1132">
        <f>_xlfn.AGGREGATE(4,7,A$12:A134)+1</f>
        <v>123</v>
      </c>
      <c r="B135" s="1133" t="s">
        <v>1494</v>
      </c>
      <c r="C135" s="1153" t="s">
        <v>1719</v>
      </c>
      <c r="D135" s="1154" t="s">
        <v>1333</v>
      </c>
      <c r="E135" s="1058" t="str">
        <f>VLOOKUP(B135,TH.Q2!B52:E383,4,FALSE)</f>
        <v>Giảng viên khoa Ngoại ngữ</v>
      </c>
      <c r="F135" s="1160">
        <v>3.99</v>
      </c>
      <c r="G135" s="1137"/>
      <c r="H135" s="1393">
        <f t="shared" si="5"/>
        <v>0</v>
      </c>
      <c r="I135" s="1138"/>
      <c r="J135" s="1138" t="str">
        <f>VLOOKUP(B135,'[27]Gui chi Quynh'!$B$11:$E$388,4,FALSE)</f>
        <v>A4</v>
      </c>
      <c r="K135" s="1138">
        <f t="shared" si="6"/>
        <v>0.5</v>
      </c>
      <c r="L135" s="1139">
        <v>20</v>
      </c>
      <c r="M135" s="1139">
        <v>20</v>
      </c>
      <c r="N135" s="1140"/>
      <c r="O135" s="1141">
        <f t="shared" si="9"/>
        <v>4668300</v>
      </c>
      <c r="P135" s="1155">
        <v>23</v>
      </c>
      <c r="Q135" s="1142">
        <f t="shared" si="8"/>
        <v>123</v>
      </c>
      <c r="R135" s="1143">
        <f>VLOOKUP(B135,'[28]CN BC'!$F$10:$K$270,6,FALSE)</f>
        <v>0</v>
      </c>
      <c r="S135" s="1656"/>
      <c r="T135" s="1146"/>
      <c r="U135" s="1146"/>
      <c r="V135" s="1146"/>
    </row>
    <row r="136" spans="1:26" s="1148" customFormat="1" ht="31.5" customHeight="1">
      <c r="A136" s="1132">
        <f>_xlfn.AGGREGATE(4,7,A$12:A135)+1</f>
        <v>124</v>
      </c>
      <c r="B136" s="1133" t="s">
        <v>1495</v>
      </c>
      <c r="C136" s="1153" t="s">
        <v>1720</v>
      </c>
      <c r="D136" s="1154" t="s">
        <v>1335</v>
      </c>
      <c r="E136" s="1058" t="str">
        <f>VLOOKUP(B136,TH.Q2!B53:E384,4,FALSE)</f>
        <v>Giảng viên khoa Ngoại ngữ</v>
      </c>
      <c r="F136" s="1136">
        <v>4.9800000000000004</v>
      </c>
      <c r="G136" s="1137"/>
      <c r="H136" s="1393">
        <f t="shared" si="5"/>
        <v>0</v>
      </c>
      <c r="I136" s="1138"/>
      <c r="J136" s="1138" t="str">
        <f>VLOOKUP(B136,'[27]Gui chi Quynh'!$B$11:$E$388,4,FALSE)</f>
        <v>A4</v>
      </c>
      <c r="K136" s="1138">
        <f t="shared" si="6"/>
        <v>0.5</v>
      </c>
      <c r="L136" s="1139">
        <v>20</v>
      </c>
      <c r="M136" s="1139">
        <v>20</v>
      </c>
      <c r="N136" s="1140"/>
      <c r="O136" s="1141">
        <f t="shared" si="9"/>
        <v>5826600.0000000009</v>
      </c>
      <c r="P136" s="1140">
        <v>23</v>
      </c>
      <c r="Q136" s="1142">
        <f t="shared" si="8"/>
        <v>124</v>
      </c>
      <c r="R136" s="1143">
        <f>VLOOKUP(B136,'[28]CN BC'!$F$10:$K$270,6,FALSE)</f>
        <v>0</v>
      </c>
      <c r="S136" s="1656"/>
      <c r="T136" s="1146"/>
      <c r="U136" s="1146"/>
      <c r="V136" s="1146"/>
    </row>
    <row r="137" spans="1:26" s="1148" customFormat="1" ht="31.5" customHeight="1">
      <c r="A137" s="1132">
        <f>_xlfn.AGGREGATE(4,7,A$12:A136)+1</f>
        <v>125</v>
      </c>
      <c r="B137" s="1133" t="s">
        <v>1876</v>
      </c>
      <c r="C137" s="1153" t="s">
        <v>1721</v>
      </c>
      <c r="D137" s="1154" t="s">
        <v>504</v>
      </c>
      <c r="E137" s="1058" t="str">
        <f>VLOOKUP(B137,TH.Q2!B54:E385,4,FALSE)</f>
        <v>Giảng viên khoa Ngoại ngữ</v>
      </c>
      <c r="F137" s="1160">
        <v>3.99</v>
      </c>
      <c r="G137" s="1137"/>
      <c r="H137" s="1393">
        <f t="shared" ref="H137:H199" si="10">ROUND(F137*G137,3)</f>
        <v>0</v>
      </c>
      <c r="I137" s="1138"/>
      <c r="J137" s="1138" t="str">
        <f>VLOOKUP(B137,'[27]Gui chi Quynh'!$B$11:$E$388,4,FALSE)</f>
        <v>A3</v>
      </c>
      <c r="K137" s="1138">
        <f t="shared" ref="K137:K199" si="11">IF(J137="A1",0.8,IF(J137="A2",0.7,IF(J137="A3",0.6,IF(J137="A4",0.5,IF(J137="B1",0.35,IF(J137="B2",0.25,IF(J137="C1",0.15,IF(J137="C2",0.1,0))))))))</f>
        <v>0.6</v>
      </c>
      <c r="L137" s="1139">
        <v>20</v>
      </c>
      <c r="M137" s="1139">
        <v>20</v>
      </c>
      <c r="N137" s="1140"/>
      <c r="O137" s="1141">
        <f t="shared" si="9"/>
        <v>5601960</v>
      </c>
      <c r="P137" s="1140">
        <v>23</v>
      </c>
      <c r="Q137" s="1142">
        <f t="shared" si="8"/>
        <v>125</v>
      </c>
      <c r="R137" s="1143">
        <f>VLOOKUP(B137,'[28]CN BC'!$F$10:$K$270,6,FALSE)</f>
        <v>0</v>
      </c>
      <c r="S137" s="1656"/>
      <c r="T137" s="1146"/>
      <c r="U137" s="1146"/>
      <c r="V137" s="1146"/>
    </row>
    <row r="138" spans="1:26" s="1148" customFormat="1" ht="31.5" customHeight="1">
      <c r="A138" s="1132">
        <f>_xlfn.AGGREGATE(4,7,A$12:A137)+1</f>
        <v>126</v>
      </c>
      <c r="B138" s="1133" t="s">
        <v>1496</v>
      </c>
      <c r="C138" s="1153" t="s">
        <v>1722</v>
      </c>
      <c r="D138" s="1150" t="s">
        <v>1589</v>
      </c>
      <c r="E138" s="1058" t="str">
        <f>VLOOKUP(B138,TH.Q2!B55:E386,4,FALSE)</f>
        <v>Giảng viên khoa Ngoại ngữ</v>
      </c>
      <c r="F138" s="1160">
        <v>3.33</v>
      </c>
      <c r="G138" s="1137"/>
      <c r="H138" s="1393">
        <f t="shared" si="10"/>
        <v>0</v>
      </c>
      <c r="I138" s="1138">
        <v>0.45</v>
      </c>
      <c r="J138" s="1138" t="str">
        <f>VLOOKUP(B138,'[27]Gui chi Quynh'!$B$11:$E$388,4,FALSE)</f>
        <v>A2</v>
      </c>
      <c r="K138" s="1138">
        <f t="shared" si="11"/>
        <v>0.7</v>
      </c>
      <c r="L138" s="1139">
        <v>20</v>
      </c>
      <c r="M138" s="1139">
        <v>20</v>
      </c>
      <c r="N138" s="1140"/>
      <c r="O138" s="1141">
        <f t="shared" si="9"/>
        <v>6191640</v>
      </c>
      <c r="P138" s="1140">
        <v>26</v>
      </c>
      <c r="Q138" s="1142">
        <f t="shared" si="8"/>
        <v>126</v>
      </c>
      <c r="R138" s="1143">
        <f>VLOOKUP(B138,'[28]CN BC'!$F$10:$K$270,6,FALSE)</f>
        <v>0</v>
      </c>
      <c r="S138" s="1656"/>
      <c r="T138" s="1146"/>
      <c r="U138" s="1146"/>
      <c r="V138" s="1146"/>
    </row>
    <row r="139" spans="1:26" s="1148" customFormat="1" ht="31.5" customHeight="1">
      <c r="A139" s="1200">
        <f>_xlfn.AGGREGATE(4,7,A$12:A138)+1</f>
        <v>127</v>
      </c>
      <c r="B139" s="1590" t="s">
        <v>1497</v>
      </c>
      <c r="C139" s="1591" t="s">
        <v>1723</v>
      </c>
      <c r="D139" s="1634" t="s">
        <v>1590</v>
      </c>
      <c r="E139" s="490" t="str">
        <f>VLOOKUP(B139,TH.Q2!B56:E387,4,FALSE)</f>
        <v>Giảng viên khoa Ngoại ngữ</v>
      </c>
      <c r="F139" s="1633">
        <v>3</v>
      </c>
      <c r="G139" s="1204"/>
      <c r="H139" s="1398">
        <f t="shared" si="10"/>
        <v>0</v>
      </c>
      <c r="I139" s="1205"/>
      <c r="J139" s="1138" t="str">
        <f>VLOOKUP(B139,'[27]Gui chi Quynh'!$B$11:$E$388,4,FALSE)</f>
        <v>A DN</v>
      </c>
      <c r="K139" s="1205">
        <f t="shared" si="11"/>
        <v>0</v>
      </c>
      <c r="L139" s="1139">
        <v>20</v>
      </c>
      <c r="M139" s="1338">
        <v>0</v>
      </c>
      <c r="N139" s="1206"/>
      <c r="O139" s="1339">
        <f t="shared" si="9"/>
        <v>0</v>
      </c>
      <c r="P139" s="1206">
        <v>23</v>
      </c>
      <c r="Q139" s="1207">
        <f t="shared" si="8"/>
        <v>127</v>
      </c>
      <c r="R139" s="1143" t="str">
        <f>VLOOKUP(B139,'[28]CN BC'!$F$10:$K$270,6,FALSE)</f>
        <v>Nghỉ hộ sản hưởng chế độ BHXH</v>
      </c>
      <c r="S139" s="1656"/>
      <c r="T139" s="1146"/>
      <c r="U139" s="1146"/>
      <c r="V139" s="1146"/>
    </row>
    <row r="140" spans="1:26" s="1148" customFormat="1" ht="31.5" customHeight="1">
      <c r="A140" s="1132">
        <f>_xlfn.AGGREGATE(4,7,A$12:A139)+1</f>
        <v>128</v>
      </c>
      <c r="B140" s="1133" t="s">
        <v>1929</v>
      </c>
      <c r="C140" s="1153" t="s">
        <v>1964</v>
      </c>
      <c r="D140" s="1188" t="s">
        <v>1932</v>
      </c>
      <c r="E140" s="1058" t="str">
        <f>VLOOKUP(B140,TH.Q2!B57:E388,4,FALSE)</f>
        <v>Giảng viên khoa Ngoại ngữ</v>
      </c>
      <c r="F140" s="1136">
        <v>2.67</v>
      </c>
      <c r="G140" s="1137"/>
      <c r="H140" s="1393">
        <f t="shared" si="10"/>
        <v>0</v>
      </c>
      <c r="I140" s="1138"/>
      <c r="J140" s="1138" t="str">
        <f>VLOOKUP(B140,'[27]Gui chi Quynh'!$B$11:$E$388,4,FALSE)</f>
        <v>A3</v>
      </c>
      <c r="K140" s="1138">
        <f t="shared" si="11"/>
        <v>0.6</v>
      </c>
      <c r="L140" s="1139">
        <v>20</v>
      </c>
      <c r="M140" s="1139">
        <v>20</v>
      </c>
      <c r="N140" s="1140"/>
      <c r="O140" s="1141">
        <f t="shared" si="9"/>
        <v>3748680</v>
      </c>
      <c r="P140" s="1140">
        <v>23</v>
      </c>
      <c r="Q140" s="1142">
        <f t="shared" si="8"/>
        <v>128</v>
      </c>
      <c r="R140" s="1143">
        <f>VLOOKUP(B140,'[28]CN BC'!$F$10:$K$270,6,FALSE)</f>
        <v>0</v>
      </c>
      <c r="S140" s="1656"/>
      <c r="T140" s="1146"/>
      <c r="U140" s="1146"/>
      <c r="V140" s="1146"/>
    </row>
    <row r="141" spans="1:26" s="1148" customFormat="1" ht="28.5" customHeight="1">
      <c r="A141" s="1132">
        <f>_xlfn.AGGREGATE(4,7,A$12:A140)+1</f>
        <v>129</v>
      </c>
      <c r="B141" s="1133" t="s">
        <v>1498</v>
      </c>
      <c r="C141" s="1153" t="s">
        <v>1724</v>
      </c>
      <c r="D141" s="1150" t="s">
        <v>1591</v>
      </c>
      <c r="E141" s="1058" t="str">
        <f>VLOOKUP(B141,TH.Q2!B58:E389,4,FALSE)</f>
        <v>Giảng viên khoa Ngoại ngữ</v>
      </c>
      <c r="F141" s="1160">
        <v>3.33</v>
      </c>
      <c r="G141" s="1137"/>
      <c r="H141" s="1393">
        <f t="shared" si="10"/>
        <v>0</v>
      </c>
      <c r="I141" s="1138">
        <v>0.25</v>
      </c>
      <c r="J141" s="1138" t="str">
        <f>VLOOKUP(B141,'[27]Gui chi Quynh'!$B$11:$E$388,4,FALSE)</f>
        <v>A3</v>
      </c>
      <c r="K141" s="1138">
        <f t="shared" si="11"/>
        <v>0.6</v>
      </c>
      <c r="L141" s="1139">
        <v>20</v>
      </c>
      <c r="M141" s="1139">
        <v>20</v>
      </c>
      <c r="N141" s="1140"/>
      <c r="O141" s="1141">
        <f t="shared" ref="O141:O172" si="12">(((F141+H141+I141)*$O$9/L141*M141)*K141)+N141</f>
        <v>5026320</v>
      </c>
      <c r="P141" s="1155">
        <v>23</v>
      </c>
      <c r="Q141" s="1142">
        <f t="shared" ref="Q141:Q204" si="13">A141</f>
        <v>129</v>
      </c>
      <c r="R141" s="1143">
        <f>VLOOKUP(B141,'[28]CN BC'!$F$10:$K$270,6,FALSE)</f>
        <v>0</v>
      </c>
      <c r="S141" s="1656"/>
    </row>
    <row r="142" spans="1:26" s="1148" customFormat="1" ht="43.5" customHeight="1">
      <c r="A142" s="1132">
        <f>_xlfn.AGGREGATE(4,7,A$12:A141)+1</f>
        <v>130</v>
      </c>
      <c r="B142" s="1133" t="s">
        <v>1925</v>
      </c>
      <c r="C142" s="1153" t="s">
        <v>1965</v>
      </c>
      <c r="D142" s="1213" t="s">
        <v>1930</v>
      </c>
      <c r="E142" s="1058" t="str">
        <f>VLOOKUP(B142,TH.Q2!B59:E390,4,FALSE)</f>
        <v>Giảng viên khoa Ngoại ngữ</v>
      </c>
      <c r="F142" s="1136">
        <v>2.67</v>
      </c>
      <c r="G142" s="1137"/>
      <c r="H142" s="1393">
        <f t="shared" si="10"/>
        <v>0</v>
      </c>
      <c r="I142" s="1138"/>
      <c r="J142" s="1138" t="str">
        <f>VLOOKUP(B142,'[27]Gui chi Quynh'!$B$11:$E$388,4,FALSE)</f>
        <v>A4</v>
      </c>
      <c r="K142" s="1138">
        <f t="shared" si="11"/>
        <v>0.5</v>
      </c>
      <c r="L142" s="1139">
        <v>20</v>
      </c>
      <c r="M142" s="1139">
        <v>20</v>
      </c>
      <c r="N142" s="1140"/>
      <c r="O142" s="1141">
        <f t="shared" si="12"/>
        <v>3123900</v>
      </c>
      <c r="P142" s="1155">
        <v>23</v>
      </c>
      <c r="Q142" s="1142">
        <f t="shared" si="13"/>
        <v>130</v>
      </c>
      <c r="R142" s="1143">
        <f>VLOOKUP(B142,'[28]CN BC'!$F$10:$K$270,6,FALSE)</f>
        <v>0</v>
      </c>
      <c r="S142" s="1656"/>
    </row>
    <row r="143" spans="1:26" s="1148" customFormat="1" ht="30.75" customHeight="1">
      <c r="A143" s="1132">
        <f>_xlfn.AGGREGATE(4,7,A$12:A142)+1</f>
        <v>131</v>
      </c>
      <c r="B143" s="1133" t="s">
        <v>2018</v>
      </c>
      <c r="C143" s="1153"/>
      <c r="D143" s="1213"/>
      <c r="E143" s="383" t="str">
        <f>VLOOKUP(B143,TH.Q2!B60:E391,4,FALSE)</f>
        <v>Giảng viên khoa Ngoại ngữ</v>
      </c>
      <c r="F143" s="1136">
        <v>2.34</v>
      </c>
      <c r="G143" s="1137"/>
      <c r="H143" s="1400">
        <f t="shared" si="10"/>
        <v>0</v>
      </c>
      <c r="I143" s="1138"/>
      <c r="J143" s="1138" t="str">
        <f>VLOOKUP(B143,'[27]Gui chi Quynh'!$B$11:$E$388,4,FALSE)</f>
        <v>A3</v>
      </c>
      <c r="K143" s="1138">
        <f t="shared" si="11"/>
        <v>0.6</v>
      </c>
      <c r="L143" s="1139">
        <v>20</v>
      </c>
      <c r="M143" s="1139">
        <v>20</v>
      </c>
      <c r="N143" s="1155"/>
      <c r="O143" s="1141">
        <f t="shared" si="12"/>
        <v>3285360</v>
      </c>
      <c r="P143" s="1155"/>
      <c r="Q143" s="1142">
        <f t="shared" si="13"/>
        <v>131</v>
      </c>
      <c r="R143" s="1143">
        <f>VLOOKUP(B143,'[28]CN BC'!$F$10:$K$270,6,FALSE)</f>
        <v>0</v>
      </c>
      <c r="S143" s="1656"/>
    </row>
    <row r="144" spans="1:26" s="1148" customFormat="1" ht="30.75" customHeight="1">
      <c r="A144" s="1132">
        <f>_xlfn.AGGREGATE(4,7,A$12:A143)+1</f>
        <v>132</v>
      </c>
      <c r="B144" s="1133" t="s">
        <v>2024</v>
      </c>
      <c r="C144" s="1153"/>
      <c r="D144" s="1213"/>
      <c r="E144" s="1058" t="str">
        <f>VLOOKUP(B144,TH.Q2!B61:E392,4,FALSE)</f>
        <v>Giảng viên khoa Ngoại ngữ</v>
      </c>
      <c r="F144" s="1136">
        <v>2.34</v>
      </c>
      <c r="G144" s="1137"/>
      <c r="H144" s="1393">
        <f t="shared" si="10"/>
        <v>0</v>
      </c>
      <c r="I144" s="1138"/>
      <c r="J144" s="1138" t="str">
        <f>VLOOKUP(B144,'[27]Gui chi Quynh'!$B$11:$E$388,4,FALSE)</f>
        <v>A2</v>
      </c>
      <c r="K144" s="1138">
        <f t="shared" si="11"/>
        <v>0.7</v>
      </c>
      <c r="L144" s="1139">
        <v>20</v>
      </c>
      <c r="M144" s="1139">
        <v>20</v>
      </c>
      <c r="N144" s="1140"/>
      <c r="O144" s="1141">
        <f t="shared" si="12"/>
        <v>3832919.9999999995</v>
      </c>
      <c r="P144" s="1155"/>
      <c r="Q144" s="1142">
        <f t="shared" si="13"/>
        <v>132</v>
      </c>
      <c r="R144" s="1143">
        <f>VLOOKUP(B144,'[28]CN BC'!$F$10:$K$270,6,FALSE)</f>
        <v>0</v>
      </c>
      <c r="S144" s="1656"/>
    </row>
    <row r="145" spans="1:22" s="1148" customFormat="1" ht="30.75" customHeight="1">
      <c r="A145" s="1200">
        <f>_xlfn.AGGREGATE(4,7,A$12:A144)+1</f>
        <v>133</v>
      </c>
      <c r="B145" s="1590" t="s">
        <v>2006</v>
      </c>
      <c r="C145" s="1591"/>
      <c r="D145" s="1592"/>
      <c r="E145" s="490" t="str">
        <f>VLOOKUP(B145,TH.Q2!B62:E393,4,FALSE)</f>
        <v>Giảng viên khoa Ngoại ngữ</v>
      </c>
      <c r="F145" s="1593">
        <v>2.34</v>
      </c>
      <c r="G145" s="1204"/>
      <c r="H145" s="1398">
        <f t="shared" si="10"/>
        <v>0</v>
      </c>
      <c r="I145" s="1205"/>
      <c r="J145" s="1138" t="str">
        <f>VLOOKUP(B145,'[27]Gui chi Quynh'!$B$11:$E$388,4,FALSE)</f>
        <v>A4</v>
      </c>
      <c r="K145" s="1205">
        <f t="shared" si="11"/>
        <v>0.5</v>
      </c>
      <c r="L145" s="1139">
        <v>20</v>
      </c>
      <c r="M145" s="1338">
        <v>10</v>
      </c>
      <c r="N145" s="1206"/>
      <c r="O145" s="1339">
        <f t="shared" si="12"/>
        <v>1368900</v>
      </c>
      <c r="P145" s="1206">
        <v>23</v>
      </c>
      <c r="Q145" s="1207">
        <f t="shared" si="13"/>
        <v>133</v>
      </c>
      <c r="R145" s="1143" t="str">
        <f>VLOOKUP(B145,'[28]CN BC'!$F$10:$K$270,6,FALSE)</f>
        <v>Hết thời gian nghỉ hộ sản đilàm lại từ 19/5</v>
      </c>
      <c r="S145" s="1656"/>
    </row>
    <row r="146" spans="1:22" s="1148" customFormat="1" ht="27.75" customHeight="1">
      <c r="A146" s="1132">
        <f>_xlfn.AGGREGATE(4,7,A$12:A145)+1</f>
        <v>134</v>
      </c>
      <c r="B146" s="1133" t="s">
        <v>2345</v>
      </c>
      <c r="C146" s="1153"/>
      <c r="D146" s="1213"/>
      <c r="E146" s="383" t="str">
        <f>VLOOKUP(B146,TH.Q2!B63:E394,4,FALSE)</f>
        <v>Giảng viên khoa Ngoại ngữ</v>
      </c>
      <c r="F146" s="1136">
        <v>1.9890000000000001</v>
      </c>
      <c r="G146" s="1137"/>
      <c r="H146" s="1393">
        <f t="shared" si="10"/>
        <v>0</v>
      </c>
      <c r="I146" s="1138"/>
      <c r="J146" s="1138" t="str">
        <f>VLOOKUP(B146,'[27]Gui chi Quynh'!$B$11:$E$388,4,FALSE)</f>
        <v>A3</v>
      </c>
      <c r="K146" s="1138">
        <f t="shared" si="11"/>
        <v>0.6</v>
      </c>
      <c r="L146" s="1139">
        <v>20</v>
      </c>
      <c r="M146" s="1139">
        <v>20</v>
      </c>
      <c r="N146" s="1155"/>
      <c r="O146" s="1141">
        <f>(((F146+H147+I146)*$O$9/L146*M146)*K146)+N146</f>
        <v>2792556</v>
      </c>
      <c r="P146" s="1155"/>
      <c r="Q146" s="1142">
        <f t="shared" si="13"/>
        <v>134</v>
      </c>
      <c r="R146" s="1143">
        <f>VLOOKUP(B146,'[28]CN BC'!$F$10:$K$270,6,FALSE)</f>
        <v>0</v>
      </c>
      <c r="S146" s="1656"/>
    </row>
    <row r="147" spans="1:22" s="1148" customFormat="1" ht="30.75" customHeight="1">
      <c r="A147" s="1132">
        <f>_xlfn.AGGREGATE(4,7,A$12:A146)+1</f>
        <v>135</v>
      </c>
      <c r="B147" s="1133" t="s">
        <v>2393</v>
      </c>
      <c r="C147" s="1153"/>
      <c r="D147" s="1213"/>
      <c r="E147" s="383" t="s">
        <v>2374</v>
      </c>
      <c r="F147" s="1136">
        <v>1.9890000000000001</v>
      </c>
      <c r="G147" s="1137"/>
      <c r="H147" s="1400">
        <f t="shared" si="10"/>
        <v>0</v>
      </c>
      <c r="I147" s="1138"/>
      <c r="J147" s="1138" t="str">
        <f>VLOOKUP(B147,'[27]Gui chi Quynh'!$B$11:$E$388,4,FALSE)</f>
        <v>A3</v>
      </c>
      <c r="K147" s="1138">
        <f t="shared" si="11"/>
        <v>0.6</v>
      </c>
      <c r="L147" s="1139">
        <v>20</v>
      </c>
      <c r="M147" s="1139">
        <v>20</v>
      </c>
      <c r="N147" s="1155"/>
      <c r="O147" s="1141">
        <f>(((F147+H148+I147)*$O$9/L147*M147)*K147)+N147</f>
        <v>2792556</v>
      </c>
      <c r="P147" s="1155"/>
      <c r="Q147" s="1142">
        <f t="shared" si="13"/>
        <v>135</v>
      </c>
      <c r="R147" s="1143">
        <f>VLOOKUP(B147,'[28]CN BC'!$F$10:$K$270,6,FALSE)</f>
        <v>0</v>
      </c>
      <c r="S147" s="1656"/>
    </row>
    <row r="148" spans="1:22" s="1148" customFormat="1" ht="30" customHeight="1">
      <c r="A148" s="1132">
        <f>_xlfn.AGGREGATE(4,7,A$12:A147)+1</f>
        <v>136</v>
      </c>
      <c r="B148" s="1133" t="s">
        <v>1499</v>
      </c>
      <c r="C148" s="1153" t="s">
        <v>1725</v>
      </c>
      <c r="D148" s="1154" t="s">
        <v>378</v>
      </c>
      <c r="E148" s="1058" t="str">
        <f>VLOOKUP(B148,TH.Q2!B64:E395,4,FALSE)</f>
        <v>Phó Trưởng khoa LLCT</v>
      </c>
      <c r="F148" s="1160">
        <v>3.99</v>
      </c>
      <c r="G148" s="1222"/>
      <c r="H148" s="1393">
        <f t="shared" si="10"/>
        <v>0</v>
      </c>
      <c r="I148" s="1138">
        <v>0.35</v>
      </c>
      <c r="J148" s="1138" t="str">
        <f>VLOOKUP(B148,'[27]Gui chi Quynh'!$B$11:$E$388,4,FALSE)</f>
        <v>A3</v>
      </c>
      <c r="K148" s="1138">
        <f t="shared" si="11"/>
        <v>0.6</v>
      </c>
      <c r="L148" s="1139">
        <v>20</v>
      </c>
      <c r="M148" s="1139">
        <v>20</v>
      </c>
      <c r="N148" s="1140"/>
      <c r="O148" s="1141">
        <f t="shared" ref="O148:O179" si="14">(((F148+H148+I148)*$O$9/L148*M148)*K148)+N148</f>
        <v>6093360</v>
      </c>
      <c r="P148" s="1155">
        <v>23</v>
      </c>
      <c r="Q148" s="1142">
        <f t="shared" si="13"/>
        <v>136</v>
      </c>
      <c r="R148" s="1143">
        <f>VLOOKUP(B148,'[28]CN BC'!$F$10:$K$270,6,FALSE)</f>
        <v>0</v>
      </c>
      <c r="S148" s="1656"/>
    </row>
    <row r="149" spans="1:22" s="1148" customFormat="1" ht="28.5" customHeight="1">
      <c r="A149" s="1132">
        <f>_xlfn.AGGREGATE(4,7,A$12:A148)+1</f>
        <v>137</v>
      </c>
      <c r="B149" s="1133" t="s">
        <v>843</v>
      </c>
      <c r="C149" s="1153" t="s">
        <v>1726</v>
      </c>
      <c r="D149" s="1154" t="s">
        <v>1316</v>
      </c>
      <c r="E149" s="383" t="str">
        <f>VLOOKUP(B149,TH.Q2!B65:E396,4,FALSE)</f>
        <v>Phó Trưởng khoa LLCT</v>
      </c>
      <c r="F149" s="1160">
        <v>4.32</v>
      </c>
      <c r="G149" s="1137"/>
      <c r="H149" s="1400">
        <f t="shared" si="10"/>
        <v>0</v>
      </c>
      <c r="I149" s="1138">
        <v>0.45</v>
      </c>
      <c r="J149" s="1138" t="str">
        <f>VLOOKUP(B149,'[27]Gui chi Quynh'!$B$11:$E$388,4,FALSE)</f>
        <v>A2</v>
      </c>
      <c r="K149" s="1138">
        <f t="shared" si="11"/>
        <v>0.7</v>
      </c>
      <c r="L149" s="1139">
        <v>20</v>
      </c>
      <c r="M149" s="1139">
        <v>20</v>
      </c>
      <c r="N149" s="1155"/>
      <c r="O149" s="1141">
        <f t="shared" si="14"/>
        <v>7813260.0000000009</v>
      </c>
      <c r="P149" s="1155">
        <v>23</v>
      </c>
      <c r="Q149" s="1142">
        <f t="shared" si="13"/>
        <v>137</v>
      </c>
      <c r="R149" s="1143">
        <f>VLOOKUP(B149,'[28]CN BC'!$F$10:$K$270,6,FALSE)</f>
        <v>0</v>
      </c>
      <c r="S149" s="1656"/>
    </row>
    <row r="150" spans="1:22" s="1148" customFormat="1" ht="28.5" customHeight="1">
      <c r="A150" s="1132">
        <f>_xlfn.AGGREGATE(4,7,A$12:A149)+1</f>
        <v>138</v>
      </c>
      <c r="B150" s="1133" t="s">
        <v>846</v>
      </c>
      <c r="C150" s="1153" t="s">
        <v>1727</v>
      </c>
      <c r="D150" s="1154" t="s">
        <v>1317</v>
      </c>
      <c r="E150" s="383" t="str">
        <f>VLOOKUP(B150,TH.Q2!B66:E397,4,FALSE)</f>
        <v>Trưởng BM khoa LLCT</v>
      </c>
      <c r="F150" s="1160">
        <v>4.32</v>
      </c>
      <c r="G150" s="1137"/>
      <c r="H150" s="1400">
        <f t="shared" si="10"/>
        <v>0</v>
      </c>
      <c r="I150" s="1138">
        <v>0.25</v>
      </c>
      <c r="J150" s="1138" t="str">
        <f>VLOOKUP(B150,'[27]Gui chi Quynh'!$B$11:$E$388,4,FALSE)</f>
        <v>A3</v>
      </c>
      <c r="K150" s="1138">
        <f t="shared" si="11"/>
        <v>0.6</v>
      </c>
      <c r="L150" s="1139">
        <v>20</v>
      </c>
      <c r="M150" s="1139">
        <v>20</v>
      </c>
      <c r="N150" s="1155"/>
      <c r="O150" s="1141">
        <f t="shared" si="14"/>
        <v>6416280</v>
      </c>
      <c r="P150" s="1155">
        <v>23</v>
      </c>
      <c r="Q150" s="1142">
        <f t="shared" si="13"/>
        <v>138</v>
      </c>
      <c r="R150" s="1143">
        <f>VLOOKUP(B150,'[28]CN BC'!$F$10:$K$270,6,FALSE)</f>
        <v>0</v>
      </c>
      <c r="S150" s="1656"/>
    </row>
    <row r="151" spans="1:22" s="1148" customFormat="1" ht="33" customHeight="1">
      <c r="A151" s="1132">
        <f>_xlfn.AGGREGATE(4,7,A$12:A150)+1</f>
        <v>139</v>
      </c>
      <c r="B151" s="1133" t="s">
        <v>1500</v>
      </c>
      <c r="C151" s="1153" t="s">
        <v>1728</v>
      </c>
      <c r="D151" s="1154" t="s">
        <v>377</v>
      </c>
      <c r="E151" s="1058" t="str">
        <f>VLOOKUP(B151,TH.Q2!B67:E398,4,FALSE)</f>
        <v>Giảng viên khoa LLCT</v>
      </c>
      <c r="F151" s="1160">
        <v>3.99</v>
      </c>
      <c r="G151" s="1137"/>
      <c r="H151" s="1393">
        <f t="shared" si="10"/>
        <v>0</v>
      </c>
      <c r="I151" s="1138"/>
      <c r="J151" s="1138" t="str">
        <f>VLOOKUP(B151,'[27]Gui chi Quynh'!$B$11:$E$388,4,FALSE)</f>
        <v>A1</v>
      </c>
      <c r="K151" s="1138">
        <f t="shared" si="11"/>
        <v>0.8</v>
      </c>
      <c r="L151" s="1139">
        <v>20</v>
      </c>
      <c r="M151" s="1139">
        <v>20</v>
      </c>
      <c r="N151" s="1140"/>
      <c r="O151" s="1141">
        <f t="shared" si="14"/>
        <v>7469280</v>
      </c>
      <c r="P151" s="1155">
        <v>0</v>
      </c>
      <c r="Q151" s="1142">
        <f t="shared" si="13"/>
        <v>139</v>
      </c>
      <c r="R151" s="1143">
        <f>VLOOKUP(B151,'[28]CN BC'!$F$10:$K$270,6,FALSE)</f>
        <v>0</v>
      </c>
      <c r="S151" s="1656"/>
    </row>
    <row r="152" spans="1:22" s="1148" customFormat="1" ht="30.75" customHeight="1">
      <c r="A152" s="1132">
        <f>_xlfn.AGGREGATE(4,7,A$12:A151)+1</f>
        <v>140</v>
      </c>
      <c r="B152" s="1133" t="s">
        <v>1877</v>
      </c>
      <c r="C152" s="1153" t="s">
        <v>1729</v>
      </c>
      <c r="D152" s="1154" t="s">
        <v>1320</v>
      </c>
      <c r="E152" s="1058" t="str">
        <f>VLOOKUP(B152,TH.Q2!B68:E399,4,FALSE)</f>
        <v>Giảng viên khoa LLCT</v>
      </c>
      <c r="F152" s="1136">
        <v>4.6500000000000004</v>
      </c>
      <c r="G152" s="1137"/>
      <c r="H152" s="1393">
        <f t="shared" si="10"/>
        <v>0</v>
      </c>
      <c r="I152" s="1138"/>
      <c r="J152" s="1138" t="str">
        <f>VLOOKUP(B152,'[27]Gui chi Quynh'!$B$11:$E$388,4,FALSE)</f>
        <v>A3</v>
      </c>
      <c r="K152" s="1138">
        <f t="shared" si="11"/>
        <v>0.6</v>
      </c>
      <c r="L152" s="1139">
        <v>20</v>
      </c>
      <c r="M152" s="1139">
        <v>20</v>
      </c>
      <c r="N152" s="1140"/>
      <c r="O152" s="1141">
        <f t="shared" si="14"/>
        <v>6528600</v>
      </c>
      <c r="P152" s="1155">
        <v>23</v>
      </c>
      <c r="Q152" s="1142">
        <f t="shared" si="13"/>
        <v>140</v>
      </c>
      <c r="R152" s="1143">
        <f>VLOOKUP(B152,'[28]CN BC'!$F$10:$K$270,6,FALSE)</f>
        <v>0</v>
      </c>
      <c r="S152" s="1656"/>
    </row>
    <row r="153" spans="1:22" s="1148" customFormat="1" ht="28.5" customHeight="1">
      <c r="A153" s="1132">
        <f>_xlfn.AGGREGATE(4,7,A$12:A152)+1</f>
        <v>141</v>
      </c>
      <c r="B153" s="1133" t="s">
        <v>1501</v>
      </c>
      <c r="C153" s="1153" t="s">
        <v>1730</v>
      </c>
      <c r="D153" s="1150" t="s">
        <v>314</v>
      </c>
      <c r="E153" s="383" t="str">
        <f>VLOOKUP(B153,TH.Q2!B69:E400,4,FALSE)</f>
        <v>Giảng viên khoa LLCT</v>
      </c>
      <c r="F153" s="1160">
        <v>3.99</v>
      </c>
      <c r="G153" s="1137"/>
      <c r="H153" s="1400">
        <f t="shared" si="10"/>
        <v>0</v>
      </c>
      <c r="I153" s="1138"/>
      <c r="J153" s="1138" t="str">
        <f>VLOOKUP(B153,'[27]Gui chi Quynh'!$B$11:$E$388,4,FALSE)</f>
        <v>A2</v>
      </c>
      <c r="K153" s="1138">
        <f t="shared" si="11"/>
        <v>0.7</v>
      </c>
      <c r="L153" s="1139">
        <v>20</v>
      </c>
      <c r="M153" s="1139">
        <v>20</v>
      </c>
      <c r="N153" s="1155"/>
      <c r="O153" s="1141">
        <f t="shared" si="14"/>
        <v>6535620</v>
      </c>
      <c r="P153" s="1155">
        <v>23</v>
      </c>
      <c r="Q153" s="1142">
        <f t="shared" si="13"/>
        <v>141</v>
      </c>
      <c r="R153" s="1143">
        <f>VLOOKUP(B153,'[28]CN BC'!$F$10:$K$270,6,FALSE)</f>
        <v>0</v>
      </c>
      <c r="S153" s="1656"/>
    </row>
    <row r="154" spans="1:22" s="1148" customFormat="1" ht="28.5" customHeight="1">
      <c r="A154" s="1132">
        <f>_xlfn.AGGREGATE(4,7,A$12:A153)+1</f>
        <v>142</v>
      </c>
      <c r="B154" s="1133" t="s">
        <v>1878</v>
      </c>
      <c r="C154" s="1153" t="s">
        <v>1731</v>
      </c>
      <c r="D154" s="1154" t="s">
        <v>1314</v>
      </c>
      <c r="E154" s="383" t="str">
        <f>VLOOKUP(B154,TH.Q2!B70:E401,4,FALSE)</f>
        <v>Giảng viên khoa LLCT</v>
      </c>
      <c r="F154" s="1136">
        <v>4.6500000000000004</v>
      </c>
      <c r="G154" s="1137"/>
      <c r="H154" s="1400">
        <f t="shared" si="10"/>
        <v>0</v>
      </c>
      <c r="I154" s="1138"/>
      <c r="J154" s="1138" t="str">
        <f>VLOOKUP(B154,'[27]Gui chi Quynh'!$B$11:$E$388,4,FALSE)</f>
        <v>A4</v>
      </c>
      <c r="K154" s="1138">
        <f t="shared" si="11"/>
        <v>0.5</v>
      </c>
      <c r="L154" s="1139">
        <v>20</v>
      </c>
      <c r="M154" s="1139">
        <v>20</v>
      </c>
      <c r="N154" s="1155"/>
      <c r="O154" s="1141">
        <f t="shared" si="14"/>
        <v>5440500</v>
      </c>
      <c r="P154" s="1155">
        <v>23</v>
      </c>
      <c r="Q154" s="1142">
        <f t="shared" si="13"/>
        <v>142</v>
      </c>
      <c r="R154" s="1143">
        <f>VLOOKUP(B154,'[28]CN BC'!$F$10:$K$270,6,FALSE)</f>
        <v>0</v>
      </c>
      <c r="S154" s="1656"/>
    </row>
    <row r="155" spans="1:22" s="1148" customFormat="1" ht="28.5" customHeight="1">
      <c r="A155" s="1132">
        <f>_xlfn.AGGREGATE(4,7,A$12:A154)+1</f>
        <v>143</v>
      </c>
      <c r="B155" s="1133" t="s">
        <v>1879</v>
      </c>
      <c r="C155" s="1153" t="s">
        <v>1732</v>
      </c>
      <c r="D155" s="1154" t="s">
        <v>1315</v>
      </c>
      <c r="E155" s="1058" t="str">
        <f>VLOOKUP(B155,TH.Q2!B71:E402,4,FALSE)</f>
        <v>Giảng viên khoa LLCT</v>
      </c>
      <c r="F155" s="1160">
        <v>4.32</v>
      </c>
      <c r="G155" s="1137"/>
      <c r="H155" s="1393">
        <f t="shared" si="10"/>
        <v>0</v>
      </c>
      <c r="I155" s="1138"/>
      <c r="J155" s="1138" t="str">
        <f>VLOOKUP(B155,'[27]Gui chi Quynh'!$B$11:$E$388,4,FALSE)</f>
        <v>A1</v>
      </c>
      <c r="K155" s="1138">
        <f t="shared" si="11"/>
        <v>0.8</v>
      </c>
      <c r="L155" s="1139">
        <v>20</v>
      </c>
      <c r="M155" s="1139">
        <v>20</v>
      </c>
      <c r="N155" s="1140"/>
      <c r="O155" s="1141">
        <f t="shared" si="14"/>
        <v>8087040</v>
      </c>
      <c r="P155" s="1140">
        <v>23</v>
      </c>
      <c r="Q155" s="1142">
        <f t="shared" si="13"/>
        <v>143</v>
      </c>
      <c r="R155" s="1143">
        <f>VLOOKUP(B155,'[28]CN BC'!$F$10:$K$270,6,FALSE)</f>
        <v>0</v>
      </c>
      <c r="S155" s="1656"/>
      <c r="T155" s="1146"/>
      <c r="U155" s="1146"/>
      <c r="V155" s="1146"/>
    </row>
    <row r="156" spans="1:22" s="1148" customFormat="1" ht="28.5" customHeight="1">
      <c r="A156" s="1132">
        <f>_xlfn.AGGREGATE(4,7,A$12:A155)+1</f>
        <v>144</v>
      </c>
      <c r="B156" s="1133" t="s">
        <v>1502</v>
      </c>
      <c r="C156" s="1153" t="s">
        <v>1733</v>
      </c>
      <c r="D156" s="1154" t="s">
        <v>1318</v>
      </c>
      <c r="E156" s="383" t="str">
        <f>VLOOKUP(B156,TH.Q2!B72:E403,4,FALSE)</f>
        <v>Giảng viên khoa LLCT</v>
      </c>
      <c r="F156" s="1160">
        <v>3.99</v>
      </c>
      <c r="G156" s="1137"/>
      <c r="H156" s="1400">
        <f t="shared" si="10"/>
        <v>0</v>
      </c>
      <c r="I156" s="1138"/>
      <c r="J156" s="1138" t="str">
        <f>VLOOKUP(B156,'[27]Gui chi Quynh'!$B$11:$E$388,4,FALSE)</f>
        <v>A1</v>
      </c>
      <c r="K156" s="1138">
        <f t="shared" si="11"/>
        <v>0.8</v>
      </c>
      <c r="L156" s="1139">
        <v>20</v>
      </c>
      <c r="M156" s="1139">
        <v>20</v>
      </c>
      <c r="N156" s="1155"/>
      <c r="O156" s="1141">
        <f t="shared" si="14"/>
        <v>7469280</v>
      </c>
      <c r="P156" s="1155">
        <v>23</v>
      </c>
      <c r="Q156" s="1142">
        <f t="shared" si="13"/>
        <v>144</v>
      </c>
      <c r="R156" s="1143">
        <f>VLOOKUP(B156,'[28]CN BC'!$F$10:$K$270,6,FALSE)</f>
        <v>0</v>
      </c>
      <c r="S156" s="1656"/>
    </row>
    <row r="157" spans="1:22" s="1148" customFormat="1" ht="28.5" customHeight="1">
      <c r="A157" s="1132">
        <f>_xlfn.AGGREGATE(4,7,A$12:A156)+1</f>
        <v>145</v>
      </c>
      <c r="B157" s="1133" t="s">
        <v>1880</v>
      </c>
      <c r="C157" s="1153" t="s">
        <v>1734</v>
      </c>
      <c r="D157" s="1154" t="s">
        <v>375</v>
      </c>
      <c r="E157" s="383" t="str">
        <f>VLOOKUP(B157,TH.Q2!B73:E404,4,FALSE)</f>
        <v>Giảng viên khoa LLCT</v>
      </c>
      <c r="F157" s="1160">
        <v>3.99</v>
      </c>
      <c r="G157" s="1137"/>
      <c r="H157" s="1400">
        <f t="shared" si="10"/>
        <v>0</v>
      </c>
      <c r="I157" s="1138"/>
      <c r="J157" s="1138" t="str">
        <f>VLOOKUP(B157,'[27]Gui chi Quynh'!$B$11:$E$388,4,FALSE)</f>
        <v>A2</v>
      </c>
      <c r="K157" s="1138">
        <f t="shared" si="11"/>
        <v>0.7</v>
      </c>
      <c r="L157" s="1139">
        <v>20</v>
      </c>
      <c r="M157" s="1139">
        <v>20</v>
      </c>
      <c r="N157" s="1155"/>
      <c r="O157" s="1141">
        <f t="shared" si="14"/>
        <v>6535620</v>
      </c>
      <c r="P157" s="1155">
        <v>23</v>
      </c>
      <c r="Q157" s="1142">
        <f t="shared" si="13"/>
        <v>145</v>
      </c>
      <c r="R157" s="1143">
        <f>VLOOKUP(B157,'[28]CN BC'!$F$10:$K$270,6,FALSE)</f>
        <v>0</v>
      </c>
      <c r="S157" s="1656"/>
    </row>
    <row r="158" spans="1:22" s="1148" customFormat="1" ht="28.5" customHeight="1">
      <c r="A158" s="1132">
        <f>_xlfn.AGGREGATE(4,7,A$12:A157)+1</f>
        <v>146</v>
      </c>
      <c r="B158" s="1133" t="s">
        <v>1503</v>
      </c>
      <c r="C158" s="1153" t="s">
        <v>1735</v>
      </c>
      <c r="D158" s="1154" t="s">
        <v>376</v>
      </c>
      <c r="E158" s="383" t="str">
        <f>VLOOKUP(B158,TH.Q2!B74:E405,4,FALSE)</f>
        <v>Giảng viên khoa LLCT</v>
      </c>
      <c r="F158" s="1160">
        <v>3.99</v>
      </c>
      <c r="G158" s="1137"/>
      <c r="H158" s="1400">
        <f t="shared" si="10"/>
        <v>0</v>
      </c>
      <c r="I158" s="1138"/>
      <c r="J158" s="1138" t="str">
        <f>VLOOKUP(B158,'[27]Gui chi Quynh'!$B$11:$E$388,4,FALSE)</f>
        <v>A3</v>
      </c>
      <c r="K158" s="1138">
        <f t="shared" si="11"/>
        <v>0.6</v>
      </c>
      <c r="L158" s="1139">
        <v>20</v>
      </c>
      <c r="M158" s="1139">
        <v>20</v>
      </c>
      <c r="N158" s="1155"/>
      <c r="O158" s="1141">
        <f t="shared" si="14"/>
        <v>5601960</v>
      </c>
      <c r="P158" s="1155">
        <v>23</v>
      </c>
      <c r="Q158" s="1142">
        <f t="shared" si="13"/>
        <v>146</v>
      </c>
      <c r="R158" s="1143">
        <f>VLOOKUP(B158,'[28]CN BC'!$F$10:$K$270,6,FALSE)</f>
        <v>0</v>
      </c>
      <c r="S158" s="1656"/>
    </row>
    <row r="159" spans="1:22" s="1148" customFormat="1" ht="26.25" customHeight="1">
      <c r="A159" s="1132">
        <f>_xlfn.AGGREGATE(4,7,A$12:A158)+1</f>
        <v>147</v>
      </c>
      <c r="B159" s="1133" t="s">
        <v>1504</v>
      </c>
      <c r="C159" s="1153" t="s">
        <v>1736</v>
      </c>
      <c r="D159" s="1153" t="s">
        <v>503</v>
      </c>
      <c r="E159" s="1058" t="str">
        <f>VLOOKUP(B159,TH.Q2!B75:E406,4,FALSE)</f>
        <v>Giảng viên khoa LLCT</v>
      </c>
      <c r="F159" s="1160">
        <v>4.32</v>
      </c>
      <c r="G159" s="1137"/>
      <c r="H159" s="1393">
        <f t="shared" si="10"/>
        <v>0</v>
      </c>
      <c r="I159" s="1138"/>
      <c r="J159" s="1138" t="str">
        <f>VLOOKUP(B159,'[27]Gui chi Quynh'!$B$11:$E$388,4,FALSE)</f>
        <v>A3</v>
      </c>
      <c r="K159" s="1138">
        <f t="shared" si="11"/>
        <v>0.6</v>
      </c>
      <c r="L159" s="1139">
        <v>20</v>
      </c>
      <c r="M159" s="1139">
        <v>20</v>
      </c>
      <c r="N159" s="1140"/>
      <c r="O159" s="1141">
        <f t="shared" si="14"/>
        <v>6065280</v>
      </c>
      <c r="P159" s="1140">
        <v>23</v>
      </c>
      <c r="Q159" s="1142">
        <f t="shared" si="13"/>
        <v>147</v>
      </c>
      <c r="R159" s="1143">
        <f>VLOOKUP(B159,'[28]CN BC'!$F$10:$K$270,6,FALSE)</f>
        <v>0</v>
      </c>
      <c r="S159" s="1656"/>
      <c r="T159" s="1146"/>
      <c r="U159" s="1146"/>
      <c r="V159" s="1146"/>
    </row>
    <row r="160" spans="1:22" s="1148" customFormat="1" ht="27" customHeight="1">
      <c r="A160" s="1132">
        <f>_xlfn.AGGREGATE(4,7,A$12:A159)+1</f>
        <v>148</v>
      </c>
      <c r="B160" s="1133" t="s">
        <v>1505</v>
      </c>
      <c r="C160" s="1153" t="s">
        <v>1737</v>
      </c>
      <c r="D160" s="1150" t="s">
        <v>1592</v>
      </c>
      <c r="E160" s="383" t="str">
        <f>VLOOKUP(B160,TH.Q2!B76:E407,4,FALSE)</f>
        <v>Giảng viên khoa LLCT</v>
      </c>
      <c r="F160" s="1160">
        <v>3.66</v>
      </c>
      <c r="G160" s="1137"/>
      <c r="H160" s="1400">
        <f t="shared" si="10"/>
        <v>0</v>
      </c>
      <c r="I160" s="1138"/>
      <c r="J160" s="1138" t="str">
        <f>VLOOKUP(B160,'[27]Gui chi Quynh'!$B$11:$E$388,4,FALSE)</f>
        <v>A1</v>
      </c>
      <c r="K160" s="1138">
        <f t="shared" si="11"/>
        <v>0.8</v>
      </c>
      <c r="L160" s="1139">
        <v>20</v>
      </c>
      <c r="M160" s="1139">
        <v>20</v>
      </c>
      <c r="N160" s="1155"/>
      <c r="O160" s="1141">
        <f t="shared" si="14"/>
        <v>6851520</v>
      </c>
      <c r="P160" s="1155">
        <v>23</v>
      </c>
      <c r="Q160" s="1142">
        <f t="shared" si="13"/>
        <v>148</v>
      </c>
      <c r="R160" s="1143">
        <f>VLOOKUP(B160,'[28]CN BC'!$F$10:$K$270,6,FALSE)</f>
        <v>0</v>
      </c>
      <c r="S160" s="1656"/>
    </row>
    <row r="161" spans="1:26" s="1148" customFormat="1" ht="28.15" customHeight="1">
      <c r="A161" s="1132">
        <f>_xlfn.AGGREGATE(4,7,A$12:A160)+1</f>
        <v>149</v>
      </c>
      <c r="B161" s="1133" t="s">
        <v>1881</v>
      </c>
      <c r="C161" s="1153" t="s">
        <v>1738</v>
      </c>
      <c r="D161" s="1154" t="s">
        <v>379</v>
      </c>
      <c r="E161" s="1058" t="str">
        <f>VLOOKUP(B161,TH.Q2!B77:E408,4,FALSE)</f>
        <v>Giảng viên khoa LLCT</v>
      </c>
      <c r="F161" s="1160">
        <v>3.66</v>
      </c>
      <c r="G161" s="1137"/>
      <c r="H161" s="1393">
        <f t="shared" si="10"/>
        <v>0</v>
      </c>
      <c r="I161" s="1138"/>
      <c r="J161" s="1138" t="str">
        <f>VLOOKUP(B161,'[27]Gui chi Quynh'!$B$11:$E$388,4,FALSE)</f>
        <v>A3</v>
      </c>
      <c r="K161" s="1138">
        <f t="shared" si="11"/>
        <v>0.6</v>
      </c>
      <c r="L161" s="1139">
        <v>20</v>
      </c>
      <c r="M161" s="1139">
        <v>20</v>
      </c>
      <c r="N161" s="1140"/>
      <c r="O161" s="1141">
        <f t="shared" si="14"/>
        <v>5138640</v>
      </c>
      <c r="P161" s="1140">
        <v>23</v>
      </c>
      <c r="Q161" s="1142">
        <f t="shared" si="13"/>
        <v>149</v>
      </c>
      <c r="R161" s="1143">
        <f>VLOOKUP(B161,'[28]CN BC'!$F$10:$K$270,6,FALSE)</f>
        <v>0</v>
      </c>
      <c r="S161" s="1656"/>
      <c r="T161" s="1146"/>
      <c r="U161" s="1146"/>
      <c r="V161" s="1146"/>
    </row>
    <row r="162" spans="1:26" s="1148" customFormat="1" ht="27" customHeight="1">
      <c r="A162" s="1132">
        <f>_xlfn.AGGREGATE(4,7,A$12:A161)+1</f>
        <v>150</v>
      </c>
      <c r="B162" s="1133" t="s">
        <v>1882</v>
      </c>
      <c r="C162" s="1153" t="s">
        <v>1741</v>
      </c>
      <c r="D162" s="1154" t="s">
        <v>1341</v>
      </c>
      <c r="E162" s="1058" t="str">
        <f>VLOOKUP(B162,TH.Q2!B79:E410,4,FALSE)</f>
        <v>Giảng viên khoa CNTT</v>
      </c>
      <c r="F162" s="1160">
        <v>4.32</v>
      </c>
      <c r="G162" s="1137"/>
      <c r="H162" s="1393">
        <f t="shared" si="10"/>
        <v>0</v>
      </c>
      <c r="I162" s="1138"/>
      <c r="J162" s="1138" t="str">
        <f>VLOOKUP(B162,'[27]Gui chi Quynh'!$B$11:$E$388,4,FALSE)</f>
        <v>A4</v>
      </c>
      <c r="K162" s="1138">
        <f t="shared" si="11"/>
        <v>0.5</v>
      </c>
      <c r="L162" s="1139">
        <v>20</v>
      </c>
      <c r="M162" s="1139">
        <v>20</v>
      </c>
      <c r="N162" s="1140"/>
      <c r="O162" s="1141">
        <f t="shared" si="14"/>
        <v>5054400</v>
      </c>
      <c r="P162" s="1155">
        <v>23</v>
      </c>
      <c r="Q162" s="1142">
        <f t="shared" si="13"/>
        <v>150</v>
      </c>
      <c r="R162" s="1143">
        <f>VLOOKUP(B162,'[28]CN BC'!$F$10:$K$270,6,FALSE)</f>
        <v>0</v>
      </c>
      <c r="S162" s="1656"/>
    </row>
    <row r="163" spans="1:26" s="1146" customFormat="1" ht="28.5" customHeight="1">
      <c r="A163" s="1132">
        <f>_xlfn.AGGREGATE(4,7,A$12:A162)+1</f>
        <v>151</v>
      </c>
      <c r="B163" s="1172" t="s">
        <v>1508</v>
      </c>
      <c r="C163" s="1149" t="s">
        <v>1742</v>
      </c>
      <c r="D163" s="1173" t="s">
        <v>1342</v>
      </c>
      <c r="E163" s="1058" t="str">
        <f>VLOOKUP(B163,TH.Q2!B80:E411,4,FALSE)</f>
        <v>Giảng viên khoa CNTT</v>
      </c>
      <c r="F163" s="1178">
        <v>3.99</v>
      </c>
      <c r="G163" s="1175"/>
      <c r="H163" s="1393">
        <f t="shared" si="10"/>
        <v>0</v>
      </c>
      <c r="I163" s="1176"/>
      <c r="J163" s="1138" t="str">
        <f>VLOOKUP(B163,'[27]Gui chi Quynh'!$B$11:$E$388,4,FALSE)</f>
        <v>A4</v>
      </c>
      <c r="K163" s="1138">
        <f t="shared" si="11"/>
        <v>0.5</v>
      </c>
      <c r="L163" s="1139">
        <v>20</v>
      </c>
      <c r="M163" s="1139">
        <v>20</v>
      </c>
      <c r="N163" s="1140"/>
      <c r="O163" s="1141">
        <f t="shared" si="14"/>
        <v>4668300</v>
      </c>
      <c r="P163" s="1140">
        <v>23</v>
      </c>
      <c r="Q163" s="1142">
        <f t="shared" si="13"/>
        <v>151</v>
      </c>
      <c r="R163" s="1143">
        <f>VLOOKUP(B163,'[28]CN BC'!$F$10:$K$270,6,FALSE)</f>
        <v>0</v>
      </c>
      <c r="S163" s="1656"/>
    </row>
    <row r="164" spans="1:26" s="1146" customFormat="1" ht="26.25" customHeight="1">
      <c r="A164" s="1132">
        <f>_xlfn.AGGREGATE(4,7,A$12:A163)+1</f>
        <v>152</v>
      </c>
      <c r="B164" s="1172" t="s">
        <v>1509</v>
      </c>
      <c r="C164" s="1149" t="s">
        <v>1743</v>
      </c>
      <c r="D164" s="1173" t="s">
        <v>1344</v>
      </c>
      <c r="E164" s="1058" t="str">
        <f>VLOOKUP(B164,TH.Q2!B81:E412,4,FALSE)</f>
        <v>Giảng viên khoa CNTT</v>
      </c>
      <c r="F164" s="1174">
        <v>3.99</v>
      </c>
      <c r="G164" s="1175"/>
      <c r="H164" s="1393">
        <f t="shared" si="10"/>
        <v>0</v>
      </c>
      <c r="I164" s="1176"/>
      <c r="J164" s="1138" t="str">
        <f>VLOOKUP(B164,'[27]Gui chi Quynh'!$B$11:$E$388,4,FALSE)</f>
        <v>A3</v>
      </c>
      <c r="K164" s="1138">
        <f t="shared" si="11"/>
        <v>0.6</v>
      </c>
      <c r="L164" s="1139">
        <v>20</v>
      </c>
      <c r="M164" s="1139">
        <v>20</v>
      </c>
      <c r="N164" s="1140"/>
      <c r="O164" s="1141">
        <f t="shared" si="14"/>
        <v>5601960</v>
      </c>
      <c r="P164" s="1140">
        <v>23</v>
      </c>
      <c r="Q164" s="1142">
        <f t="shared" si="13"/>
        <v>152</v>
      </c>
      <c r="R164" s="1143">
        <f>VLOOKUP(B164,'[28]CN BC'!$F$10:$K$270,6,FALSE)</f>
        <v>0</v>
      </c>
      <c r="S164" s="1656"/>
    </row>
    <row r="165" spans="1:26" s="1148" customFormat="1" ht="27" customHeight="1">
      <c r="A165" s="1132">
        <f>_xlfn.AGGREGATE(4,7,A$12:A164)+1</f>
        <v>153</v>
      </c>
      <c r="B165" s="1223" t="s">
        <v>1511</v>
      </c>
      <c r="C165" s="1153" t="s">
        <v>1745</v>
      </c>
      <c r="D165" s="1154" t="s">
        <v>1349</v>
      </c>
      <c r="E165" s="1058" t="str">
        <f>VLOOKUP(B165,TH.Q2!B83:E414,4,FALSE)</f>
        <v>Giảng viên khoa CNTT</v>
      </c>
      <c r="F165" s="1160">
        <v>3.99</v>
      </c>
      <c r="G165" s="1137"/>
      <c r="H165" s="1393">
        <f t="shared" si="10"/>
        <v>0</v>
      </c>
      <c r="I165" s="1138"/>
      <c r="J165" s="1138" t="str">
        <f>VLOOKUP(B165,'[27]Gui chi Quynh'!$B$11:$E$388,4,FALSE)</f>
        <v>A3</v>
      </c>
      <c r="K165" s="1138">
        <f t="shared" si="11"/>
        <v>0.6</v>
      </c>
      <c r="L165" s="1139">
        <v>20</v>
      </c>
      <c r="M165" s="1139">
        <v>20</v>
      </c>
      <c r="N165" s="1140"/>
      <c r="O165" s="1141">
        <f t="shared" si="14"/>
        <v>5601960</v>
      </c>
      <c r="P165" s="1140">
        <v>23</v>
      </c>
      <c r="Q165" s="1142">
        <f t="shared" si="13"/>
        <v>153</v>
      </c>
      <c r="R165" s="1143">
        <f>VLOOKUP(B165,'[28]CN BC'!$F$10:$K$270,6,FALSE)</f>
        <v>0</v>
      </c>
      <c r="S165" s="1656"/>
      <c r="T165" s="1146"/>
      <c r="U165" s="1146"/>
      <c r="V165" s="1146"/>
    </row>
    <row r="166" spans="1:26" s="1148" customFormat="1" ht="30.75" customHeight="1">
      <c r="A166" s="1132">
        <f>_xlfn.AGGREGATE(4,7,A$12:A165)+1</f>
        <v>154</v>
      </c>
      <c r="B166" s="1133" t="s">
        <v>1512</v>
      </c>
      <c r="C166" s="1153" t="s">
        <v>1746</v>
      </c>
      <c r="D166" s="1154" t="s">
        <v>1350</v>
      </c>
      <c r="E166" s="383" t="str">
        <f>VLOOKUP(B166,TH.Q2!B84:E415,4,FALSE)</f>
        <v>Giảng viên khoa CNTT</v>
      </c>
      <c r="F166" s="1160">
        <v>3.99</v>
      </c>
      <c r="G166" s="1137"/>
      <c r="H166" s="1400">
        <f t="shared" si="10"/>
        <v>0</v>
      </c>
      <c r="I166" s="1138"/>
      <c r="J166" s="1138" t="str">
        <f>VLOOKUP(B166,'[27]Gui chi Quynh'!$B$11:$E$388,4,FALSE)</f>
        <v>A3</v>
      </c>
      <c r="K166" s="1138">
        <f t="shared" si="11"/>
        <v>0.6</v>
      </c>
      <c r="L166" s="1139">
        <v>20</v>
      </c>
      <c r="M166" s="1139">
        <v>20</v>
      </c>
      <c r="N166" s="1155"/>
      <c r="O166" s="1141">
        <f t="shared" si="14"/>
        <v>5601960</v>
      </c>
      <c r="P166" s="1155">
        <v>23</v>
      </c>
      <c r="Q166" s="1142">
        <f t="shared" si="13"/>
        <v>154</v>
      </c>
      <c r="R166" s="1143">
        <f>VLOOKUP(B166,'[28]CN BC'!$F$10:$K$270,6,FALSE)</f>
        <v>0</v>
      </c>
      <c r="S166" s="1656"/>
    </row>
    <row r="167" spans="1:26" s="1146" customFormat="1" ht="27" customHeight="1">
      <c r="A167" s="1132">
        <f>_xlfn.AGGREGATE(4,7,A$12:A166)+1</f>
        <v>155</v>
      </c>
      <c r="B167" s="1172" t="s">
        <v>1513</v>
      </c>
      <c r="C167" s="1149" t="s">
        <v>1747</v>
      </c>
      <c r="D167" s="1173" t="s">
        <v>1353</v>
      </c>
      <c r="E167" s="1058" t="str">
        <f>VLOOKUP(B167,TH.Q2!B85:E416,4,FALSE)</f>
        <v>Trưởng BM khoa CNTT</v>
      </c>
      <c r="F167" s="1160">
        <v>3.99</v>
      </c>
      <c r="G167" s="1137"/>
      <c r="H167" s="1400">
        <f t="shared" si="10"/>
        <v>0</v>
      </c>
      <c r="I167" s="1138">
        <v>0.45</v>
      </c>
      <c r="J167" s="1138" t="str">
        <f>VLOOKUP(B167,'[27]Gui chi Quynh'!$B$11:$E$388,4,FALSE)</f>
        <v>A2</v>
      </c>
      <c r="K167" s="1138">
        <f t="shared" si="11"/>
        <v>0.7</v>
      </c>
      <c r="L167" s="1139">
        <v>20</v>
      </c>
      <c r="M167" s="1139">
        <v>20</v>
      </c>
      <c r="N167" s="1140"/>
      <c r="O167" s="1141">
        <f t="shared" si="14"/>
        <v>7272720</v>
      </c>
      <c r="P167" s="1224">
        <v>24</v>
      </c>
      <c r="Q167" s="1142">
        <f t="shared" si="13"/>
        <v>155</v>
      </c>
      <c r="R167" s="1143">
        <f>VLOOKUP(B167,'[28]CN BC'!$F$10:$K$270,6,FALSE)</f>
        <v>0</v>
      </c>
      <c r="S167" s="1656"/>
    </row>
    <row r="168" spans="1:26" s="1148" customFormat="1" ht="48">
      <c r="A168" s="1214">
        <f>_xlfn.AGGREGATE(4,7,A$12:A167)+1</f>
        <v>156</v>
      </c>
      <c r="B168" s="1215" t="s">
        <v>1514</v>
      </c>
      <c r="C168" s="1216" t="s">
        <v>1748</v>
      </c>
      <c r="D168" s="1347" t="s">
        <v>1354</v>
      </c>
      <c r="E168" s="579" t="str">
        <f>VLOOKUP(B168,TH.Q2!B86:E417,4,FALSE)</f>
        <v>Giảng viên khoa CNTT</v>
      </c>
      <c r="F168" s="1358">
        <v>3.99</v>
      </c>
      <c r="G168" s="1218"/>
      <c r="H168" s="1395">
        <f t="shared" si="10"/>
        <v>0</v>
      </c>
      <c r="I168" s="1219"/>
      <c r="J168" s="1219" t="str">
        <f>VLOOKUP(B168,'[27]Gui chi Quynh'!$B$11:$E$388,4,FALSE)</f>
        <v>B1</v>
      </c>
      <c r="K168" s="1219">
        <f t="shared" si="11"/>
        <v>0.35</v>
      </c>
      <c r="L168" s="1348">
        <v>20</v>
      </c>
      <c r="M168" s="1348">
        <v>20</v>
      </c>
      <c r="N168" s="1220"/>
      <c r="O168" s="1349">
        <f t="shared" si="14"/>
        <v>3267810</v>
      </c>
      <c r="P168" s="1359">
        <v>23</v>
      </c>
      <c r="Q168" s="1221">
        <f t="shared" si="13"/>
        <v>156</v>
      </c>
      <c r="R168" s="1350" t="s">
        <v>2424</v>
      </c>
      <c r="S168" s="1656"/>
    </row>
    <row r="169" spans="1:26" s="1148" customFormat="1" ht="24.75" customHeight="1">
      <c r="A169" s="1132">
        <f>_xlfn.AGGREGATE(4,7,A$12:A168)+1</f>
        <v>157</v>
      </c>
      <c r="B169" s="1133" t="s">
        <v>1515</v>
      </c>
      <c r="C169" s="1153" t="s">
        <v>1749</v>
      </c>
      <c r="D169" s="1154" t="s">
        <v>1355</v>
      </c>
      <c r="E169" s="383" t="str">
        <f>VLOOKUP(B169,TH.Q2!B87:E418,4,FALSE)</f>
        <v>Giảng viên khoa CNTT</v>
      </c>
      <c r="F169" s="1160">
        <v>3.99</v>
      </c>
      <c r="G169" s="1137"/>
      <c r="H169" s="1400">
        <f t="shared" si="10"/>
        <v>0</v>
      </c>
      <c r="I169" s="1138"/>
      <c r="J169" s="1138" t="str">
        <f>VLOOKUP(B169,'[27]Gui chi Quynh'!$B$11:$E$388,4,FALSE)</f>
        <v>A3</v>
      </c>
      <c r="K169" s="1138">
        <f t="shared" si="11"/>
        <v>0.6</v>
      </c>
      <c r="L169" s="1139">
        <v>20</v>
      </c>
      <c r="M169" s="1139">
        <v>20</v>
      </c>
      <c r="N169" s="1155"/>
      <c r="O169" s="1141">
        <f t="shared" si="14"/>
        <v>5601960</v>
      </c>
      <c r="P169" s="1580">
        <v>23</v>
      </c>
      <c r="Q169" s="1142">
        <f t="shared" si="13"/>
        <v>157</v>
      </c>
      <c r="R169" s="1143">
        <f>VLOOKUP(B169,'[28]CN BC'!$F$10:$K$270,6,FALSE)</f>
        <v>0</v>
      </c>
      <c r="S169" s="1656"/>
    </row>
    <row r="170" spans="1:26" s="1146" customFormat="1" ht="24.75" customHeight="1">
      <c r="A170" s="1132">
        <f>_xlfn.AGGREGATE(4,7,A$12:A169)+1</f>
        <v>158</v>
      </c>
      <c r="B170" s="1172" t="s">
        <v>1516</v>
      </c>
      <c r="C170" s="1149" t="s">
        <v>1750</v>
      </c>
      <c r="D170" s="1173" t="s">
        <v>1356</v>
      </c>
      <c r="E170" s="1058" t="str">
        <f>VLOOKUP(B170,TH.Q2!B88:E419,4,FALSE)</f>
        <v>Giảng viên khoa CNTT</v>
      </c>
      <c r="F170" s="1160">
        <v>3.99</v>
      </c>
      <c r="G170" s="1175"/>
      <c r="H170" s="1393">
        <f t="shared" si="10"/>
        <v>0</v>
      </c>
      <c r="I170" s="1176"/>
      <c r="J170" s="1138" t="str">
        <f>VLOOKUP(B170,'[27]Gui chi Quynh'!$B$11:$E$388,4,FALSE)</f>
        <v>A4</v>
      </c>
      <c r="K170" s="1138">
        <f t="shared" si="11"/>
        <v>0.5</v>
      </c>
      <c r="L170" s="1139">
        <v>20</v>
      </c>
      <c r="M170" s="1139">
        <v>20</v>
      </c>
      <c r="N170" s="1140"/>
      <c r="O170" s="1141">
        <f t="shared" si="14"/>
        <v>4668300</v>
      </c>
      <c r="P170" s="1140">
        <v>23</v>
      </c>
      <c r="Q170" s="1142">
        <f t="shared" si="13"/>
        <v>158</v>
      </c>
      <c r="R170" s="1143">
        <f>VLOOKUP(B170,'[28]CN BC'!$F$10:$K$270,6,FALSE)</f>
        <v>0</v>
      </c>
      <c r="S170" s="1656"/>
    </row>
    <row r="171" spans="1:26" s="1148" customFormat="1" ht="27" customHeight="1">
      <c r="A171" s="1132">
        <f>_xlfn.AGGREGATE(4,7,A$12:A170)+1</f>
        <v>159</v>
      </c>
      <c r="B171" s="1133" t="s">
        <v>1883</v>
      </c>
      <c r="C171" s="1153" t="s">
        <v>1751</v>
      </c>
      <c r="D171" s="1154" t="s">
        <v>381</v>
      </c>
      <c r="E171" s="383" t="str">
        <f>VLOOKUP(B171,TH.Q2!B89:E420,4,FALSE)</f>
        <v>Phó Trưởng khoa CNTT</v>
      </c>
      <c r="F171" s="1160">
        <v>3.99</v>
      </c>
      <c r="G171" s="1137"/>
      <c r="H171" s="1400">
        <f t="shared" si="10"/>
        <v>0</v>
      </c>
      <c r="I171" s="1138">
        <v>0.35</v>
      </c>
      <c r="J171" s="1138" t="str">
        <f>VLOOKUP(B171,'[27]Gui chi Quynh'!$B$11:$E$388,4,FALSE)</f>
        <v>A3</v>
      </c>
      <c r="K171" s="1138">
        <f t="shared" si="11"/>
        <v>0.6</v>
      </c>
      <c r="L171" s="1139">
        <v>20</v>
      </c>
      <c r="M171" s="1139">
        <v>20</v>
      </c>
      <c r="N171" s="1155"/>
      <c r="O171" s="1141">
        <f t="shared" si="14"/>
        <v>6093360</v>
      </c>
      <c r="P171" s="1155">
        <v>23</v>
      </c>
      <c r="Q171" s="1142">
        <f t="shared" si="13"/>
        <v>159</v>
      </c>
      <c r="R171" s="1143">
        <f>VLOOKUP(B171,'[28]CN BC'!$F$10:$K$270,6,FALSE)</f>
        <v>0</v>
      </c>
      <c r="S171" s="1656"/>
    </row>
    <row r="172" spans="1:26" s="1148" customFormat="1" ht="23.25" customHeight="1">
      <c r="A172" s="1132">
        <f>_xlfn.AGGREGATE(4,7,A$12:A171)+1</f>
        <v>160</v>
      </c>
      <c r="B172" s="1133" t="s">
        <v>1833</v>
      </c>
      <c r="C172" s="1153" t="s">
        <v>1966</v>
      </c>
      <c r="D172" s="1225">
        <v>1603215005649</v>
      </c>
      <c r="E172" s="1058" t="str">
        <f>VLOOKUP(B172,TH.Q2!B90:E421,4,FALSE)</f>
        <v>Giảng viên khoa CNTT</v>
      </c>
      <c r="F172" s="1160">
        <v>3.66</v>
      </c>
      <c r="G172" s="1137"/>
      <c r="H172" s="1393">
        <f t="shared" si="10"/>
        <v>0</v>
      </c>
      <c r="I172" s="1138"/>
      <c r="J172" s="1138" t="str">
        <f>VLOOKUP(B172,'[27]Gui chi Quynh'!$B$11:$E$388,4,FALSE)</f>
        <v>A4</v>
      </c>
      <c r="K172" s="1138">
        <f t="shared" si="11"/>
        <v>0.5</v>
      </c>
      <c r="L172" s="1139">
        <v>20</v>
      </c>
      <c r="M172" s="1139">
        <v>20</v>
      </c>
      <c r="N172" s="1140"/>
      <c r="O172" s="1141">
        <f t="shared" si="14"/>
        <v>4282200</v>
      </c>
      <c r="P172" s="1155">
        <v>23</v>
      </c>
      <c r="Q172" s="1142">
        <f t="shared" si="13"/>
        <v>160</v>
      </c>
      <c r="R172" s="1143">
        <f>VLOOKUP(B172,'[28]CN BC'!$F$10:$K$270,6,FALSE)</f>
        <v>0</v>
      </c>
      <c r="S172" s="1656"/>
    </row>
    <row r="173" spans="1:26" s="1148" customFormat="1" ht="29.25" customHeight="1">
      <c r="A173" s="1132">
        <f>_xlfn.AGGREGATE(4,7,A$12:A172)+1</f>
        <v>161</v>
      </c>
      <c r="B173" s="1133" t="s">
        <v>1884</v>
      </c>
      <c r="C173" s="1149" t="s">
        <v>1752</v>
      </c>
      <c r="D173" s="1154" t="s">
        <v>1345</v>
      </c>
      <c r="E173" s="1058" t="str">
        <f>VLOOKUP(B173,TH.Q2!B91:E422,4,FALSE)</f>
        <v>Giảng viên khoa CNTT</v>
      </c>
      <c r="F173" s="1160">
        <v>4.32</v>
      </c>
      <c r="G173" s="1137"/>
      <c r="H173" s="1393">
        <f t="shared" si="10"/>
        <v>0</v>
      </c>
      <c r="I173" s="1138">
        <v>0.25</v>
      </c>
      <c r="J173" s="1138" t="str">
        <f>VLOOKUP(B173,'[27]Gui chi Quynh'!$B$11:$E$388,4,FALSE)</f>
        <v>A3</v>
      </c>
      <c r="K173" s="1138">
        <f t="shared" si="11"/>
        <v>0.6</v>
      </c>
      <c r="L173" s="1139">
        <v>20</v>
      </c>
      <c r="M173" s="1139">
        <v>20</v>
      </c>
      <c r="N173" s="1140"/>
      <c r="O173" s="1141">
        <f t="shared" si="14"/>
        <v>6416280</v>
      </c>
      <c r="P173" s="1140">
        <v>23</v>
      </c>
      <c r="Q173" s="1142">
        <f t="shared" si="13"/>
        <v>161</v>
      </c>
      <c r="R173" s="1143">
        <f>VLOOKUP(B173,'[28]CN BC'!$F$10:$K$270,6,FALSE)</f>
        <v>0</v>
      </c>
      <c r="S173" s="1656"/>
      <c r="T173" s="1146"/>
      <c r="U173" s="1146"/>
      <c r="V173" s="1146"/>
      <c r="W173" s="1146"/>
      <c r="X173" s="1146"/>
      <c r="Y173" s="1146"/>
      <c r="Z173" s="1146"/>
    </row>
    <row r="174" spans="1:26" s="1148" customFormat="1" ht="29.25" customHeight="1">
      <c r="A174" s="1132">
        <f>_xlfn.AGGREGATE(4,7,A$12:A173)+1</f>
        <v>162</v>
      </c>
      <c r="B174" s="1133" t="s">
        <v>1517</v>
      </c>
      <c r="C174" s="1153" t="s">
        <v>1753</v>
      </c>
      <c r="D174" s="1166">
        <v>1603205286594</v>
      </c>
      <c r="E174" s="383" t="str">
        <f>VLOOKUP(B174,TH.Q2!B92:E423,4,FALSE)</f>
        <v>Giảng viên khoa CNTT</v>
      </c>
      <c r="F174" s="1160">
        <v>3.66</v>
      </c>
      <c r="G174" s="1137"/>
      <c r="H174" s="1400">
        <f t="shared" si="10"/>
        <v>0</v>
      </c>
      <c r="I174" s="1138"/>
      <c r="J174" s="1138" t="str">
        <f>VLOOKUP(B174,'[27]Gui chi Quynh'!$B$11:$E$388,4,FALSE)</f>
        <v>A4</v>
      </c>
      <c r="K174" s="1138">
        <f t="shared" si="11"/>
        <v>0.5</v>
      </c>
      <c r="L174" s="1139">
        <v>20</v>
      </c>
      <c r="M174" s="1139">
        <v>20</v>
      </c>
      <c r="N174" s="1155"/>
      <c r="O174" s="1141">
        <f t="shared" si="14"/>
        <v>4282200</v>
      </c>
      <c r="P174" s="1155">
        <v>23</v>
      </c>
      <c r="Q174" s="1142">
        <f t="shared" si="13"/>
        <v>162</v>
      </c>
      <c r="R174" s="1143">
        <f>VLOOKUP(B174,'[28]CN BC'!$F$10:$K$270,6,FALSE)</f>
        <v>0</v>
      </c>
      <c r="S174" s="1656"/>
    </row>
    <row r="175" spans="1:26" s="1148" customFormat="1" ht="28.5" customHeight="1">
      <c r="A175" s="1132">
        <f>_xlfn.AGGREGATE(4,7,A$12:A174)+1</f>
        <v>163</v>
      </c>
      <c r="B175" s="1133" t="s">
        <v>1518</v>
      </c>
      <c r="C175" s="1153" t="s">
        <v>1754</v>
      </c>
      <c r="D175" s="1154" t="s">
        <v>1346</v>
      </c>
      <c r="E175" s="383" t="str">
        <f>VLOOKUP(B175,TH.Q2!B93:E424,4,FALSE)</f>
        <v>Giảng viên khoa CNTT</v>
      </c>
      <c r="F175" s="1136">
        <v>4.32</v>
      </c>
      <c r="G175" s="1137"/>
      <c r="H175" s="1400">
        <f t="shared" si="10"/>
        <v>0</v>
      </c>
      <c r="I175" s="1138"/>
      <c r="J175" s="1138" t="str">
        <f>VLOOKUP(B175,'[27]Gui chi Quynh'!$B$11:$E$388,4,FALSE)</f>
        <v>A4</v>
      </c>
      <c r="K175" s="1138">
        <f t="shared" si="11"/>
        <v>0.5</v>
      </c>
      <c r="L175" s="1139">
        <v>20</v>
      </c>
      <c r="M175" s="1139">
        <v>20</v>
      </c>
      <c r="N175" s="1155"/>
      <c r="O175" s="1141">
        <f t="shared" si="14"/>
        <v>5054400</v>
      </c>
      <c r="P175" s="1155">
        <v>23</v>
      </c>
      <c r="Q175" s="1142">
        <f t="shared" si="13"/>
        <v>163</v>
      </c>
      <c r="R175" s="1143">
        <f>VLOOKUP(B175,'[28]CN BC'!$F$10:$K$270,6,FALSE)</f>
        <v>0</v>
      </c>
      <c r="S175" s="1656"/>
    </row>
    <row r="176" spans="1:26" s="1148" customFormat="1" ht="28.5" customHeight="1">
      <c r="A176" s="1132">
        <f>_xlfn.AGGREGATE(4,7,A$12:A175)+1</f>
        <v>164</v>
      </c>
      <c r="B176" s="1133" t="s">
        <v>1519</v>
      </c>
      <c r="C176" s="1153" t="s">
        <v>1755</v>
      </c>
      <c r="D176" s="1154" t="s">
        <v>771</v>
      </c>
      <c r="E176" s="383" t="str">
        <f>VLOOKUP(B176,TH.Q2!B94:E425,4,FALSE)</f>
        <v>Giảng viên khoa CNTT</v>
      </c>
      <c r="F176" s="1160">
        <v>3.99</v>
      </c>
      <c r="G176" s="1137"/>
      <c r="H176" s="1400">
        <f t="shared" si="10"/>
        <v>0</v>
      </c>
      <c r="I176" s="1138"/>
      <c r="J176" s="1138" t="str">
        <f>VLOOKUP(B176,'[27]Gui chi Quynh'!$B$11:$E$388,4,FALSE)</f>
        <v>A4</v>
      </c>
      <c r="K176" s="1138">
        <f t="shared" si="11"/>
        <v>0.5</v>
      </c>
      <c r="L176" s="1139">
        <v>20</v>
      </c>
      <c r="M176" s="1139">
        <v>20</v>
      </c>
      <c r="N176" s="1155"/>
      <c r="O176" s="1141">
        <f t="shared" si="14"/>
        <v>4668300</v>
      </c>
      <c r="P176" s="1155">
        <v>23</v>
      </c>
      <c r="Q176" s="1142">
        <f t="shared" si="13"/>
        <v>164</v>
      </c>
      <c r="R176" s="1143">
        <f>VLOOKUP(B176,'[28]CN BC'!$F$10:$K$270,6,FALSE)</f>
        <v>0</v>
      </c>
      <c r="S176" s="1656"/>
    </row>
    <row r="177" spans="1:22" s="1148" customFormat="1" ht="25.5" customHeight="1">
      <c r="A177" s="1132">
        <f>_xlfn.AGGREGATE(4,7,A$12:A176)+1</f>
        <v>165</v>
      </c>
      <c r="B177" s="1133" t="s">
        <v>1520</v>
      </c>
      <c r="C177" s="1153" t="s">
        <v>1756</v>
      </c>
      <c r="D177" s="1226" t="s">
        <v>1593</v>
      </c>
      <c r="E177" s="1058" t="str">
        <f>VLOOKUP(B177,TH.Q2!B95:E426,4,FALSE)</f>
        <v>Giảng viên khoa CNTT</v>
      </c>
      <c r="F177" s="1160">
        <v>3.99</v>
      </c>
      <c r="G177" s="1137"/>
      <c r="H177" s="1393">
        <f t="shared" si="10"/>
        <v>0</v>
      </c>
      <c r="I177" s="1138">
        <v>0.25</v>
      </c>
      <c r="J177" s="1138" t="str">
        <f>VLOOKUP(B177,'[27]Gui chi Quynh'!$B$11:$E$388,4,FALSE)</f>
        <v>A3</v>
      </c>
      <c r="K177" s="1138">
        <f t="shared" si="11"/>
        <v>0.6</v>
      </c>
      <c r="L177" s="1139">
        <v>20</v>
      </c>
      <c r="M177" s="1139">
        <v>20</v>
      </c>
      <c r="N177" s="1140"/>
      <c r="O177" s="1141">
        <f t="shared" si="14"/>
        <v>5952960</v>
      </c>
      <c r="P177" s="1155">
        <v>23</v>
      </c>
      <c r="Q177" s="1142">
        <f t="shared" si="13"/>
        <v>165</v>
      </c>
      <c r="R177" s="1143">
        <f>VLOOKUP(B177,'[28]CN BC'!$F$10:$K$270,6,FALSE)</f>
        <v>0</v>
      </c>
      <c r="S177" s="1656"/>
    </row>
    <row r="178" spans="1:22" s="1148" customFormat="1" ht="28.5" customHeight="1">
      <c r="A178" s="1132">
        <f>_xlfn.AGGREGATE(4,7,A$12:A177)+1</f>
        <v>166</v>
      </c>
      <c r="B178" s="1133" t="s">
        <v>1467</v>
      </c>
      <c r="C178" s="1153" t="s">
        <v>1674</v>
      </c>
      <c r="D178" s="1154" t="s">
        <v>1343</v>
      </c>
      <c r="E178" s="1058" t="str">
        <f>VLOOKUP(B178,TH.Q2!B96:E427,4,FALSE)</f>
        <v>Giảng viên khoa CNTT</v>
      </c>
      <c r="F178" s="1136">
        <v>4.32</v>
      </c>
      <c r="G178" s="1137"/>
      <c r="H178" s="1393">
        <f t="shared" si="10"/>
        <v>0</v>
      </c>
      <c r="I178" s="1138"/>
      <c r="J178" s="1138" t="str">
        <f>VLOOKUP(B178,'[27]Gui chi Quynh'!$B$11:$E$388,4,FALSE)</f>
        <v>A4</v>
      </c>
      <c r="K178" s="1138">
        <f t="shared" si="11"/>
        <v>0.5</v>
      </c>
      <c r="L178" s="1139">
        <v>20</v>
      </c>
      <c r="M178" s="1139">
        <v>20</v>
      </c>
      <c r="N178" s="1140"/>
      <c r="O178" s="1141">
        <f t="shared" si="14"/>
        <v>5054400</v>
      </c>
      <c r="P178" s="1155">
        <v>23</v>
      </c>
      <c r="Q178" s="1142">
        <f t="shared" si="13"/>
        <v>166</v>
      </c>
      <c r="R178" s="1143">
        <f>VLOOKUP(B178,'[28]CN BC'!$F$10:$K$270,6,FALSE)</f>
        <v>0</v>
      </c>
      <c r="S178" s="1656"/>
      <c r="T178" s="1146"/>
      <c r="U178" s="1146"/>
      <c r="V178" s="1146"/>
    </row>
    <row r="179" spans="1:22" s="1148" customFormat="1" ht="28.5" customHeight="1">
      <c r="A179" s="1132">
        <f>_xlfn.AGGREGATE(4,7,A$12:A178)+1</f>
        <v>167</v>
      </c>
      <c r="B179" s="1133" t="s">
        <v>2011</v>
      </c>
      <c r="C179" s="1153"/>
      <c r="D179" s="1154"/>
      <c r="E179" s="1058" t="str">
        <f>VLOOKUP(B179,TH.Q2!B97:E428,4,FALSE)</f>
        <v>Giảng viên khoa CNTT</v>
      </c>
      <c r="F179" s="1136">
        <v>2.67</v>
      </c>
      <c r="G179" s="1137"/>
      <c r="H179" s="1393">
        <f t="shared" si="10"/>
        <v>0</v>
      </c>
      <c r="I179" s="1138"/>
      <c r="J179" s="1138" t="str">
        <f>VLOOKUP(B179,'[27]Gui chi Quynh'!$B$11:$E$388,4,FALSE)</f>
        <v>A3</v>
      </c>
      <c r="K179" s="1138">
        <f t="shared" si="11"/>
        <v>0.6</v>
      </c>
      <c r="L179" s="1139">
        <v>20</v>
      </c>
      <c r="M179" s="1139">
        <v>20</v>
      </c>
      <c r="N179" s="1140"/>
      <c r="O179" s="1141">
        <f t="shared" si="14"/>
        <v>3748680</v>
      </c>
      <c r="P179" s="1155"/>
      <c r="Q179" s="1142">
        <f t="shared" si="13"/>
        <v>167</v>
      </c>
      <c r="R179" s="1143">
        <f>VLOOKUP(B179,'[28]CN BC'!$F$10:$K$270,6,FALSE)</f>
        <v>0</v>
      </c>
      <c r="S179" s="1656"/>
    </row>
    <row r="180" spans="1:22" s="1148" customFormat="1" ht="28.5" customHeight="1">
      <c r="A180" s="1132">
        <f>_xlfn.AGGREGATE(4,7,A$12:A179)+1</f>
        <v>168</v>
      </c>
      <c r="B180" s="1133" t="s">
        <v>2017</v>
      </c>
      <c r="C180" s="1153"/>
      <c r="D180" s="1154"/>
      <c r="E180" s="383" t="str">
        <f>VLOOKUP(B180,TH.Q2!B98:E429,4,FALSE)</f>
        <v>Giảng viên khoa CNTT</v>
      </c>
      <c r="F180" s="1136">
        <v>2.34</v>
      </c>
      <c r="G180" s="1137"/>
      <c r="H180" s="1400">
        <f t="shared" si="10"/>
        <v>0</v>
      </c>
      <c r="I180" s="1138"/>
      <c r="J180" s="1138" t="str">
        <f>VLOOKUP(B180,'[27]Gui chi Quynh'!$B$11:$E$388,4,FALSE)</f>
        <v>A3</v>
      </c>
      <c r="K180" s="1138">
        <f t="shared" si="11"/>
        <v>0.6</v>
      </c>
      <c r="L180" s="1139">
        <v>20</v>
      </c>
      <c r="M180" s="1139">
        <v>20</v>
      </c>
      <c r="N180" s="1155"/>
      <c r="O180" s="1141">
        <f t="shared" ref="O180:O211" si="15">(((F180+H180+I180)*$O$9/L180*M180)*K180)+N180</f>
        <v>3285360</v>
      </c>
      <c r="P180" s="1155"/>
      <c r="Q180" s="1142">
        <f t="shared" si="13"/>
        <v>168</v>
      </c>
      <c r="R180" s="1143">
        <f>VLOOKUP(B180,'[28]CN BC'!$F$10:$K$270,6,FALSE)</f>
        <v>0</v>
      </c>
      <c r="S180" s="1656"/>
    </row>
    <row r="181" spans="1:22" s="1148" customFormat="1" ht="28.5" customHeight="1">
      <c r="A181" s="1132">
        <f>_xlfn.AGGREGATE(4,7,A$12:A180)+1</f>
        <v>169</v>
      </c>
      <c r="B181" s="1133" t="s">
        <v>1885</v>
      </c>
      <c r="C181" s="1153" t="s">
        <v>1757</v>
      </c>
      <c r="D181" s="1154" t="s">
        <v>1368</v>
      </c>
      <c r="E181" s="1058" t="str">
        <f>VLOOKUP(B181,TH.Q2!B99:E430,4,FALSE)</f>
        <v>Trưởng khoa Cơ khí</v>
      </c>
      <c r="F181" s="1136">
        <v>4.6500000000000004</v>
      </c>
      <c r="G181" s="1137"/>
      <c r="H181" s="1393">
        <f t="shared" si="10"/>
        <v>0</v>
      </c>
      <c r="I181" s="1138">
        <v>0.45</v>
      </c>
      <c r="J181" s="1138" t="str">
        <f>VLOOKUP(B181,'[27]Gui chi Quynh'!$B$11:$E$388,4,FALSE)</f>
        <v>A2</v>
      </c>
      <c r="K181" s="1138">
        <f t="shared" si="11"/>
        <v>0.7</v>
      </c>
      <c r="L181" s="1139">
        <v>20</v>
      </c>
      <c r="M181" s="1139">
        <v>20</v>
      </c>
      <c r="N181" s="1140"/>
      <c r="O181" s="1141">
        <f t="shared" si="15"/>
        <v>8353800.0000000009</v>
      </c>
      <c r="P181" s="1140">
        <v>27</v>
      </c>
      <c r="Q181" s="1142">
        <f t="shared" si="13"/>
        <v>169</v>
      </c>
      <c r="R181" s="1143">
        <f>VLOOKUP(B181,'[28]CN BC'!$F$10:$K$270,6,FALSE)</f>
        <v>0</v>
      </c>
      <c r="S181" s="1656"/>
      <c r="T181" s="1146"/>
      <c r="U181" s="1146"/>
      <c r="V181" s="1146"/>
    </row>
    <row r="182" spans="1:22" s="1146" customFormat="1" ht="26.25" customHeight="1">
      <c r="A182" s="1132">
        <f>_xlfn.AGGREGATE(4,7,A$12:A181)+1</f>
        <v>170</v>
      </c>
      <c r="B182" s="1172" t="s">
        <v>1886</v>
      </c>
      <c r="C182" s="1149" t="s">
        <v>1758</v>
      </c>
      <c r="D182" s="1173" t="s">
        <v>1363</v>
      </c>
      <c r="E182" s="1058" t="str">
        <f>VLOOKUP(B182,TH.Q2!B100:E431,4,FALSE)</f>
        <v>Giảng viên khoa Cơ khí</v>
      </c>
      <c r="F182" s="1174">
        <v>4.9800000000000004</v>
      </c>
      <c r="G182" s="1175">
        <v>0.08</v>
      </c>
      <c r="H182" s="1393">
        <f t="shared" si="10"/>
        <v>0.39800000000000002</v>
      </c>
      <c r="I182" s="1176"/>
      <c r="J182" s="1138" t="str">
        <f>VLOOKUP(B182,'[27]Gui chi Quynh'!$B$11:$E$388,4,FALSE)</f>
        <v>A4</v>
      </c>
      <c r="K182" s="1138">
        <f t="shared" si="11"/>
        <v>0.5</v>
      </c>
      <c r="L182" s="1139">
        <v>20</v>
      </c>
      <c r="M182" s="1139">
        <v>20</v>
      </c>
      <c r="N182" s="1140"/>
      <c r="O182" s="1141">
        <f t="shared" si="15"/>
        <v>6292260</v>
      </c>
      <c r="P182" s="1140">
        <v>23</v>
      </c>
      <c r="Q182" s="1142">
        <f t="shared" si="13"/>
        <v>170</v>
      </c>
      <c r="R182" s="1143">
        <f>VLOOKUP(B182,'[28]CN BC'!$F$10:$K$270,6,FALSE)</f>
        <v>0</v>
      </c>
      <c r="S182" s="1656"/>
    </row>
    <row r="183" spans="1:22" s="1148" customFormat="1" ht="31.5" customHeight="1">
      <c r="A183" s="1132">
        <f>_xlfn.AGGREGATE(4,7,A$12:A182)+1</f>
        <v>171</v>
      </c>
      <c r="B183" s="1133" t="s">
        <v>1887</v>
      </c>
      <c r="C183" s="1153" t="s">
        <v>1759</v>
      </c>
      <c r="D183" s="1154" t="s">
        <v>1364</v>
      </c>
      <c r="E183" s="383" t="str">
        <f>VLOOKUP(B183,TH.Q2!B101:E432,4,FALSE)</f>
        <v>Giảng viên khoa Cơ khí</v>
      </c>
      <c r="F183" s="1136">
        <v>4.9800000000000004</v>
      </c>
      <c r="G183" s="1137">
        <v>0.08</v>
      </c>
      <c r="H183" s="1400">
        <f t="shared" si="10"/>
        <v>0.39800000000000002</v>
      </c>
      <c r="I183" s="1138"/>
      <c r="J183" s="1138" t="str">
        <f>VLOOKUP(B183,'[27]Gui chi Quynh'!$B$11:$E$388,4,FALSE)</f>
        <v>A3</v>
      </c>
      <c r="K183" s="1138">
        <f t="shared" si="11"/>
        <v>0.6</v>
      </c>
      <c r="L183" s="1139">
        <v>20</v>
      </c>
      <c r="M183" s="1139">
        <v>20</v>
      </c>
      <c r="N183" s="1155"/>
      <c r="O183" s="1141">
        <f t="shared" si="15"/>
        <v>7550712</v>
      </c>
      <c r="P183" s="1155">
        <v>23</v>
      </c>
      <c r="Q183" s="1142">
        <f t="shared" si="13"/>
        <v>171</v>
      </c>
      <c r="R183" s="1143">
        <f>VLOOKUP(B183,'[28]CN BC'!$F$10:$K$270,6,FALSE)</f>
        <v>0</v>
      </c>
      <c r="S183" s="1656"/>
    </row>
    <row r="184" spans="1:22" s="1148" customFormat="1" ht="25.5" customHeight="1">
      <c r="A184" s="1132">
        <f>_xlfn.AGGREGATE(4,7,A$12:A183)+1</f>
        <v>172</v>
      </c>
      <c r="B184" s="1133" t="s">
        <v>1888</v>
      </c>
      <c r="C184" s="1153" t="s">
        <v>1760</v>
      </c>
      <c r="D184" s="1154" t="s">
        <v>1369</v>
      </c>
      <c r="E184" s="1058" t="str">
        <f>VLOOKUP(B184,TH.Q2!B102:E433,4,FALSE)</f>
        <v>Giảng viên khoa Cơ khí</v>
      </c>
      <c r="F184" s="1136">
        <v>4.32</v>
      </c>
      <c r="G184" s="1137"/>
      <c r="H184" s="1393">
        <f t="shared" si="10"/>
        <v>0</v>
      </c>
      <c r="I184" s="1138"/>
      <c r="J184" s="1138" t="str">
        <f>VLOOKUP(B184,'[27]Gui chi Quynh'!$B$11:$E$388,4,FALSE)</f>
        <v>A3</v>
      </c>
      <c r="K184" s="1138">
        <f t="shared" si="11"/>
        <v>0.6</v>
      </c>
      <c r="L184" s="1139">
        <v>20</v>
      </c>
      <c r="M184" s="1139">
        <v>20</v>
      </c>
      <c r="N184" s="1140"/>
      <c r="O184" s="1141">
        <f t="shared" si="15"/>
        <v>6065280</v>
      </c>
      <c r="P184" s="1140">
        <v>23</v>
      </c>
      <c r="Q184" s="1142">
        <f t="shared" si="13"/>
        <v>172</v>
      </c>
      <c r="R184" s="1143">
        <f>VLOOKUP(B184,'[28]CN BC'!$F$10:$K$270,6,FALSE)</f>
        <v>0</v>
      </c>
      <c r="S184" s="1656"/>
      <c r="T184" s="1146"/>
      <c r="U184" s="1146"/>
      <c r="V184" s="1146"/>
    </row>
    <row r="185" spans="1:22" s="1148" customFormat="1" ht="25.5" customHeight="1">
      <c r="A185" s="1132">
        <f>_xlfn.AGGREGATE(4,7,A$12:A184)+1</f>
        <v>173</v>
      </c>
      <c r="B185" s="1133" t="s">
        <v>1889</v>
      </c>
      <c r="C185" s="1153" t="s">
        <v>1761</v>
      </c>
      <c r="D185" s="1154" t="s">
        <v>42</v>
      </c>
      <c r="E185" s="1058" t="str">
        <f>VLOOKUP(B185,TH.Q2!B103:E434,4,FALSE)</f>
        <v>Giảng viên khoa Cơ khí</v>
      </c>
      <c r="F185" s="1136">
        <v>4.9800000000000004</v>
      </c>
      <c r="G185" s="1137">
        <v>0.16</v>
      </c>
      <c r="H185" s="1393">
        <f t="shared" si="10"/>
        <v>0.79700000000000004</v>
      </c>
      <c r="I185" s="1138"/>
      <c r="J185" s="1138" t="str">
        <f>VLOOKUP(B185,'[27]Gui chi Quynh'!$B$11:$E$388,4,FALSE)</f>
        <v>A4</v>
      </c>
      <c r="K185" s="1138">
        <f t="shared" si="11"/>
        <v>0.5</v>
      </c>
      <c r="L185" s="1139">
        <v>20</v>
      </c>
      <c r="M185" s="1139">
        <v>20</v>
      </c>
      <c r="N185" s="1140"/>
      <c r="O185" s="1141">
        <f t="shared" si="15"/>
        <v>6759090</v>
      </c>
      <c r="P185" s="1140">
        <v>23</v>
      </c>
      <c r="Q185" s="1142">
        <f t="shared" si="13"/>
        <v>173</v>
      </c>
      <c r="R185" s="1143">
        <f>VLOOKUP(B185,'[28]CN BC'!$F$10:$K$270,6,FALSE)</f>
        <v>0</v>
      </c>
      <c r="S185" s="1656"/>
      <c r="T185" s="1146"/>
      <c r="U185" s="1146"/>
      <c r="V185" s="1146"/>
    </row>
    <row r="186" spans="1:22" s="1148" customFormat="1" ht="25.5" customHeight="1">
      <c r="A186" s="1132">
        <f>_xlfn.AGGREGATE(4,7,A$12:A185)+1</f>
        <v>174</v>
      </c>
      <c r="B186" s="1133" t="s">
        <v>1890</v>
      </c>
      <c r="C186" s="1153" t="s">
        <v>1762</v>
      </c>
      <c r="D186" s="1154" t="s">
        <v>1367</v>
      </c>
      <c r="E186" s="1058" t="str">
        <f>VLOOKUP(B186,TH.Q2!B104:E435,4,FALSE)</f>
        <v>Giảng viên khoa Cơ khí</v>
      </c>
      <c r="F186" s="1136">
        <v>4.6500000000000004</v>
      </c>
      <c r="G186" s="1137"/>
      <c r="H186" s="1393">
        <f t="shared" si="10"/>
        <v>0</v>
      </c>
      <c r="I186" s="1138">
        <f>0.25</f>
        <v>0.25</v>
      </c>
      <c r="J186" s="1138" t="str">
        <f>VLOOKUP(B186,'[27]Gui chi Quynh'!$B$11:$E$388,4,FALSE)</f>
        <v>A2</v>
      </c>
      <c r="K186" s="1138">
        <f t="shared" si="11"/>
        <v>0.7</v>
      </c>
      <c r="L186" s="1139">
        <v>20</v>
      </c>
      <c r="M186" s="1139">
        <v>20</v>
      </c>
      <c r="N186" s="1140"/>
      <c r="O186" s="1141">
        <f t="shared" si="15"/>
        <v>8026199.9999999991</v>
      </c>
      <c r="P186" s="1140">
        <v>23</v>
      </c>
      <c r="Q186" s="1142">
        <f t="shared" si="13"/>
        <v>174</v>
      </c>
      <c r="R186" s="1143">
        <f>VLOOKUP(B186,'[28]CN BC'!$F$10:$K$270,6,FALSE)</f>
        <v>0</v>
      </c>
      <c r="S186" s="1656"/>
      <c r="T186" s="1146"/>
      <c r="U186" s="1146"/>
      <c r="V186" s="1146"/>
    </row>
    <row r="187" spans="1:22" s="1148" customFormat="1" ht="25.5" customHeight="1">
      <c r="A187" s="1132">
        <f>_xlfn.AGGREGATE(4,7,A$12:A186)+1</f>
        <v>175</v>
      </c>
      <c r="B187" s="1133" t="s">
        <v>1891</v>
      </c>
      <c r="C187" s="1153" t="s">
        <v>1763</v>
      </c>
      <c r="D187" s="1154" t="s">
        <v>1377</v>
      </c>
      <c r="E187" s="383" t="str">
        <f>VLOOKUP(B187,TH.Q2!B105:E436,4,FALSE)</f>
        <v>Giảng viên khoa Cơ khí</v>
      </c>
      <c r="F187" s="1136">
        <v>4.9800000000000004</v>
      </c>
      <c r="G187" s="1137">
        <v>7.0000000000000007E-2</v>
      </c>
      <c r="H187" s="1400">
        <f t="shared" si="10"/>
        <v>0.34899999999999998</v>
      </c>
      <c r="I187" s="1138">
        <v>0.25</v>
      </c>
      <c r="J187" s="1138" t="str">
        <f>VLOOKUP(B187,'[27]Gui chi Quynh'!$B$11:$E$388,4,FALSE)</f>
        <v>A3</v>
      </c>
      <c r="K187" s="1138">
        <f t="shared" si="11"/>
        <v>0.6</v>
      </c>
      <c r="L187" s="1139">
        <v>20</v>
      </c>
      <c r="M187" s="1139">
        <v>20</v>
      </c>
      <c r="N187" s="1155"/>
      <c r="O187" s="1141">
        <f t="shared" si="15"/>
        <v>7832916.0000000009</v>
      </c>
      <c r="P187" s="1155">
        <v>23</v>
      </c>
      <c r="Q187" s="1142">
        <f t="shared" si="13"/>
        <v>175</v>
      </c>
      <c r="R187" s="1143">
        <f>VLOOKUP(B187,'[28]CN BC'!$F$10:$K$270,6,FALSE)</f>
        <v>0</v>
      </c>
      <c r="S187" s="1656"/>
    </row>
    <row r="188" spans="1:22" s="1148" customFormat="1" ht="25.5" customHeight="1">
      <c r="A188" s="1132">
        <f>_xlfn.AGGREGATE(4,7,A$12:A187)+1</f>
        <v>176</v>
      </c>
      <c r="B188" s="1133" t="s">
        <v>1525</v>
      </c>
      <c r="C188" s="1153" t="s">
        <v>1764</v>
      </c>
      <c r="D188" s="1154" t="s">
        <v>1372</v>
      </c>
      <c r="E188" s="1058" t="str">
        <f>VLOOKUP(B188,TH.Q2!B106:E437,4,FALSE)</f>
        <v>Giảng viên khoa Cơ khí</v>
      </c>
      <c r="F188" s="1160">
        <v>3.99</v>
      </c>
      <c r="G188" s="1137"/>
      <c r="H188" s="1393">
        <f t="shared" si="10"/>
        <v>0</v>
      </c>
      <c r="I188" s="1138"/>
      <c r="J188" s="1138" t="str">
        <f>VLOOKUP(B188,'[27]Gui chi Quynh'!$B$11:$E$388,4,FALSE)</f>
        <v>A3</v>
      </c>
      <c r="K188" s="1138">
        <f t="shared" si="11"/>
        <v>0.6</v>
      </c>
      <c r="L188" s="1139">
        <v>20</v>
      </c>
      <c r="M188" s="1139">
        <v>20</v>
      </c>
      <c r="N188" s="1140"/>
      <c r="O188" s="1141">
        <f t="shared" si="15"/>
        <v>5601960</v>
      </c>
      <c r="P188" s="1140">
        <v>23</v>
      </c>
      <c r="Q188" s="1142">
        <f t="shared" si="13"/>
        <v>176</v>
      </c>
      <c r="R188" s="1143">
        <f>VLOOKUP(B188,'[28]CN BC'!$F$10:$K$270,6,FALSE)</f>
        <v>0</v>
      </c>
      <c r="S188" s="1656"/>
      <c r="T188" s="1146"/>
      <c r="U188" s="1146"/>
      <c r="V188" s="1146"/>
    </row>
    <row r="189" spans="1:22" s="1148" customFormat="1" ht="25.5" customHeight="1">
      <c r="A189" s="1132">
        <f>_xlfn.AGGREGATE(4,7,A$12:A188)+1</f>
        <v>177</v>
      </c>
      <c r="B189" s="1133" t="s">
        <v>1892</v>
      </c>
      <c r="C189" s="1153" t="s">
        <v>1765</v>
      </c>
      <c r="D189" s="1154" t="s">
        <v>1374</v>
      </c>
      <c r="E189" s="383" t="str">
        <f>VLOOKUP(B189,TH.Q2!B107:E438,4,FALSE)</f>
        <v>Giảng viên khoa Cơ khí</v>
      </c>
      <c r="F189" s="1136">
        <v>4.9800000000000004</v>
      </c>
      <c r="G189" s="1137">
        <v>0.06</v>
      </c>
      <c r="H189" s="1400">
        <f t="shared" si="10"/>
        <v>0.29899999999999999</v>
      </c>
      <c r="I189" s="1138"/>
      <c r="J189" s="1138" t="str">
        <f>VLOOKUP(B189,'[27]Gui chi Quynh'!$B$11:$E$388,4,FALSE)</f>
        <v>A4</v>
      </c>
      <c r="K189" s="1138">
        <f t="shared" si="11"/>
        <v>0.5</v>
      </c>
      <c r="L189" s="1139">
        <v>20</v>
      </c>
      <c r="M189" s="1139">
        <v>20</v>
      </c>
      <c r="N189" s="1155"/>
      <c r="O189" s="1141">
        <f t="shared" si="15"/>
        <v>6176430.0000000009</v>
      </c>
      <c r="P189" s="1155">
        <v>23</v>
      </c>
      <c r="Q189" s="1142">
        <f t="shared" si="13"/>
        <v>177</v>
      </c>
      <c r="R189" s="1143">
        <f>VLOOKUP(B189,'[28]CN BC'!$F$10:$K$270,6,FALSE)</f>
        <v>0</v>
      </c>
      <c r="S189" s="1656"/>
    </row>
    <row r="190" spans="1:22" s="1148" customFormat="1" ht="25.5" customHeight="1">
      <c r="A190" s="1132">
        <f>_xlfn.AGGREGATE(4,7,A$12:A189)+1</f>
        <v>178</v>
      </c>
      <c r="B190" s="1133" t="s">
        <v>1526</v>
      </c>
      <c r="C190" s="1153" t="s">
        <v>1766</v>
      </c>
      <c r="D190" s="1188" t="s">
        <v>1939</v>
      </c>
      <c r="E190" s="383" t="str">
        <f>VLOOKUP(B190,TH.Q2!B108:E439,4,FALSE)</f>
        <v>Phó Trưởng khoa Cơ khí</v>
      </c>
      <c r="F190" s="1160">
        <v>3.99</v>
      </c>
      <c r="G190" s="1137"/>
      <c r="H190" s="1400">
        <f t="shared" si="10"/>
        <v>0</v>
      </c>
      <c r="I190" s="1138">
        <v>0.35</v>
      </c>
      <c r="J190" s="1138" t="str">
        <f>VLOOKUP(B190,'[27]Gui chi Quynh'!$B$11:$E$388,4,FALSE)</f>
        <v>A3</v>
      </c>
      <c r="K190" s="1138">
        <f t="shared" si="11"/>
        <v>0.6</v>
      </c>
      <c r="L190" s="1139">
        <v>20</v>
      </c>
      <c r="M190" s="1139">
        <v>20</v>
      </c>
      <c r="N190" s="1155"/>
      <c r="O190" s="1141">
        <f t="shared" si="15"/>
        <v>6093360</v>
      </c>
      <c r="P190" s="1155">
        <v>23</v>
      </c>
      <c r="Q190" s="1142">
        <f t="shared" si="13"/>
        <v>178</v>
      </c>
      <c r="R190" s="1143">
        <f>VLOOKUP(B190,'[28]CN BC'!$F$10:$K$270,6,FALSE)</f>
        <v>0</v>
      </c>
      <c r="S190" s="1656"/>
    </row>
    <row r="191" spans="1:22" s="1148" customFormat="1" ht="26.25" customHeight="1">
      <c r="A191" s="1132">
        <f>_xlfn.AGGREGATE(4,7,A$12:A190)+1</f>
        <v>179</v>
      </c>
      <c r="B191" s="1133" t="s">
        <v>1527</v>
      </c>
      <c r="C191" s="1153" t="s">
        <v>1767</v>
      </c>
      <c r="D191" s="1154" t="s">
        <v>1379</v>
      </c>
      <c r="E191" s="383" t="str">
        <f>VLOOKUP(B191,TH.Q2!B109:E440,4,FALSE)</f>
        <v>Giảng viên khoa Cơ khí</v>
      </c>
      <c r="F191" s="1160">
        <v>3.99</v>
      </c>
      <c r="G191" s="1137"/>
      <c r="H191" s="1400">
        <f t="shared" si="10"/>
        <v>0</v>
      </c>
      <c r="I191" s="1138"/>
      <c r="J191" s="1138" t="str">
        <f>VLOOKUP(B191,'[27]Gui chi Quynh'!$B$11:$E$388,4,FALSE)</f>
        <v>A1</v>
      </c>
      <c r="K191" s="1138">
        <f t="shared" si="11"/>
        <v>0.8</v>
      </c>
      <c r="L191" s="1139">
        <v>20</v>
      </c>
      <c r="M191" s="1139">
        <v>20</v>
      </c>
      <c r="N191" s="1155"/>
      <c r="O191" s="1141">
        <f t="shared" si="15"/>
        <v>7469280</v>
      </c>
      <c r="P191" s="1155">
        <v>23</v>
      </c>
      <c r="Q191" s="1142">
        <f t="shared" si="13"/>
        <v>179</v>
      </c>
      <c r="R191" s="1143">
        <f>VLOOKUP(B191,'[28]CN BC'!$F$10:$K$270,6,FALSE)</f>
        <v>0</v>
      </c>
      <c r="S191" s="1656"/>
    </row>
    <row r="192" spans="1:22" s="1148" customFormat="1" ht="27.75" customHeight="1">
      <c r="A192" s="1132">
        <f>_xlfn.AGGREGATE(4,7,A$12:A191)+1</f>
        <v>180</v>
      </c>
      <c r="B192" s="1133" t="s">
        <v>1893</v>
      </c>
      <c r="C192" s="1153" t="s">
        <v>1768</v>
      </c>
      <c r="D192" s="1154" t="s">
        <v>387</v>
      </c>
      <c r="E192" s="1058" t="str">
        <f>VLOOKUP(B192,TH.Q2!B110:E441,4,FALSE)</f>
        <v>Giảng viên khoa Cơ khí</v>
      </c>
      <c r="F192" s="1160">
        <v>3.66</v>
      </c>
      <c r="G192" s="1137"/>
      <c r="H192" s="1393">
        <f t="shared" si="10"/>
        <v>0</v>
      </c>
      <c r="I192" s="1138"/>
      <c r="J192" s="1138" t="str">
        <f>VLOOKUP(B192,'[27]Gui chi Quynh'!$B$11:$E$388,4,FALSE)</f>
        <v>A3</v>
      </c>
      <c r="K192" s="1138">
        <f t="shared" si="11"/>
        <v>0.6</v>
      </c>
      <c r="L192" s="1139">
        <v>20</v>
      </c>
      <c r="M192" s="1139">
        <v>20</v>
      </c>
      <c r="N192" s="1140"/>
      <c r="O192" s="1141">
        <f t="shared" si="15"/>
        <v>5138640</v>
      </c>
      <c r="P192" s="1140">
        <v>23</v>
      </c>
      <c r="Q192" s="1142">
        <f t="shared" si="13"/>
        <v>180</v>
      </c>
      <c r="R192" s="1143">
        <f>VLOOKUP(B192,'[28]CN BC'!$F$10:$K$270,6,FALSE)</f>
        <v>0</v>
      </c>
      <c r="S192" s="1656"/>
      <c r="T192" s="1146"/>
      <c r="U192" s="1146"/>
      <c r="V192" s="1146"/>
    </row>
    <row r="193" spans="1:26" s="1148" customFormat="1" ht="27.75" customHeight="1">
      <c r="A193" s="1132">
        <f>_xlfn.AGGREGATE(4,7,A$12:A192)+1</f>
        <v>181</v>
      </c>
      <c r="B193" s="1133" t="s">
        <v>1894</v>
      </c>
      <c r="C193" s="1153" t="s">
        <v>1769</v>
      </c>
      <c r="D193" s="1154" t="s">
        <v>388</v>
      </c>
      <c r="E193" s="1058" t="str">
        <f>VLOOKUP(B193,TH.Q2!B111:E442,4,FALSE)</f>
        <v>Giảng viên khoa Cơ khí</v>
      </c>
      <c r="F193" s="1160">
        <v>3.66</v>
      </c>
      <c r="G193" s="1137"/>
      <c r="H193" s="1393">
        <f t="shared" si="10"/>
        <v>0</v>
      </c>
      <c r="I193" s="1138"/>
      <c r="J193" s="1138" t="str">
        <f>VLOOKUP(B193,'[27]Gui chi Quynh'!$B$11:$E$388,4,FALSE)</f>
        <v>A4</v>
      </c>
      <c r="K193" s="1138">
        <f t="shared" si="11"/>
        <v>0.5</v>
      </c>
      <c r="L193" s="1139">
        <v>20</v>
      </c>
      <c r="M193" s="1139">
        <v>20</v>
      </c>
      <c r="N193" s="1140"/>
      <c r="O193" s="1141">
        <f t="shared" si="15"/>
        <v>4282200</v>
      </c>
      <c r="P193" s="1140">
        <v>23</v>
      </c>
      <c r="Q193" s="1142">
        <f t="shared" si="13"/>
        <v>181</v>
      </c>
      <c r="R193" s="1143">
        <f>VLOOKUP(B193,'[28]CN BC'!$F$10:$K$270,6,FALSE)</f>
        <v>0</v>
      </c>
      <c r="S193" s="1656"/>
      <c r="T193" s="1146"/>
      <c r="U193" s="1146"/>
      <c r="V193" s="1146"/>
    </row>
    <row r="194" spans="1:26" s="1148" customFormat="1" ht="32.25" customHeight="1">
      <c r="A194" s="1132">
        <f>_xlfn.AGGREGATE(4,7,A$12:A193)+1</f>
        <v>182</v>
      </c>
      <c r="B194" s="1133" t="s">
        <v>2023</v>
      </c>
      <c r="C194" s="1153" t="s">
        <v>1770</v>
      </c>
      <c r="D194" s="1154" t="s">
        <v>386</v>
      </c>
      <c r="E194" s="1058" t="str">
        <f>VLOOKUP(B194,TH.Q2!B112:E443,4,FALSE)</f>
        <v>Giảng viên khoa Cơ khí</v>
      </c>
      <c r="F194" s="1160">
        <v>3.66</v>
      </c>
      <c r="G194" s="1137"/>
      <c r="H194" s="1393">
        <f t="shared" si="10"/>
        <v>0</v>
      </c>
      <c r="I194" s="1138"/>
      <c r="J194" s="1138" t="str">
        <f>VLOOKUP(B194,'[27]Gui chi Quynh'!$B$11:$E$388,4,FALSE)</f>
        <v>A4</v>
      </c>
      <c r="K194" s="1138">
        <f t="shared" si="11"/>
        <v>0.5</v>
      </c>
      <c r="L194" s="1139">
        <v>20</v>
      </c>
      <c r="M194" s="1139">
        <v>20</v>
      </c>
      <c r="N194" s="1140"/>
      <c r="O194" s="1141">
        <f t="shared" si="15"/>
        <v>4282200</v>
      </c>
      <c r="P194" s="1155">
        <v>23</v>
      </c>
      <c r="Q194" s="1142">
        <f t="shared" si="13"/>
        <v>182</v>
      </c>
      <c r="R194" s="1143">
        <f>VLOOKUP(B194,'[28]CN BC'!$F$10:$K$270,6,FALSE)</f>
        <v>0</v>
      </c>
      <c r="S194" s="1656"/>
    </row>
    <row r="195" spans="1:26" s="1148" customFormat="1" ht="30.75" customHeight="1">
      <c r="A195" s="1132">
        <f>_xlfn.AGGREGATE(4,7,A$12:A194)+1</f>
        <v>183</v>
      </c>
      <c r="B195" s="1133" t="s">
        <v>1528</v>
      </c>
      <c r="C195" s="1153" t="s">
        <v>1771</v>
      </c>
      <c r="D195" s="1154" t="s">
        <v>456</v>
      </c>
      <c r="E195" s="383" t="str">
        <f>VLOOKUP(B195,TH.Q2!B113:E444,4,FALSE)</f>
        <v>Giảng viên khoa Cơ khí</v>
      </c>
      <c r="F195" s="1160">
        <v>3.66</v>
      </c>
      <c r="G195" s="1137"/>
      <c r="H195" s="1400">
        <f t="shared" si="10"/>
        <v>0</v>
      </c>
      <c r="I195" s="1138"/>
      <c r="J195" s="1138" t="str">
        <f>VLOOKUP(B195,'[27]Gui chi Quynh'!$B$11:$E$388,4,FALSE)</f>
        <v>A4</v>
      </c>
      <c r="K195" s="1138">
        <f t="shared" si="11"/>
        <v>0.5</v>
      </c>
      <c r="L195" s="1139">
        <v>20</v>
      </c>
      <c r="M195" s="1139">
        <v>20</v>
      </c>
      <c r="N195" s="1155"/>
      <c r="O195" s="1141">
        <f t="shared" si="15"/>
        <v>4282200</v>
      </c>
      <c r="P195" s="1155">
        <v>23</v>
      </c>
      <c r="Q195" s="1142">
        <f t="shared" si="13"/>
        <v>183</v>
      </c>
      <c r="R195" s="1143">
        <f>VLOOKUP(B195,'[28]CN BC'!$F$10:$K$270,6,FALSE)</f>
        <v>0</v>
      </c>
      <c r="S195" s="1658"/>
    </row>
    <row r="196" spans="1:26" s="1148" customFormat="1" ht="30" customHeight="1">
      <c r="A196" s="1132">
        <f>_xlfn.AGGREGATE(4,7,A$12:A195)+1</f>
        <v>184</v>
      </c>
      <c r="B196" s="1133" t="s">
        <v>1529</v>
      </c>
      <c r="C196" s="1153" t="s">
        <v>1772</v>
      </c>
      <c r="D196" s="1154" t="s">
        <v>743</v>
      </c>
      <c r="E196" s="383" t="str">
        <f>VLOOKUP(B196,TH.Q2!B114:E445,4,FALSE)</f>
        <v>Giảng viên - Trưởng BM khoa Cơ khí</v>
      </c>
      <c r="F196" s="1160">
        <v>3.66</v>
      </c>
      <c r="G196" s="1137"/>
      <c r="H196" s="1400">
        <f t="shared" si="10"/>
        <v>0</v>
      </c>
      <c r="I196" s="1138">
        <v>0.25</v>
      </c>
      <c r="J196" s="1138" t="str">
        <f>VLOOKUP(B196,'[27]Gui chi Quynh'!$B$11:$E$388,4,FALSE)</f>
        <v>A1</v>
      </c>
      <c r="K196" s="1138">
        <f t="shared" si="11"/>
        <v>0.8</v>
      </c>
      <c r="L196" s="1139">
        <v>20</v>
      </c>
      <c r="M196" s="1139">
        <v>20</v>
      </c>
      <c r="N196" s="1155"/>
      <c r="O196" s="1141">
        <f t="shared" si="15"/>
        <v>7319520</v>
      </c>
      <c r="P196" s="1155">
        <v>23</v>
      </c>
      <c r="Q196" s="1142">
        <f t="shared" si="13"/>
        <v>184</v>
      </c>
      <c r="R196" s="1143">
        <f>VLOOKUP(B196,'[28]CN BC'!$F$10:$K$270,6,FALSE)</f>
        <v>0</v>
      </c>
      <c r="S196" s="1656"/>
    </row>
    <row r="197" spans="1:26" s="1148" customFormat="1" ht="30" customHeight="1">
      <c r="A197" s="1132">
        <f>_xlfn.AGGREGATE(4,7,A$12:A196)+1</f>
        <v>185</v>
      </c>
      <c r="B197" s="1133" t="s">
        <v>1530</v>
      </c>
      <c r="C197" s="1153" t="s">
        <v>1773</v>
      </c>
      <c r="D197" s="1179">
        <v>1603205357641</v>
      </c>
      <c r="E197" s="383" t="str">
        <f>VLOOKUP(B197,TH.Q2!B115:E446,4,FALSE)</f>
        <v>Giảng viên khoa Cơ khí</v>
      </c>
      <c r="F197" s="1160">
        <v>3.66</v>
      </c>
      <c r="G197" s="1137"/>
      <c r="H197" s="1400">
        <f t="shared" si="10"/>
        <v>0</v>
      </c>
      <c r="I197" s="1138"/>
      <c r="J197" s="1138" t="str">
        <f>VLOOKUP(B197,'[27]Gui chi Quynh'!$B$11:$E$388,4,FALSE)</f>
        <v>A4</v>
      </c>
      <c r="K197" s="1138">
        <f t="shared" si="11"/>
        <v>0.5</v>
      </c>
      <c r="L197" s="1139">
        <v>20</v>
      </c>
      <c r="M197" s="1139">
        <v>20</v>
      </c>
      <c r="N197" s="1155"/>
      <c r="O197" s="1141">
        <f t="shared" si="15"/>
        <v>4282200</v>
      </c>
      <c r="P197" s="1155">
        <v>23</v>
      </c>
      <c r="Q197" s="1142">
        <f t="shared" si="13"/>
        <v>185</v>
      </c>
      <c r="R197" s="1143">
        <f>VLOOKUP(B197,'[28]CN BC'!$F$10:$K$270,6,FALSE)</f>
        <v>0</v>
      </c>
      <c r="S197" s="1656"/>
    </row>
    <row r="198" spans="1:26" s="1148" customFormat="1" ht="25.9" customHeight="1">
      <c r="A198" s="1132">
        <f>_xlfn.AGGREGATE(4,7,A$12:A197)+1</f>
        <v>186</v>
      </c>
      <c r="B198" s="1133" t="s">
        <v>1531</v>
      </c>
      <c r="C198" s="1149" t="s">
        <v>1774</v>
      </c>
      <c r="D198" s="1179">
        <v>1603205357120</v>
      </c>
      <c r="E198" s="1058" t="str">
        <f>VLOOKUP(B198,TH.Q2!B116:E447,4,FALSE)</f>
        <v>Giảng viên khoa Cơ khí</v>
      </c>
      <c r="F198" s="1160">
        <v>3.33</v>
      </c>
      <c r="G198" s="1137"/>
      <c r="H198" s="1393">
        <f t="shared" si="10"/>
        <v>0</v>
      </c>
      <c r="I198" s="1138"/>
      <c r="J198" s="1138" t="str">
        <f>VLOOKUP(B198,'[27]Gui chi Quynh'!$B$11:$E$388,4,FALSE)</f>
        <v>A3</v>
      </c>
      <c r="K198" s="1138">
        <f t="shared" si="11"/>
        <v>0.6</v>
      </c>
      <c r="L198" s="1139">
        <v>20</v>
      </c>
      <c r="M198" s="1139">
        <v>20</v>
      </c>
      <c r="N198" s="1140"/>
      <c r="O198" s="1141">
        <f t="shared" si="15"/>
        <v>4675320</v>
      </c>
      <c r="P198" s="1140">
        <v>23</v>
      </c>
      <c r="Q198" s="1142">
        <f t="shared" si="13"/>
        <v>186</v>
      </c>
      <c r="R198" s="1143">
        <f>VLOOKUP(B198,'[28]CN BC'!$F$10:$K$270,6,FALSE)</f>
        <v>0</v>
      </c>
      <c r="S198" s="1656"/>
      <c r="T198" s="1146"/>
      <c r="U198" s="1146"/>
      <c r="V198" s="1146"/>
      <c r="W198" s="1146"/>
      <c r="X198" s="1146"/>
      <c r="Y198" s="1146"/>
      <c r="Z198" s="1146"/>
    </row>
    <row r="199" spans="1:26" s="1148" customFormat="1" ht="32.25" customHeight="1">
      <c r="A199" s="1132">
        <f>_xlfn.AGGREGATE(4,7,A$12:A198)+1</f>
        <v>187</v>
      </c>
      <c r="B199" s="1133" t="s">
        <v>1895</v>
      </c>
      <c r="C199" s="1153" t="s">
        <v>1775</v>
      </c>
      <c r="D199" s="1154" t="s">
        <v>1261</v>
      </c>
      <c r="E199" s="383" t="str">
        <f>VLOOKUP(B199,TH.Q2!B117:E448,4,FALSE)</f>
        <v>Giảng viên khoa Cơ khí</v>
      </c>
      <c r="F199" s="1136">
        <v>4.9800000000000004</v>
      </c>
      <c r="G199" s="1137">
        <v>0.08</v>
      </c>
      <c r="H199" s="1400">
        <f t="shared" si="10"/>
        <v>0.39800000000000002</v>
      </c>
      <c r="I199" s="1138"/>
      <c r="J199" s="1138" t="str">
        <f>VLOOKUP(B199,'[27]Gui chi Quynh'!$B$11:$E$388,4,FALSE)</f>
        <v>A4</v>
      </c>
      <c r="K199" s="1138">
        <f t="shared" si="11"/>
        <v>0.5</v>
      </c>
      <c r="L199" s="1139">
        <v>20</v>
      </c>
      <c r="M199" s="1139">
        <v>20</v>
      </c>
      <c r="N199" s="1155"/>
      <c r="O199" s="1141">
        <f t="shared" si="15"/>
        <v>6292260</v>
      </c>
      <c r="P199" s="1155">
        <v>23</v>
      </c>
      <c r="Q199" s="1142">
        <f t="shared" si="13"/>
        <v>187</v>
      </c>
      <c r="R199" s="1143">
        <f>VLOOKUP(B199,'[28]CN BC'!$F$10:$K$270,6,FALSE)</f>
        <v>0</v>
      </c>
      <c r="S199" s="1656"/>
    </row>
    <row r="200" spans="1:26" s="1148" customFormat="1" ht="29.25" customHeight="1">
      <c r="A200" s="1132">
        <f>_xlfn.AGGREGATE(4,7,A$12:A199)+1</f>
        <v>188</v>
      </c>
      <c r="B200" s="1133" t="s">
        <v>1532</v>
      </c>
      <c r="C200" s="1149" t="s">
        <v>1777</v>
      </c>
      <c r="D200" s="1150" t="s">
        <v>1594</v>
      </c>
      <c r="E200" s="1058" t="str">
        <f>VLOOKUP(B200,TH.Q2!B119:E450,4,FALSE)</f>
        <v>Giảng viên khoa Cơ khí</v>
      </c>
      <c r="F200" s="1160">
        <v>3.33</v>
      </c>
      <c r="G200" s="1137"/>
      <c r="H200" s="1393">
        <f t="shared" ref="H200:H263" si="16">ROUND(F200*G200,3)</f>
        <v>0</v>
      </c>
      <c r="I200" s="1138"/>
      <c r="J200" s="1138" t="str">
        <f>VLOOKUP(B200,'[27]Gui chi Quynh'!$B$11:$E$388,4,FALSE)</f>
        <v>A1</v>
      </c>
      <c r="K200" s="1138">
        <f t="shared" ref="K200" si="17">IF(J200="A1",0.8,IF(J200="A2",0.7,IF(J200="A3",0.6,IF(J200="A4",0.5,IF(J200="B1",0.35,IF(J200="B2",0.25,IF(J200="C1",0.15,IF(J200="C2",0.1,0))))))))</f>
        <v>0.8</v>
      </c>
      <c r="L200" s="1139">
        <v>20</v>
      </c>
      <c r="M200" s="1139">
        <v>20</v>
      </c>
      <c r="N200" s="1140"/>
      <c r="O200" s="1141">
        <f t="shared" si="15"/>
        <v>6233760</v>
      </c>
      <c r="P200" s="1140">
        <v>23</v>
      </c>
      <c r="Q200" s="1142">
        <f t="shared" si="13"/>
        <v>188</v>
      </c>
      <c r="R200" s="1143">
        <f>VLOOKUP(B200,'[28]CN BC'!$F$10:$K$270,6,FALSE)</f>
        <v>0</v>
      </c>
      <c r="S200" s="1656"/>
      <c r="T200" s="1146"/>
      <c r="U200" s="1146"/>
      <c r="V200" s="1146"/>
      <c r="W200" s="1146"/>
      <c r="X200" s="1146"/>
      <c r="Y200" s="1146"/>
      <c r="Z200" s="1146"/>
    </row>
    <row r="201" spans="1:26" s="1148" customFormat="1" ht="25.5" customHeight="1">
      <c r="A201" s="1132">
        <f>_xlfn.AGGREGATE(4,7,A$12:A200)+1</f>
        <v>189</v>
      </c>
      <c r="B201" s="1133" t="s">
        <v>1608</v>
      </c>
      <c r="C201" s="1229" t="s">
        <v>1968</v>
      </c>
      <c r="D201" s="1159">
        <v>1603215003955</v>
      </c>
      <c r="E201" s="1058" t="str">
        <f>VLOOKUP(B201,TH.Q2!B120:E451,4,FALSE)</f>
        <v>Giảng viên khoa Cơ khí</v>
      </c>
      <c r="F201" s="1160">
        <v>3.33</v>
      </c>
      <c r="G201" s="1170"/>
      <c r="H201" s="1393">
        <f t="shared" si="16"/>
        <v>0</v>
      </c>
      <c r="I201" s="1138"/>
      <c r="J201" s="1138" t="str">
        <f>VLOOKUP(B201,'[27]Gui chi Quynh'!$B$11:$E$388,4,FALSE)</f>
        <v>A4</v>
      </c>
      <c r="K201" s="1138">
        <f t="shared" ref="K201:K262" si="18">IF(J201="A1",0.8,IF(J201="A2",0.7,IF(J201="A3",0.6,IF(J201="A4",0.5,IF(J201="B1",0.35,IF(J201="B2",0.25,IF(J201="C1",0.15,IF(J201="C2",0.1,0))))))))</f>
        <v>0.5</v>
      </c>
      <c r="L201" s="1139">
        <v>20</v>
      </c>
      <c r="M201" s="1139">
        <v>20</v>
      </c>
      <c r="N201" s="1140"/>
      <c r="O201" s="1141">
        <f t="shared" si="15"/>
        <v>3896100</v>
      </c>
      <c r="P201" s="1140">
        <v>23</v>
      </c>
      <c r="Q201" s="1142">
        <f t="shared" si="13"/>
        <v>189</v>
      </c>
      <c r="R201" s="1143">
        <f>VLOOKUP(B201,'[28]CN BC'!$F$10:$K$270,6,FALSE)</f>
        <v>0</v>
      </c>
      <c r="S201" s="1656"/>
      <c r="T201" s="1146"/>
      <c r="U201" s="1146"/>
      <c r="V201" s="1146"/>
    </row>
    <row r="202" spans="1:26" s="1148" customFormat="1" ht="24.75" customHeight="1">
      <c r="A202" s="1132">
        <f>_xlfn.AGGREGATE(4,7,A$12:A201)+1</f>
        <v>190</v>
      </c>
      <c r="B202" s="1133" t="s">
        <v>1835</v>
      </c>
      <c r="C202" s="1153" t="s">
        <v>1970</v>
      </c>
      <c r="D202" s="1230" t="s">
        <v>1969</v>
      </c>
      <c r="E202" s="1058" t="str">
        <f>VLOOKUP(B202,TH.Q2!B121:E452,4,FALSE)</f>
        <v>Giảng viên khoa Cơ khí</v>
      </c>
      <c r="F202" s="1160">
        <v>3</v>
      </c>
      <c r="G202" s="1170"/>
      <c r="H202" s="1393">
        <f t="shared" si="16"/>
        <v>0</v>
      </c>
      <c r="I202" s="1138"/>
      <c r="J202" s="1138" t="str">
        <f>VLOOKUP(B202,'[27]Gui chi Quynh'!$B$11:$E$388,4,FALSE)</f>
        <v>A3</v>
      </c>
      <c r="K202" s="1138">
        <f t="shared" si="18"/>
        <v>0.6</v>
      </c>
      <c r="L202" s="1139">
        <v>20</v>
      </c>
      <c r="M202" s="1139">
        <v>20</v>
      </c>
      <c r="N202" s="1140"/>
      <c r="O202" s="1141">
        <f t="shared" si="15"/>
        <v>4212000</v>
      </c>
      <c r="P202" s="1140">
        <v>23</v>
      </c>
      <c r="Q202" s="1142">
        <f t="shared" si="13"/>
        <v>190</v>
      </c>
      <c r="R202" s="1143">
        <f>VLOOKUP(B202,'[28]CN BC'!$F$10:$K$270,6,FALSE)</f>
        <v>0</v>
      </c>
      <c r="S202" s="1656"/>
      <c r="T202" s="1146"/>
      <c r="U202" s="1146"/>
      <c r="V202" s="1146"/>
    </row>
    <row r="203" spans="1:26" s="1148" customFormat="1" ht="29.25" customHeight="1">
      <c r="A203" s="1132">
        <f>_xlfn.AGGREGATE(4,7,A$12:A202)+1</f>
        <v>191</v>
      </c>
      <c r="B203" s="1133" t="s">
        <v>1897</v>
      </c>
      <c r="C203" s="1153" t="s">
        <v>1670</v>
      </c>
      <c r="D203" s="1154" t="s">
        <v>1286</v>
      </c>
      <c r="E203" s="1058" t="str">
        <f>VLOOKUP(B203,TH.Q2!B122:E453,4,FALSE)</f>
        <v>Giảng viên khoa Cơ khí</v>
      </c>
      <c r="F203" s="1136">
        <v>4.9800000000000004</v>
      </c>
      <c r="G203" s="1137">
        <v>0.13</v>
      </c>
      <c r="H203" s="1393">
        <f t="shared" si="16"/>
        <v>0.64700000000000002</v>
      </c>
      <c r="I203" s="1138"/>
      <c r="J203" s="1138" t="str">
        <f>VLOOKUP(B203,'[27]Gui chi Quynh'!$B$11:$E$388,4,FALSE)</f>
        <v>A4</v>
      </c>
      <c r="K203" s="1138">
        <f t="shared" si="18"/>
        <v>0.5</v>
      </c>
      <c r="L203" s="1139">
        <v>20</v>
      </c>
      <c r="M203" s="1139">
        <v>20</v>
      </c>
      <c r="N203" s="1140"/>
      <c r="O203" s="1141">
        <f t="shared" si="15"/>
        <v>6583590.0000000009</v>
      </c>
      <c r="P203" s="1155">
        <v>23</v>
      </c>
      <c r="Q203" s="1142">
        <f t="shared" si="13"/>
        <v>191</v>
      </c>
      <c r="R203" s="1143">
        <f>VLOOKUP(B203,'[28]CN BC'!$F$10:$K$270,6,FALSE)</f>
        <v>0</v>
      </c>
      <c r="S203" s="1656"/>
    </row>
    <row r="204" spans="1:26" s="1148" customFormat="1" ht="25.5" customHeight="1">
      <c r="A204" s="1132">
        <f>_xlfn.AGGREGATE(4,7,A$12:A203)+1</f>
        <v>192</v>
      </c>
      <c r="B204" s="1133" t="s">
        <v>1840</v>
      </c>
      <c r="C204" s="1153" t="s">
        <v>1971</v>
      </c>
      <c r="D204" s="1159">
        <v>1603205596180</v>
      </c>
      <c r="E204" s="1058" t="str">
        <f>VLOOKUP(B204,TH.Q2!B123:E454,4,FALSE)</f>
        <v>Giảng viên khoa Cơ khí</v>
      </c>
      <c r="F204" s="1160">
        <v>3</v>
      </c>
      <c r="G204" s="1137"/>
      <c r="H204" s="1393">
        <f t="shared" si="16"/>
        <v>0</v>
      </c>
      <c r="I204" s="1138"/>
      <c r="J204" s="1138" t="str">
        <f>VLOOKUP(B204,'[27]Gui chi Quynh'!$B$11:$E$388,4,FALSE)</f>
        <v>A2</v>
      </c>
      <c r="K204" s="1138">
        <f t="shared" si="18"/>
        <v>0.7</v>
      </c>
      <c r="L204" s="1139">
        <v>20</v>
      </c>
      <c r="M204" s="1139">
        <v>20</v>
      </c>
      <c r="N204" s="1140"/>
      <c r="O204" s="1141">
        <f t="shared" si="15"/>
        <v>4914000</v>
      </c>
      <c r="P204" s="1140">
        <v>23</v>
      </c>
      <c r="Q204" s="1142">
        <f t="shared" si="13"/>
        <v>192</v>
      </c>
      <c r="R204" s="1143">
        <f>VLOOKUP(B204,'[28]CN BC'!$F$10:$K$270,6,FALSE)</f>
        <v>0</v>
      </c>
      <c r="S204" s="1656"/>
      <c r="T204" s="1146"/>
      <c r="U204" s="1146"/>
      <c r="V204" s="1146"/>
    </row>
    <row r="205" spans="1:26" s="1148" customFormat="1" ht="24.75" customHeight="1">
      <c r="A205" s="1132">
        <f>_xlfn.AGGREGATE(4,7,A$12:A204)+1</f>
        <v>193</v>
      </c>
      <c r="B205" s="1133" t="s">
        <v>1943</v>
      </c>
      <c r="C205" s="1153" t="s">
        <v>1972</v>
      </c>
      <c r="D205" s="1154"/>
      <c r="E205" s="1058" t="str">
        <f>VLOOKUP(B205,TH.Q2!B124:E455,4,FALSE)</f>
        <v>Giảng viên khoa Cơ khí</v>
      </c>
      <c r="F205" s="1160">
        <v>3.33</v>
      </c>
      <c r="G205" s="1137"/>
      <c r="H205" s="1393">
        <f t="shared" si="16"/>
        <v>0</v>
      </c>
      <c r="I205" s="1138"/>
      <c r="J205" s="1138" t="str">
        <f>VLOOKUP(B205,'[27]Gui chi Quynh'!$B$11:$E$388,4,FALSE)</f>
        <v>A2</v>
      </c>
      <c r="K205" s="1138">
        <f t="shared" si="18"/>
        <v>0.7</v>
      </c>
      <c r="L205" s="1139">
        <v>20</v>
      </c>
      <c r="M205" s="1139">
        <v>20</v>
      </c>
      <c r="N205" s="1140"/>
      <c r="O205" s="1141">
        <f t="shared" si="15"/>
        <v>5454540</v>
      </c>
      <c r="P205" s="1155">
        <v>23</v>
      </c>
      <c r="Q205" s="1142">
        <f t="shared" ref="Q205:Q271" si="19">A205</f>
        <v>193</v>
      </c>
      <c r="R205" s="1143">
        <f>VLOOKUP(B205,'[28]CN BC'!$F$10:$K$270,6,FALSE)</f>
        <v>0</v>
      </c>
      <c r="S205" s="1656"/>
    </row>
    <row r="206" spans="1:26" s="1148" customFormat="1" ht="26.25" customHeight="1">
      <c r="A206" s="1132">
        <f>_xlfn.AGGREGATE(4,7,A$12:A205)+1</f>
        <v>194</v>
      </c>
      <c r="B206" s="1133" t="s">
        <v>1994</v>
      </c>
      <c r="C206" s="1153"/>
      <c r="D206" s="1154"/>
      <c r="E206" s="1058" t="str">
        <f>VLOOKUP(B206,TH.Q2!B125:E456,4,FALSE)</f>
        <v>Giảng viên khoa Cơ khí</v>
      </c>
      <c r="F206" s="1136">
        <v>4.6500000000000004</v>
      </c>
      <c r="G206" s="1137"/>
      <c r="H206" s="1393">
        <f t="shared" si="16"/>
        <v>0</v>
      </c>
      <c r="I206" s="1138"/>
      <c r="J206" s="1138" t="str">
        <f>VLOOKUP(B206,'[27]Gui chi Quynh'!$B$11:$E$388,4,FALSE)</f>
        <v>A4</v>
      </c>
      <c r="K206" s="1138">
        <f t="shared" si="18"/>
        <v>0.5</v>
      </c>
      <c r="L206" s="1139">
        <v>20</v>
      </c>
      <c r="M206" s="1139">
        <v>20</v>
      </c>
      <c r="N206" s="1140"/>
      <c r="O206" s="1141">
        <f t="shared" si="15"/>
        <v>5440500</v>
      </c>
      <c r="P206" s="1155">
        <v>23</v>
      </c>
      <c r="Q206" s="1142">
        <f t="shared" si="19"/>
        <v>194</v>
      </c>
      <c r="R206" s="1143">
        <f>VLOOKUP(B206,'[28]CN BC'!$F$10:$K$270,6,FALSE)</f>
        <v>0</v>
      </c>
      <c r="S206" s="1656"/>
      <c r="T206" s="1146"/>
      <c r="U206" s="1146"/>
      <c r="V206" s="1146"/>
    </row>
    <row r="207" spans="1:26" s="1148" customFormat="1" ht="25.5" customHeight="1">
      <c r="A207" s="1132">
        <f>_xlfn.AGGREGATE(4,7,A$12:A206)+1</f>
        <v>195</v>
      </c>
      <c r="B207" s="1133" t="s">
        <v>2000</v>
      </c>
      <c r="C207" s="1153"/>
      <c r="D207" s="1154"/>
      <c r="E207" s="1058" t="str">
        <f>VLOOKUP(B207,TH.Q2!B126:E457,4,FALSE)</f>
        <v>Giảng viên khoa Cơ khí</v>
      </c>
      <c r="F207" s="1160">
        <v>3</v>
      </c>
      <c r="G207" s="1137"/>
      <c r="H207" s="1393">
        <f t="shared" si="16"/>
        <v>0</v>
      </c>
      <c r="I207" s="1138"/>
      <c r="J207" s="1138" t="str">
        <f>VLOOKUP(B207,'[27]Gui chi Quynh'!$B$11:$E$388,4,FALSE)</f>
        <v>A3</v>
      </c>
      <c r="K207" s="1138">
        <f t="shared" si="18"/>
        <v>0.6</v>
      </c>
      <c r="L207" s="1139">
        <v>20</v>
      </c>
      <c r="M207" s="1139">
        <v>20</v>
      </c>
      <c r="N207" s="1140"/>
      <c r="O207" s="1141">
        <f t="shared" si="15"/>
        <v>4212000</v>
      </c>
      <c r="P207" s="1155">
        <v>23</v>
      </c>
      <c r="Q207" s="1142">
        <f t="shared" si="19"/>
        <v>195</v>
      </c>
      <c r="R207" s="1143">
        <f>VLOOKUP(B207,'[28]CN BC'!$F$10:$K$270,6,FALSE)</f>
        <v>0</v>
      </c>
      <c r="S207" s="1656"/>
    </row>
    <row r="208" spans="1:26" s="1148" customFormat="1" ht="27" customHeight="1">
      <c r="A208" s="1132">
        <f>_xlfn.AGGREGATE(4,7,A$12:A207)+1</f>
        <v>196</v>
      </c>
      <c r="B208" s="1133" t="s">
        <v>1855</v>
      </c>
      <c r="C208" s="1153" t="s">
        <v>1651</v>
      </c>
      <c r="D208" s="1154" t="s">
        <v>1292</v>
      </c>
      <c r="E208" s="1058" t="str">
        <f>VLOOKUP(B208,TH.Q2!B127:E458,4,FALSE)</f>
        <v>Giảng viên khoa Cơ khí</v>
      </c>
      <c r="F208" s="1136">
        <v>4.9800000000000004</v>
      </c>
      <c r="G208" s="1137">
        <v>0.08</v>
      </c>
      <c r="H208" s="1393">
        <f t="shared" si="16"/>
        <v>0.39800000000000002</v>
      </c>
      <c r="I208" s="1138"/>
      <c r="J208" s="1138" t="str">
        <f>VLOOKUP(B208,'[27]Gui chi Quynh'!$B$11:$E$388,4,FALSE)</f>
        <v>A3</v>
      </c>
      <c r="K208" s="1138">
        <f t="shared" si="18"/>
        <v>0.6</v>
      </c>
      <c r="L208" s="1139">
        <v>20</v>
      </c>
      <c r="M208" s="1139">
        <v>20</v>
      </c>
      <c r="N208" s="1140"/>
      <c r="O208" s="1141">
        <f t="shared" si="15"/>
        <v>7550712</v>
      </c>
      <c r="P208" s="1155">
        <v>27</v>
      </c>
      <c r="Q208" s="1142">
        <f t="shared" si="19"/>
        <v>196</v>
      </c>
      <c r="R208" s="1143">
        <f>VLOOKUP(B208,'[28]CN BC'!$F$10:$K$270,6,FALSE)</f>
        <v>0</v>
      </c>
      <c r="S208" s="1656"/>
    </row>
    <row r="209" spans="1:26" s="1146" customFormat="1" ht="33.75" customHeight="1">
      <c r="A209" s="1132">
        <f>_xlfn.AGGREGATE(4,7,A$12:A208)+1</f>
        <v>197</v>
      </c>
      <c r="B209" s="1172" t="s">
        <v>1898</v>
      </c>
      <c r="C209" s="1149" t="s">
        <v>1781</v>
      </c>
      <c r="D209" s="1173" t="s">
        <v>1386</v>
      </c>
      <c r="E209" s="1058" t="str">
        <f>VLOOKUP(B209,TH.Q2!B128:E459,4,FALSE)</f>
        <v>Trưởng khoa Điện - Điện tử</v>
      </c>
      <c r="F209" s="1174">
        <v>4.9800000000000004</v>
      </c>
      <c r="G209" s="1175"/>
      <c r="H209" s="1393">
        <f t="shared" si="16"/>
        <v>0</v>
      </c>
      <c r="I209" s="1138">
        <v>0.45</v>
      </c>
      <c r="J209" s="1138" t="str">
        <f>VLOOKUP(B209,'[27]Gui chi Quynh'!$B$11:$E$388,4,FALSE)</f>
        <v>A1</v>
      </c>
      <c r="K209" s="1138">
        <f t="shared" si="18"/>
        <v>0.8</v>
      </c>
      <c r="L209" s="1139">
        <v>20</v>
      </c>
      <c r="M209" s="1139">
        <v>20</v>
      </c>
      <c r="N209" s="1140"/>
      <c r="O209" s="1141">
        <f t="shared" si="15"/>
        <v>10164960.000000002</v>
      </c>
      <c r="P209" s="1140">
        <v>24</v>
      </c>
      <c r="Q209" s="1142">
        <f t="shared" si="19"/>
        <v>197</v>
      </c>
      <c r="R209" s="1143">
        <f>VLOOKUP(B209,'[28]CN BC'!$F$10:$K$270,6,FALSE)</f>
        <v>0</v>
      </c>
      <c r="S209" s="1656"/>
    </row>
    <row r="210" spans="1:26" s="1148" customFormat="1" ht="33.75" customHeight="1">
      <c r="A210" s="1132">
        <f>_xlfn.AGGREGATE(4,7,A$12:A209)+1</f>
        <v>198</v>
      </c>
      <c r="B210" s="1133" t="s">
        <v>526</v>
      </c>
      <c r="C210" s="1149" t="s">
        <v>1646</v>
      </c>
      <c r="D210" s="1154" t="s">
        <v>1398</v>
      </c>
      <c r="E210" s="1058" t="str">
        <f>VLOOKUP(B210,TH.Q2!B129:E460,4,FALSE)</f>
        <v>Phó Trưởng khoa Điện - Điện tử</v>
      </c>
      <c r="F210" s="1136">
        <v>4.9800000000000004</v>
      </c>
      <c r="G210" s="1137">
        <v>0.17</v>
      </c>
      <c r="H210" s="1393">
        <f t="shared" si="16"/>
        <v>0.84699999999999998</v>
      </c>
      <c r="I210" s="1138">
        <f>0.35</f>
        <v>0.35</v>
      </c>
      <c r="J210" s="1138" t="str">
        <f>VLOOKUP(B210,'[27]Gui chi Quynh'!$B$11:$E$388,4,FALSE)</f>
        <v>A3</v>
      </c>
      <c r="K210" s="1138">
        <f t="shared" si="18"/>
        <v>0.6</v>
      </c>
      <c r="L210" s="1139">
        <v>20</v>
      </c>
      <c r="M210" s="1139">
        <v>20</v>
      </c>
      <c r="N210" s="1140"/>
      <c r="O210" s="1141">
        <f t="shared" si="15"/>
        <v>8672508</v>
      </c>
      <c r="P210" s="1140">
        <v>24</v>
      </c>
      <c r="Q210" s="1142">
        <f t="shared" si="19"/>
        <v>198</v>
      </c>
      <c r="R210" s="1143">
        <f>VLOOKUP(B210,'[28]CN BC'!$F$10:$K$270,6,FALSE)</f>
        <v>0</v>
      </c>
      <c r="S210" s="1656"/>
      <c r="T210" s="1146"/>
      <c r="U210" s="1146"/>
      <c r="V210" s="1146"/>
      <c r="W210" s="1146"/>
      <c r="X210" s="1146"/>
      <c r="Y210" s="1146"/>
      <c r="Z210" s="1146"/>
    </row>
    <row r="211" spans="1:26" s="1148" customFormat="1" ht="33.75" customHeight="1">
      <c r="A211" s="1132">
        <f>_xlfn.AGGREGATE(4,7,A$12:A210)+1</f>
        <v>199</v>
      </c>
      <c r="B211" s="1133" t="s">
        <v>1899</v>
      </c>
      <c r="C211" s="1153" t="s">
        <v>1778</v>
      </c>
      <c r="D211" s="1154" t="s">
        <v>1381</v>
      </c>
      <c r="E211" s="383" t="str">
        <f>VLOOKUP(B211,TH.Q2!B130:E461,4,FALSE)</f>
        <v>Giảng viên khoa Điện - Điện tử</v>
      </c>
      <c r="F211" s="1136">
        <v>4.9800000000000004</v>
      </c>
      <c r="G211" s="1137">
        <v>7.0000000000000007E-2</v>
      </c>
      <c r="H211" s="1400">
        <f t="shared" si="16"/>
        <v>0.34899999999999998</v>
      </c>
      <c r="I211" s="1138"/>
      <c r="J211" s="1138" t="str">
        <f>VLOOKUP(B211,'[27]Gui chi Quynh'!$B$11:$E$388,4,FALSE)</f>
        <v>A2</v>
      </c>
      <c r="K211" s="1138">
        <f t="shared" si="18"/>
        <v>0.7</v>
      </c>
      <c r="L211" s="1139">
        <v>20</v>
      </c>
      <c r="M211" s="1139">
        <v>20</v>
      </c>
      <c r="N211" s="1155"/>
      <c r="O211" s="1141">
        <f t="shared" si="15"/>
        <v>8728902</v>
      </c>
      <c r="P211" s="1155">
        <v>24</v>
      </c>
      <c r="Q211" s="1142">
        <f t="shared" si="19"/>
        <v>199</v>
      </c>
      <c r="R211" s="1143">
        <f>VLOOKUP(B211,'[28]CN BC'!$F$10:$K$270,6,FALSE)</f>
        <v>0</v>
      </c>
      <c r="S211" s="1656"/>
    </row>
    <row r="212" spans="1:26" s="1148" customFormat="1" ht="33.75" customHeight="1">
      <c r="A212" s="1132">
        <f>_xlfn.AGGREGATE(4,7,A$12:A211)+1</f>
        <v>200</v>
      </c>
      <c r="B212" s="1133" t="s">
        <v>461</v>
      </c>
      <c r="C212" s="1153" t="s">
        <v>1779</v>
      </c>
      <c r="D212" s="1154" t="s">
        <v>1384</v>
      </c>
      <c r="E212" s="383" t="str">
        <f>VLOOKUP(B212,TH.Q2!B131:E462,4,FALSE)</f>
        <v>Giảng viên khoa Điện - Điện tử</v>
      </c>
      <c r="F212" s="1136">
        <v>4.9800000000000004</v>
      </c>
      <c r="G212" s="1137">
        <v>7.0000000000000007E-2</v>
      </c>
      <c r="H212" s="1400">
        <f t="shared" si="16"/>
        <v>0.34899999999999998</v>
      </c>
      <c r="I212" s="1138"/>
      <c r="J212" s="1138" t="str">
        <f>VLOOKUP(B212,'[27]Gui chi Quynh'!$B$11:$E$388,4,FALSE)</f>
        <v>A4</v>
      </c>
      <c r="K212" s="1138">
        <f t="shared" si="18"/>
        <v>0.5</v>
      </c>
      <c r="L212" s="1139">
        <v>20</v>
      </c>
      <c r="M212" s="1139">
        <v>20</v>
      </c>
      <c r="N212" s="1155"/>
      <c r="O212" s="1141">
        <f t="shared" ref="O212:O243" si="20">(((F212+H212+I212)*$O$9/L212*M212)*K212)+N212</f>
        <v>6234930.0000000009</v>
      </c>
      <c r="P212" s="1155">
        <v>24</v>
      </c>
      <c r="Q212" s="1142">
        <f t="shared" si="19"/>
        <v>200</v>
      </c>
      <c r="R212" s="1143">
        <f>VLOOKUP(B212,'[28]CN BC'!$F$10:$K$270,6,FALSE)</f>
        <v>0</v>
      </c>
      <c r="S212" s="1656"/>
    </row>
    <row r="213" spans="1:26" s="1148" customFormat="1" ht="33.75" customHeight="1">
      <c r="A213" s="1132">
        <f>_xlfn.AGGREGATE(4,7,A$12:A212)+1</f>
        <v>201</v>
      </c>
      <c r="B213" s="1133" t="s">
        <v>1900</v>
      </c>
      <c r="C213" s="1153" t="s">
        <v>1780</v>
      </c>
      <c r="D213" s="1154" t="s">
        <v>1385</v>
      </c>
      <c r="E213" s="383" t="str">
        <f>VLOOKUP(B213,TH.Q2!B132:E463,4,FALSE)</f>
        <v>Giảng viên khoa Điện - Điện tử</v>
      </c>
      <c r="F213" s="1136">
        <v>4.9800000000000004</v>
      </c>
      <c r="G213" s="1137"/>
      <c r="H213" s="1400">
        <f t="shared" si="16"/>
        <v>0</v>
      </c>
      <c r="I213" s="1138"/>
      <c r="J213" s="1138" t="str">
        <f>VLOOKUP(B213,'[27]Gui chi Quynh'!$B$11:$E$388,4,FALSE)</f>
        <v>A3</v>
      </c>
      <c r="K213" s="1138">
        <f t="shared" si="18"/>
        <v>0.6</v>
      </c>
      <c r="L213" s="1139">
        <v>20</v>
      </c>
      <c r="M213" s="1139">
        <v>20</v>
      </c>
      <c r="N213" s="1155"/>
      <c r="O213" s="1141">
        <f t="shared" si="20"/>
        <v>6991920.0000000009</v>
      </c>
      <c r="P213" s="1155">
        <v>23</v>
      </c>
      <c r="Q213" s="1142">
        <f t="shared" si="19"/>
        <v>201</v>
      </c>
      <c r="R213" s="1143">
        <f>VLOOKUP(B213,'[28]CN BC'!$F$10:$K$270,6,FALSE)</f>
        <v>0</v>
      </c>
      <c r="S213" s="1656"/>
    </row>
    <row r="214" spans="1:26" s="1148" customFormat="1" ht="33.75" customHeight="1">
      <c r="A214" s="1132">
        <f>_xlfn.AGGREGATE(4,7,A$12:A213)+1</f>
        <v>202</v>
      </c>
      <c r="B214" s="1133" t="s">
        <v>1901</v>
      </c>
      <c r="C214" s="1153" t="s">
        <v>1782</v>
      </c>
      <c r="D214" s="1154" t="s">
        <v>1387</v>
      </c>
      <c r="E214" s="383" t="str">
        <f>VLOOKUP(B214,TH.Q2!B133:E464,4,FALSE)</f>
        <v>Giảng viên khoa Điện - Điện tử</v>
      </c>
      <c r="F214" s="1136">
        <v>4.32</v>
      </c>
      <c r="G214" s="1137"/>
      <c r="H214" s="1400">
        <f t="shared" si="16"/>
        <v>0</v>
      </c>
      <c r="I214" s="1138"/>
      <c r="J214" s="1138" t="str">
        <f>VLOOKUP(B214,'[27]Gui chi Quynh'!$B$11:$E$388,4,FALSE)</f>
        <v>A4</v>
      </c>
      <c r="K214" s="1138">
        <f t="shared" si="18"/>
        <v>0.5</v>
      </c>
      <c r="L214" s="1139">
        <v>20</v>
      </c>
      <c r="M214" s="1139">
        <v>20</v>
      </c>
      <c r="N214" s="1155"/>
      <c r="O214" s="1141">
        <f t="shared" si="20"/>
        <v>5054400</v>
      </c>
      <c r="P214" s="1155">
        <v>23</v>
      </c>
      <c r="Q214" s="1142">
        <f t="shared" si="19"/>
        <v>202</v>
      </c>
      <c r="R214" s="1143">
        <f>VLOOKUP(B214,'[28]CN BC'!$F$10:$K$270,6,FALSE)</f>
        <v>0</v>
      </c>
      <c r="S214" s="1656"/>
    </row>
    <row r="215" spans="1:26" s="1148" customFormat="1" ht="33.75" customHeight="1">
      <c r="A215" s="1132">
        <f>_xlfn.AGGREGATE(4,7,A$12:A214)+1</f>
        <v>203</v>
      </c>
      <c r="B215" s="1133" t="s">
        <v>1534</v>
      </c>
      <c r="C215" s="1153" t="s">
        <v>1783</v>
      </c>
      <c r="D215" s="1154" t="s">
        <v>1388</v>
      </c>
      <c r="E215" s="383" t="str">
        <f>VLOOKUP(B215,TH.Q2!B134:E465,4,FALSE)</f>
        <v>Giảng viên khoa
Điện - Điện tử</v>
      </c>
      <c r="F215" s="1136">
        <v>4.6500000000000004</v>
      </c>
      <c r="G215" s="1137"/>
      <c r="H215" s="1400">
        <f t="shared" si="16"/>
        <v>0</v>
      </c>
      <c r="I215" s="1138"/>
      <c r="J215" s="1138" t="str">
        <f>VLOOKUP(B215,'[27]Gui chi Quynh'!$B$11:$E$388,4,FALSE)</f>
        <v>A4</v>
      </c>
      <c r="K215" s="1138">
        <f t="shared" si="18"/>
        <v>0.5</v>
      </c>
      <c r="L215" s="1139">
        <v>20</v>
      </c>
      <c r="M215" s="1139">
        <v>20</v>
      </c>
      <c r="N215" s="1155"/>
      <c r="O215" s="1141">
        <f t="shared" si="20"/>
        <v>5440500</v>
      </c>
      <c r="P215" s="1155">
        <v>23</v>
      </c>
      <c r="Q215" s="1142">
        <f t="shared" si="19"/>
        <v>203</v>
      </c>
      <c r="R215" s="1143">
        <f>VLOOKUP(B215,'[28]CN BC'!$F$10:$K$270,6,FALSE)</f>
        <v>0</v>
      </c>
      <c r="S215" s="1656"/>
    </row>
    <row r="216" spans="1:26" s="1148" customFormat="1" ht="33.75" customHeight="1">
      <c r="A216" s="1132">
        <f>_xlfn.AGGREGATE(4,7,A$12:A215)+1</f>
        <v>204</v>
      </c>
      <c r="B216" s="1133" t="s">
        <v>1535</v>
      </c>
      <c r="C216" s="1153" t="s">
        <v>1784</v>
      </c>
      <c r="D216" s="1150" t="s">
        <v>1595</v>
      </c>
      <c r="E216" s="383" t="str">
        <f>VLOOKUP(B216,TH.Q2!B135:E466,4,FALSE)</f>
        <v>Trưởng BM Cơ điện tử và Tự động hóa</v>
      </c>
      <c r="F216" s="1160">
        <v>3.66</v>
      </c>
      <c r="G216" s="1137"/>
      <c r="H216" s="1400">
        <f t="shared" si="16"/>
        <v>0</v>
      </c>
      <c r="I216" s="1138">
        <v>0.25</v>
      </c>
      <c r="J216" s="1138" t="str">
        <f>VLOOKUP(B216,'[27]Gui chi Quynh'!$B$11:$E$388,4,FALSE)</f>
        <v>A3</v>
      </c>
      <c r="K216" s="1138">
        <f t="shared" si="18"/>
        <v>0.6</v>
      </c>
      <c r="L216" s="1139">
        <v>20</v>
      </c>
      <c r="M216" s="1139">
        <v>20</v>
      </c>
      <c r="N216" s="1155"/>
      <c r="O216" s="1141">
        <f t="shared" si="20"/>
        <v>5489640</v>
      </c>
      <c r="P216" s="1155">
        <v>24</v>
      </c>
      <c r="Q216" s="1142">
        <f t="shared" si="19"/>
        <v>204</v>
      </c>
      <c r="R216" s="1143">
        <f>VLOOKUP(B216,'[28]CN BC'!$F$10:$K$270,6,FALSE)</f>
        <v>0</v>
      </c>
      <c r="S216" s="1656"/>
    </row>
    <row r="217" spans="1:26" s="1148" customFormat="1" ht="33.75" customHeight="1">
      <c r="A217" s="1132">
        <f>_xlfn.AGGREGATE(4,7,A$12:A216)+1</f>
        <v>205</v>
      </c>
      <c r="B217" s="1223" t="s">
        <v>1903</v>
      </c>
      <c r="C217" s="1153" t="s">
        <v>1786</v>
      </c>
      <c r="D217" s="1154" t="s">
        <v>1392</v>
      </c>
      <c r="E217" s="1058" t="str">
        <f>VLOOKUP(B217,TH.Q2!B136:E467,4,FALSE)</f>
        <v>Giảng viên khoa Điện - Điện tử</v>
      </c>
      <c r="F217" s="1160">
        <v>4.32</v>
      </c>
      <c r="G217" s="1137"/>
      <c r="H217" s="1393">
        <f t="shared" si="16"/>
        <v>0</v>
      </c>
      <c r="I217" s="1138"/>
      <c r="J217" s="1138" t="str">
        <f>VLOOKUP(B217,'[27]Gui chi Quynh'!$B$11:$E$388,4,FALSE)</f>
        <v>A4</v>
      </c>
      <c r="K217" s="1138">
        <f t="shared" si="18"/>
        <v>0.5</v>
      </c>
      <c r="L217" s="1139">
        <v>20</v>
      </c>
      <c r="M217" s="1139">
        <v>20</v>
      </c>
      <c r="N217" s="1140"/>
      <c r="O217" s="1141">
        <f t="shared" si="20"/>
        <v>5054400</v>
      </c>
      <c r="P217" s="1140">
        <v>24</v>
      </c>
      <c r="Q217" s="1142">
        <f t="shared" si="19"/>
        <v>205</v>
      </c>
      <c r="R217" s="1143">
        <f>VLOOKUP(B217,'[28]CN BC'!$F$10:$K$270,6,FALSE)</f>
        <v>0</v>
      </c>
      <c r="S217" s="1656"/>
      <c r="T217" s="1146"/>
      <c r="U217" s="1146"/>
      <c r="V217" s="1146"/>
    </row>
    <row r="218" spans="1:26" s="1148" customFormat="1" ht="33.75" customHeight="1">
      <c r="A218" s="1132">
        <f>_xlfn.AGGREGATE(4,7,A$12:A217)+1</f>
        <v>206</v>
      </c>
      <c r="B218" s="1133" t="s">
        <v>1904</v>
      </c>
      <c r="C218" s="1149" t="s">
        <v>1787</v>
      </c>
      <c r="D218" s="1154" t="s">
        <v>1396</v>
      </c>
      <c r="E218" s="1058" t="str">
        <f>VLOOKUP(B218,TH.Q2!B137:E468,4,FALSE)</f>
        <v>Giảng viên khoa Điện - Điện tử</v>
      </c>
      <c r="F218" s="1136">
        <v>4.6500000000000004</v>
      </c>
      <c r="G218" s="1137"/>
      <c r="H218" s="1393">
        <f t="shared" si="16"/>
        <v>0</v>
      </c>
      <c r="I218" s="1138"/>
      <c r="J218" s="1138" t="str">
        <f>VLOOKUP(B218,'[27]Gui chi Quynh'!$B$11:$E$388,4,FALSE)</f>
        <v>A3</v>
      </c>
      <c r="K218" s="1138">
        <f t="shared" si="18"/>
        <v>0.6</v>
      </c>
      <c r="L218" s="1139">
        <v>20</v>
      </c>
      <c r="M218" s="1139">
        <v>20</v>
      </c>
      <c r="N218" s="1140"/>
      <c r="O218" s="1141">
        <f t="shared" si="20"/>
        <v>6528600</v>
      </c>
      <c r="P218" s="1140">
        <v>23</v>
      </c>
      <c r="Q218" s="1142">
        <f t="shared" si="19"/>
        <v>206</v>
      </c>
      <c r="R218" s="1143">
        <f>VLOOKUP(B218,'[28]CN BC'!$F$10:$K$270,6,FALSE)</f>
        <v>0</v>
      </c>
      <c r="S218" s="1656"/>
      <c r="T218" s="1146"/>
      <c r="U218" s="1146"/>
      <c r="V218" s="1146"/>
      <c r="W218" s="1146"/>
      <c r="X218" s="1146"/>
      <c r="Y218" s="1146"/>
      <c r="Z218" s="1146"/>
    </row>
    <row r="219" spans="1:26" s="1148" customFormat="1" ht="33.75" customHeight="1">
      <c r="A219" s="1132">
        <f>_xlfn.AGGREGATE(4,7,A$12:A218)+1</f>
        <v>207</v>
      </c>
      <c r="B219" s="1133" t="s">
        <v>1536</v>
      </c>
      <c r="C219" s="1153" t="s">
        <v>1788</v>
      </c>
      <c r="D219" s="1154" t="s">
        <v>389</v>
      </c>
      <c r="E219" s="1058" t="str">
        <f>VLOOKUP(B219,TH.Q2!B138:E469,4,FALSE)</f>
        <v>Giảng viên khoa
Điện - Điện tử</v>
      </c>
      <c r="F219" s="1160">
        <v>3.66</v>
      </c>
      <c r="G219" s="1137"/>
      <c r="H219" s="1393">
        <f t="shared" si="16"/>
        <v>0</v>
      </c>
      <c r="I219" s="1138"/>
      <c r="J219" s="1138" t="str">
        <f>VLOOKUP(B219,'[27]Gui chi Quynh'!$B$11:$E$388,4,FALSE)</f>
        <v>A3</v>
      </c>
      <c r="K219" s="1138">
        <f t="shared" si="18"/>
        <v>0.6</v>
      </c>
      <c r="L219" s="1139">
        <v>20</v>
      </c>
      <c r="M219" s="1139">
        <v>20</v>
      </c>
      <c r="N219" s="1140"/>
      <c r="O219" s="1141">
        <f t="shared" si="20"/>
        <v>5138640</v>
      </c>
      <c r="P219" s="1140">
        <v>23</v>
      </c>
      <c r="Q219" s="1142">
        <f t="shared" si="19"/>
        <v>207</v>
      </c>
      <c r="R219" s="1143">
        <f>VLOOKUP(B219,'[28]CN BC'!$F$10:$K$270,6,FALSE)</f>
        <v>0</v>
      </c>
      <c r="S219" s="1656"/>
      <c r="T219" s="1146"/>
      <c r="U219" s="1146"/>
      <c r="V219" s="1146"/>
    </row>
    <row r="220" spans="1:26" s="1148" customFormat="1" ht="33.75" customHeight="1">
      <c r="A220" s="1132">
        <f>_xlfn.AGGREGATE(4,7,A$12:A219)+1</f>
        <v>208</v>
      </c>
      <c r="B220" s="1133" t="s">
        <v>1537</v>
      </c>
      <c r="C220" s="1153" t="s">
        <v>1789</v>
      </c>
      <c r="D220" s="1154" t="s">
        <v>1334</v>
      </c>
      <c r="E220" s="383" t="str">
        <f>VLOOKUP(B220,TH.Q2!B139:E470,4,FALSE)</f>
        <v>Giảng viên khoa
Điện - Điện tử</v>
      </c>
      <c r="F220" s="1160">
        <v>4.32</v>
      </c>
      <c r="G220" s="1137"/>
      <c r="H220" s="1400">
        <f t="shared" si="16"/>
        <v>0</v>
      </c>
      <c r="I220" s="1138"/>
      <c r="J220" s="1138" t="str">
        <f>VLOOKUP(B220,'[27]Gui chi Quynh'!$B$11:$E$388,4,FALSE)</f>
        <v>A3</v>
      </c>
      <c r="K220" s="1138">
        <f t="shared" si="18"/>
        <v>0.6</v>
      </c>
      <c r="L220" s="1139">
        <v>20</v>
      </c>
      <c r="M220" s="1139">
        <v>20</v>
      </c>
      <c r="N220" s="1155"/>
      <c r="O220" s="1141">
        <f t="shared" si="20"/>
        <v>6065280</v>
      </c>
      <c r="P220" s="1155">
        <v>23</v>
      </c>
      <c r="Q220" s="1142">
        <f t="shared" si="19"/>
        <v>208</v>
      </c>
      <c r="R220" s="1143">
        <f>VLOOKUP(B220,'[28]CN BC'!$F$10:$K$270,6,FALSE)</f>
        <v>0</v>
      </c>
      <c r="S220" s="1656"/>
    </row>
    <row r="221" spans="1:26" s="1148" customFormat="1" ht="33.75" customHeight="1">
      <c r="A221" s="1132">
        <f>_xlfn.AGGREGATE(4,7,A$12:A220)+1</f>
        <v>209</v>
      </c>
      <c r="B221" s="1133" t="s">
        <v>1905</v>
      </c>
      <c r="C221" s="1149" t="s">
        <v>1790</v>
      </c>
      <c r="D221" s="1168" t="s">
        <v>463</v>
      </c>
      <c r="E221" s="1058" t="str">
        <f>VLOOKUP(B221,TH.Q2!B140:E471,4,FALSE)</f>
        <v>Giảng viên khoa Điện - Điện tử</v>
      </c>
      <c r="F221" s="1160">
        <v>3.66</v>
      </c>
      <c r="G221" s="1137"/>
      <c r="H221" s="1393">
        <f t="shared" si="16"/>
        <v>0</v>
      </c>
      <c r="I221" s="1138"/>
      <c r="J221" s="1138" t="str">
        <f>VLOOKUP(B221,'[27]Gui chi Quynh'!$B$11:$E$388,4,FALSE)</f>
        <v>A3</v>
      </c>
      <c r="K221" s="1138">
        <f t="shared" si="18"/>
        <v>0.6</v>
      </c>
      <c r="L221" s="1139">
        <v>20</v>
      </c>
      <c r="M221" s="1139">
        <v>20</v>
      </c>
      <c r="N221" s="1140"/>
      <c r="O221" s="1141">
        <f t="shared" si="20"/>
        <v>5138640</v>
      </c>
      <c r="P221" s="1140">
        <v>24</v>
      </c>
      <c r="Q221" s="1142">
        <f t="shared" si="19"/>
        <v>209</v>
      </c>
      <c r="R221" s="1143">
        <f>VLOOKUP(B221,'[28]CN BC'!$F$10:$K$270,6,FALSE)</f>
        <v>0</v>
      </c>
      <c r="S221" s="1656"/>
      <c r="T221" s="1146"/>
      <c r="U221" s="1146"/>
      <c r="V221" s="1146"/>
      <c r="W221" s="1146"/>
      <c r="X221" s="1146"/>
      <c r="Y221" s="1146"/>
      <c r="Z221" s="1146"/>
    </row>
    <row r="222" spans="1:26" s="1148" customFormat="1" ht="33.75" customHeight="1">
      <c r="A222" s="1132">
        <f>_xlfn.AGGREGATE(4,7,A$12:A221)+1</f>
        <v>210</v>
      </c>
      <c r="B222" s="1133" t="s">
        <v>1538</v>
      </c>
      <c r="C222" s="1149" t="s">
        <v>1791</v>
      </c>
      <c r="D222" s="1168" t="s">
        <v>510</v>
      </c>
      <c r="E222" s="1058" t="str">
        <f>VLOOKUP(B222,TH.Q2!B141:E472,4,FALSE)</f>
        <v>Giảng viên khoa
Điện - Điện tử</v>
      </c>
      <c r="F222" s="1160">
        <v>3.99</v>
      </c>
      <c r="G222" s="1137"/>
      <c r="H222" s="1393">
        <f t="shared" si="16"/>
        <v>0</v>
      </c>
      <c r="I222" s="1138"/>
      <c r="J222" s="1138" t="str">
        <f>VLOOKUP(B222,'[27]Gui chi Quynh'!$B$11:$E$388,4,FALSE)</f>
        <v>A3</v>
      </c>
      <c r="K222" s="1138">
        <f t="shared" si="18"/>
        <v>0.6</v>
      </c>
      <c r="L222" s="1139">
        <v>20</v>
      </c>
      <c r="M222" s="1139">
        <v>20</v>
      </c>
      <c r="N222" s="1140"/>
      <c r="O222" s="1141">
        <f t="shared" si="20"/>
        <v>5601960</v>
      </c>
      <c r="P222" s="1140">
        <v>23</v>
      </c>
      <c r="Q222" s="1142">
        <f t="shared" si="19"/>
        <v>210</v>
      </c>
      <c r="R222" s="1143">
        <f>VLOOKUP(B222,'[28]CN BC'!$F$10:$K$270,6,FALSE)</f>
        <v>0</v>
      </c>
      <c r="S222" s="1656"/>
      <c r="T222" s="1146"/>
      <c r="U222" s="1146"/>
      <c r="V222" s="1146"/>
      <c r="W222" s="1146"/>
      <c r="X222" s="1146"/>
      <c r="Y222" s="1146"/>
      <c r="Z222" s="1146"/>
    </row>
    <row r="223" spans="1:26" s="1148" customFormat="1" ht="33.75" customHeight="1">
      <c r="A223" s="1132">
        <f>_xlfn.AGGREGATE(4,7,A$12:A222)+1</f>
        <v>211</v>
      </c>
      <c r="B223" s="1133" t="s">
        <v>1906</v>
      </c>
      <c r="C223" s="1153" t="s">
        <v>1792</v>
      </c>
      <c r="D223" s="1154" t="s">
        <v>1399</v>
      </c>
      <c r="E223" s="1058" t="str">
        <f>VLOOKUP(B223,TH.Q2!B142:E473,4,FALSE)</f>
        <v>Giảng viên khoa Điện - Điện tử</v>
      </c>
      <c r="F223" s="1136">
        <v>4.9800000000000004</v>
      </c>
      <c r="G223" s="1137">
        <v>0.1</v>
      </c>
      <c r="H223" s="1393">
        <f t="shared" si="16"/>
        <v>0.498</v>
      </c>
      <c r="I223" s="1138">
        <v>0.35</v>
      </c>
      <c r="J223" s="1138" t="str">
        <f>VLOOKUP(B223,'[27]Gui chi Quynh'!$B$11:$E$388,4,FALSE)</f>
        <v>A3</v>
      </c>
      <c r="K223" s="1138">
        <f t="shared" si="18"/>
        <v>0.6</v>
      </c>
      <c r="L223" s="1139">
        <v>20</v>
      </c>
      <c r="M223" s="1139">
        <v>20</v>
      </c>
      <c r="N223" s="1140"/>
      <c r="O223" s="1141">
        <f t="shared" si="20"/>
        <v>8182512</v>
      </c>
      <c r="P223" s="1155">
        <v>23</v>
      </c>
      <c r="Q223" s="1142">
        <f t="shared" si="19"/>
        <v>211</v>
      </c>
      <c r="R223" s="1143">
        <f>VLOOKUP(B223,'[28]CN BC'!$F$10:$K$270,6,FALSE)</f>
        <v>0</v>
      </c>
      <c r="S223" s="1656"/>
      <c r="T223" s="1146"/>
      <c r="U223" s="1146"/>
      <c r="V223" s="1146"/>
    </row>
    <row r="224" spans="1:26" s="1148" customFormat="1" ht="33.75" customHeight="1">
      <c r="A224" s="1132">
        <f>_xlfn.AGGREGATE(4,7,A$12:A223)+1</f>
        <v>212</v>
      </c>
      <c r="B224" s="1133" t="s">
        <v>1907</v>
      </c>
      <c r="C224" s="1153" t="s">
        <v>1793</v>
      </c>
      <c r="D224" s="1154" t="s">
        <v>1400</v>
      </c>
      <c r="E224" s="1058" t="str">
        <f>VLOOKUP(B224,TH.Q2!B143:E474,4,FALSE)</f>
        <v>Giảng viên khoa Điện - Điện tử</v>
      </c>
      <c r="F224" s="1136">
        <v>4.9800000000000004</v>
      </c>
      <c r="G224" s="1137">
        <v>0.13</v>
      </c>
      <c r="H224" s="1393">
        <f t="shared" si="16"/>
        <v>0.64700000000000002</v>
      </c>
      <c r="I224" s="1138"/>
      <c r="J224" s="1138" t="str">
        <f>VLOOKUP(B224,'[27]Gui chi Quynh'!$B$11:$E$388,4,FALSE)</f>
        <v>A4</v>
      </c>
      <c r="K224" s="1138">
        <f t="shared" si="18"/>
        <v>0.5</v>
      </c>
      <c r="L224" s="1139">
        <v>20</v>
      </c>
      <c r="M224" s="1139">
        <v>20</v>
      </c>
      <c r="N224" s="1140"/>
      <c r="O224" s="1141">
        <f t="shared" si="20"/>
        <v>6583590.0000000009</v>
      </c>
      <c r="P224" s="1155">
        <v>23</v>
      </c>
      <c r="Q224" s="1142">
        <f t="shared" si="19"/>
        <v>212</v>
      </c>
      <c r="R224" s="1143">
        <f>VLOOKUP(B224,'[28]CN BC'!$F$10:$K$270,6,FALSE)</f>
        <v>0</v>
      </c>
      <c r="S224" s="1656"/>
    </row>
    <row r="225" spans="1:26" s="1148" customFormat="1" ht="33.75" customHeight="1">
      <c r="A225" s="1132">
        <f>_xlfn.AGGREGATE(4,7,A$12:A224)+1</f>
        <v>213</v>
      </c>
      <c r="B225" s="1133" t="s">
        <v>1908</v>
      </c>
      <c r="C225" s="1153" t="s">
        <v>1794</v>
      </c>
      <c r="D225" s="1154" t="s">
        <v>1401</v>
      </c>
      <c r="E225" s="1058" t="str">
        <f>VLOOKUP(B225,TH.Q2!B144:E475,4,FALSE)</f>
        <v>Giảng viên khoa Điện - Điện tử</v>
      </c>
      <c r="F225" s="1136">
        <v>4.9800000000000004</v>
      </c>
      <c r="G225" s="1137">
        <v>0.1</v>
      </c>
      <c r="H225" s="1393">
        <f t="shared" si="16"/>
        <v>0.498</v>
      </c>
      <c r="I225" s="1138"/>
      <c r="J225" s="1138" t="str">
        <f>VLOOKUP(B225,'[27]Gui chi Quynh'!$B$11:$E$388,4,FALSE)</f>
        <v>A3</v>
      </c>
      <c r="K225" s="1138">
        <f t="shared" si="18"/>
        <v>0.6</v>
      </c>
      <c r="L225" s="1139">
        <v>20</v>
      </c>
      <c r="M225" s="1139">
        <v>20</v>
      </c>
      <c r="N225" s="1140"/>
      <c r="O225" s="1141">
        <f t="shared" si="20"/>
        <v>7691112.0000000009</v>
      </c>
      <c r="P225" s="1155">
        <v>23</v>
      </c>
      <c r="Q225" s="1142">
        <f t="shared" si="19"/>
        <v>213</v>
      </c>
      <c r="R225" s="1143">
        <f>VLOOKUP(B225,'[28]CN BC'!$F$10:$K$270,6,FALSE)</f>
        <v>0</v>
      </c>
      <c r="S225" s="1656"/>
      <c r="T225" s="1146"/>
      <c r="U225" s="1146"/>
      <c r="V225" s="1146"/>
    </row>
    <row r="226" spans="1:26" s="1148" customFormat="1" ht="33.75" customHeight="1">
      <c r="A226" s="1132">
        <f>_xlfn.AGGREGATE(4,7,A$12:A225)+1</f>
        <v>214</v>
      </c>
      <c r="B226" s="1133" t="s">
        <v>1909</v>
      </c>
      <c r="C226" s="1153" t="s">
        <v>1795</v>
      </c>
      <c r="D226" s="1154" t="s">
        <v>1404</v>
      </c>
      <c r="E226" s="383" t="str">
        <f>VLOOKUP(B226,TH.Q2!B145:E476,4,FALSE)</f>
        <v>Giảng viên khoa Điện - Điện tử</v>
      </c>
      <c r="F226" s="1136">
        <v>4.6500000000000004</v>
      </c>
      <c r="G226" s="1582"/>
      <c r="H226" s="1400">
        <f t="shared" si="16"/>
        <v>0</v>
      </c>
      <c r="I226" s="1138"/>
      <c r="J226" s="1138" t="str">
        <f>VLOOKUP(B226,'[27]Gui chi Quynh'!$B$11:$E$388,4,FALSE)</f>
        <v>A3</v>
      </c>
      <c r="K226" s="1138">
        <f t="shared" si="18"/>
        <v>0.6</v>
      </c>
      <c r="L226" s="1139">
        <v>20</v>
      </c>
      <c r="M226" s="1139">
        <v>20</v>
      </c>
      <c r="N226" s="1155"/>
      <c r="O226" s="1141">
        <f t="shared" si="20"/>
        <v>6528600</v>
      </c>
      <c r="P226" s="1155">
        <v>23</v>
      </c>
      <c r="Q226" s="1142">
        <f t="shared" si="19"/>
        <v>214</v>
      </c>
      <c r="R226" s="1143">
        <f>VLOOKUP(B226,'[28]CN BC'!$F$10:$K$270,6,FALSE)</f>
        <v>0</v>
      </c>
      <c r="S226" s="1656"/>
    </row>
    <row r="227" spans="1:26" s="1148" customFormat="1" ht="33.75" customHeight="1">
      <c r="A227" s="1132">
        <f>_xlfn.AGGREGATE(4,7,A$12:A226)+1</f>
        <v>215</v>
      </c>
      <c r="B227" s="1133" t="s">
        <v>1539</v>
      </c>
      <c r="C227" s="1153" t="s">
        <v>1796</v>
      </c>
      <c r="D227" s="1154" t="s">
        <v>1405</v>
      </c>
      <c r="E227" s="383" t="str">
        <f>VLOOKUP(B227,TH.Q2!B146:E477,4,FALSE)</f>
        <v>Giảng viên khoa
Điện - Điện tử</v>
      </c>
      <c r="F227" s="1136">
        <v>4.6500000000000004</v>
      </c>
      <c r="G227" s="1137"/>
      <c r="H227" s="1400">
        <f t="shared" si="16"/>
        <v>0</v>
      </c>
      <c r="I227" s="1138"/>
      <c r="J227" s="1138" t="str">
        <f>VLOOKUP(B227,'[27]Gui chi Quynh'!$B$11:$E$388,4,FALSE)</f>
        <v>A3</v>
      </c>
      <c r="K227" s="1138">
        <f t="shared" si="18"/>
        <v>0.6</v>
      </c>
      <c r="L227" s="1139">
        <v>20</v>
      </c>
      <c r="M227" s="1139">
        <v>20</v>
      </c>
      <c r="N227" s="1155"/>
      <c r="O227" s="1141">
        <f t="shared" si="20"/>
        <v>6528600</v>
      </c>
      <c r="P227" s="1155">
        <v>23</v>
      </c>
      <c r="Q227" s="1142">
        <f t="shared" si="19"/>
        <v>215</v>
      </c>
      <c r="R227" s="1143">
        <f>VLOOKUP(B227,'[28]CN BC'!$F$10:$K$270,6,FALSE)</f>
        <v>0</v>
      </c>
      <c r="S227" s="1656"/>
    </row>
    <row r="228" spans="1:26" s="1148" customFormat="1" ht="33.75" customHeight="1">
      <c r="A228" s="1132">
        <f>_xlfn.AGGREGATE(4,7,A$12:A227)+1</f>
        <v>216</v>
      </c>
      <c r="B228" s="1133" t="s">
        <v>1910</v>
      </c>
      <c r="C228" s="1149" t="s">
        <v>1797</v>
      </c>
      <c r="D228" s="1154" t="s">
        <v>1406</v>
      </c>
      <c r="E228" s="1058" t="str">
        <f>VLOOKUP(B228,TH.Q2!B147:E478,4,FALSE)</f>
        <v>Giảng viên khoa Điện - Điện tử</v>
      </c>
      <c r="F228" s="1136">
        <v>4.6500000000000004</v>
      </c>
      <c r="G228" s="1137"/>
      <c r="H228" s="1393">
        <f t="shared" si="16"/>
        <v>0</v>
      </c>
      <c r="I228" s="1138"/>
      <c r="J228" s="1138" t="str">
        <f>VLOOKUP(B228,'[27]Gui chi Quynh'!$B$11:$E$388,4,FALSE)</f>
        <v>A3</v>
      </c>
      <c r="K228" s="1138">
        <f t="shared" si="18"/>
        <v>0.6</v>
      </c>
      <c r="L228" s="1139">
        <v>20</v>
      </c>
      <c r="M228" s="1139">
        <v>20</v>
      </c>
      <c r="N228" s="1140"/>
      <c r="O228" s="1141">
        <f t="shared" si="20"/>
        <v>6528600</v>
      </c>
      <c r="P228" s="1140">
        <v>23</v>
      </c>
      <c r="Q228" s="1142">
        <f t="shared" si="19"/>
        <v>216</v>
      </c>
      <c r="R228" s="1143">
        <f>VLOOKUP(B228,'[28]CN BC'!$F$10:$K$270,6,FALSE)</f>
        <v>0</v>
      </c>
      <c r="S228" s="1656"/>
      <c r="T228" s="1146"/>
      <c r="U228" s="1146"/>
      <c r="V228" s="1146"/>
      <c r="W228" s="1146"/>
      <c r="X228" s="1146"/>
      <c r="Y228" s="1146"/>
      <c r="Z228" s="1146"/>
    </row>
    <row r="229" spans="1:26" s="1148" customFormat="1" ht="33.75" customHeight="1">
      <c r="A229" s="1132">
        <f>_xlfn.AGGREGATE(4,7,A$12:A228)+1</f>
        <v>217</v>
      </c>
      <c r="B229" s="1133" t="s">
        <v>1911</v>
      </c>
      <c r="C229" s="1153" t="s">
        <v>1798</v>
      </c>
      <c r="D229" s="1154" t="s">
        <v>1407</v>
      </c>
      <c r="E229" s="1058" t="str">
        <f>VLOOKUP(B229,TH.Q2!B148:E479,4,FALSE)</f>
        <v>Giảng viên khoa Điện - Điện tử</v>
      </c>
      <c r="F229" s="1136">
        <v>4.6500000000000004</v>
      </c>
      <c r="G229" s="1137"/>
      <c r="H229" s="1393">
        <f t="shared" si="16"/>
        <v>0</v>
      </c>
      <c r="I229" s="1138"/>
      <c r="J229" s="1138" t="str">
        <f>VLOOKUP(B229,'[27]Gui chi Quynh'!$B$11:$E$388,4,FALSE)</f>
        <v>A4</v>
      </c>
      <c r="K229" s="1138">
        <f t="shared" si="18"/>
        <v>0.5</v>
      </c>
      <c r="L229" s="1139">
        <v>20</v>
      </c>
      <c r="M229" s="1139">
        <v>20</v>
      </c>
      <c r="N229" s="1140"/>
      <c r="O229" s="1141">
        <f t="shared" si="20"/>
        <v>5440500</v>
      </c>
      <c r="P229" s="1140">
        <v>23</v>
      </c>
      <c r="Q229" s="1142">
        <f t="shared" si="19"/>
        <v>217</v>
      </c>
      <c r="R229" s="1143">
        <f>VLOOKUP(B229,'[28]CN BC'!$F$10:$K$270,6,FALSE)</f>
        <v>0</v>
      </c>
      <c r="S229" s="1656"/>
      <c r="T229" s="1146"/>
      <c r="U229" s="1146"/>
      <c r="V229" s="1146"/>
    </row>
    <row r="230" spans="1:26" s="1146" customFormat="1" ht="33.75" customHeight="1">
      <c r="A230" s="1132">
        <f>_xlfn.AGGREGATE(4,7,A$12:A229)+1</f>
        <v>218</v>
      </c>
      <c r="B230" s="1172" t="s">
        <v>1912</v>
      </c>
      <c r="C230" s="1149" t="s">
        <v>1799</v>
      </c>
      <c r="D230" s="1173" t="s">
        <v>1409</v>
      </c>
      <c r="E230" s="1058" t="str">
        <f>VLOOKUP(B230,TH.Q2!B149:E480,4,FALSE)</f>
        <v>Giảng viên khoa Điện - Điện tử</v>
      </c>
      <c r="F230" s="1174">
        <v>4.6500000000000004</v>
      </c>
      <c r="G230" s="1175"/>
      <c r="H230" s="1393">
        <f t="shared" si="16"/>
        <v>0</v>
      </c>
      <c r="I230" s="1176"/>
      <c r="J230" s="1138" t="str">
        <f>VLOOKUP(B230,'[27]Gui chi Quynh'!$B$11:$E$388,4,FALSE)</f>
        <v>A3</v>
      </c>
      <c r="K230" s="1138">
        <f t="shared" si="18"/>
        <v>0.6</v>
      </c>
      <c r="L230" s="1139">
        <v>20</v>
      </c>
      <c r="M230" s="1139">
        <v>20</v>
      </c>
      <c r="N230" s="1140"/>
      <c r="O230" s="1141">
        <f t="shared" si="20"/>
        <v>6528600</v>
      </c>
      <c r="P230" s="1140">
        <v>24</v>
      </c>
      <c r="Q230" s="1142">
        <f t="shared" si="19"/>
        <v>218</v>
      </c>
      <c r="R230" s="1143">
        <f>VLOOKUP(B230,'[28]CN BC'!$F$10:$K$270,6,FALSE)</f>
        <v>0</v>
      </c>
      <c r="S230" s="1656"/>
    </row>
    <row r="231" spans="1:26" s="1146" customFormat="1" ht="33.75" customHeight="1">
      <c r="A231" s="1132">
        <f>_xlfn.AGGREGATE(4,7,A$12:A230)+1</f>
        <v>219</v>
      </c>
      <c r="B231" s="1172" t="s">
        <v>1913</v>
      </c>
      <c r="C231" s="1149" t="s">
        <v>1800</v>
      </c>
      <c r="D231" s="1173" t="s">
        <v>1410</v>
      </c>
      <c r="E231" s="1058" t="str">
        <f>VLOOKUP(B231,TH.Q2!B150:E481,4,FALSE)</f>
        <v>Giảng viên khoa Điện - Điện tử</v>
      </c>
      <c r="F231" s="1174">
        <v>4.6500000000000004</v>
      </c>
      <c r="G231" s="1175"/>
      <c r="H231" s="1393">
        <f t="shared" si="16"/>
        <v>0</v>
      </c>
      <c r="I231" s="1176"/>
      <c r="J231" s="1138" t="str">
        <f>VLOOKUP(B231,'[27]Gui chi Quynh'!$B$11:$E$388,4,FALSE)</f>
        <v>A3</v>
      </c>
      <c r="K231" s="1138">
        <f t="shared" si="18"/>
        <v>0.6</v>
      </c>
      <c r="L231" s="1139">
        <v>20</v>
      </c>
      <c r="M231" s="1139">
        <v>20</v>
      </c>
      <c r="N231" s="1140"/>
      <c r="O231" s="1141">
        <f t="shared" si="20"/>
        <v>6528600</v>
      </c>
      <c r="P231" s="1140">
        <v>23</v>
      </c>
      <c r="Q231" s="1142">
        <f t="shared" si="19"/>
        <v>219</v>
      </c>
      <c r="R231" s="1143">
        <f>VLOOKUP(B231,'[28]CN BC'!$F$10:$K$270,6,FALSE)</f>
        <v>0</v>
      </c>
      <c r="S231" s="1656"/>
    </row>
    <row r="232" spans="1:26" s="1146" customFormat="1" ht="33.75" customHeight="1">
      <c r="A232" s="1132">
        <f>_xlfn.AGGREGATE(4,7,A$12:A231)+1</f>
        <v>220</v>
      </c>
      <c r="B232" s="1172" t="s">
        <v>1540</v>
      </c>
      <c r="C232" s="1149" t="s">
        <v>1801</v>
      </c>
      <c r="D232" s="1173" t="s">
        <v>1412</v>
      </c>
      <c r="E232" s="1058" t="str">
        <f>VLOOKUP(B232,TH.Q2!B151:E482,4,FALSE)</f>
        <v>Giảng viên khoa
Điện - Điện tử</v>
      </c>
      <c r="F232" s="1174">
        <v>4.32</v>
      </c>
      <c r="G232" s="1175"/>
      <c r="H232" s="1393">
        <f t="shared" si="16"/>
        <v>0</v>
      </c>
      <c r="I232" s="1176"/>
      <c r="J232" s="1138" t="str">
        <f>VLOOKUP(B232,'[27]Gui chi Quynh'!$B$11:$E$388,4,FALSE)</f>
        <v>A3</v>
      </c>
      <c r="K232" s="1138">
        <f t="shared" si="18"/>
        <v>0.6</v>
      </c>
      <c r="L232" s="1139">
        <v>20</v>
      </c>
      <c r="M232" s="1139">
        <v>20</v>
      </c>
      <c r="N232" s="1140"/>
      <c r="O232" s="1141">
        <f t="shared" si="20"/>
        <v>6065280</v>
      </c>
      <c r="P232" s="1140">
        <v>23</v>
      </c>
      <c r="Q232" s="1142">
        <f t="shared" si="19"/>
        <v>220</v>
      </c>
      <c r="R232" s="1143">
        <f>VLOOKUP(B232,'[28]CN BC'!$F$10:$K$270,6,FALSE)</f>
        <v>0</v>
      </c>
      <c r="S232" s="1656"/>
    </row>
    <row r="233" spans="1:26" s="1148" customFormat="1" ht="33.75" customHeight="1">
      <c r="A233" s="1132">
        <f>_xlfn.AGGREGATE(4,7,A$12:A232)+1</f>
        <v>221</v>
      </c>
      <c r="B233" s="1133" t="s">
        <v>1609</v>
      </c>
      <c r="C233" s="1153" t="s">
        <v>1973</v>
      </c>
      <c r="D233" s="1166" t="s">
        <v>1611</v>
      </c>
      <c r="E233" s="1058" t="str">
        <f>VLOOKUP(B233,TH.Q2!B152:E483,4,FALSE)</f>
        <v>Giảng viên khoa
Điện - Điện tử</v>
      </c>
      <c r="F233" s="1160">
        <v>3.33</v>
      </c>
      <c r="G233" s="1137"/>
      <c r="H233" s="1393">
        <f t="shared" si="16"/>
        <v>0</v>
      </c>
      <c r="I233" s="1138"/>
      <c r="J233" s="1138" t="str">
        <f>VLOOKUP(B233,'[27]Gui chi Quynh'!$B$11:$E$388,4,FALSE)</f>
        <v>A3</v>
      </c>
      <c r="K233" s="1138">
        <f t="shared" si="18"/>
        <v>0.6</v>
      </c>
      <c r="L233" s="1139">
        <v>20</v>
      </c>
      <c r="M233" s="1139">
        <v>20</v>
      </c>
      <c r="N233" s="1140"/>
      <c r="O233" s="1141">
        <f t="shared" si="20"/>
        <v>4675320</v>
      </c>
      <c r="P233" s="1140">
        <v>23</v>
      </c>
      <c r="Q233" s="1142">
        <f t="shared" si="19"/>
        <v>221</v>
      </c>
      <c r="R233" s="1143">
        <f>VLOOKUP(B233,'[28]CN BC'!$F$10:$K$270,6,FALSE)</f>
        <v>0</v>
      </c>
      <c r="S233" s="1656"/>
      <c r="T233" s="1146"/>
      <c r="U233" s="1146"/>
      <c r="V233" s="1146"/>
    </row>
    <row r="234" spans="1:26" s="1148" customFormat="1" ht="33.75" customHeight="1">
      <c r="A234" s="1132">
        <f>_xlfn.AGGREGATE(4,7,A$12:A233)+1</f>
        <v>222</v>
      </c>
      <c r="B234" s="1133" t="s">
        <v>1610</v>
      </c>
      <c r="C234" s="1153" t="s">
        <v>1974</v>
      </c>
      <c r="D234" s="1166" t="s">
        <v>1612</v>
      </c>
      <c r="E234" s="1058" t="str">
        <f>VLOOKUP(B234,TH.Q2!B153:E484,4,FALSE)</f>
        <v>Giảng viên khoa
Điện - Điện tử</v>
      </c>
      <c r="F234" s="1160">
        <v>3</v>
      </c>
      <c r="G234" s="1137"/>
      <c r="H234" s="1393">
        <f t="shared" si="16"/>
        <v>0</v>
      </c>
      <c r="I234" s="1138">
        <v>0.25</v>
      </c>
      <c r="J234" s="1138" t="str">
        <f>VLOOKUP(B234,'[27]Gui chi Quynh'!$B$11:$E$388,4,FALSE)</f>
        <v>A2</v>
      </c>
      <c r="K234" s="1138">
        <f t="shared" si="18"/>
        <v>0.7</v>
      </c>
      <c r="L234" s="1139">
        <v>20</v>
      </c>
      <c r="M234" s="1139">
        <v>20</v>
      </c>
      <c r="N234" s="1140"/>
      <c r="O234" s="1141">
        <f t="shared" si="20"/>
        <v>5323500</v>
      </c>
      <c r="P234" s="1140">
        <v>24</v>
      </c>
      <c r="Q234" s="1142">
        <f t="shared" si="19"/>
        <v>222</v>
      </c>
      <c r="R234" s="1143">
        <f>VLOOKUP(B234,'[28]CN BC'!$F$10:$K$270,6,FALSE)</f>
        <v>0</v>
      </c>
      <c r="S234" s="1656"/>
      <c r="T234" s="1146"/>
      <c r="U234" s="1146"/>
      <c r="V234" s="1146"/>
    </row>
    <row r="235" spans="1:26" s="1148" customFormat="1" ht="33.75" customHeight="1">
      <c r="A235" s="1132">
        <f>_xlfn.AGGREGATE(4,7,A$12:A234)+1</f>
        <v>223</v>
      </c>
      <c r="B235" s="1223" t="s">
        <v>1838</v>
      </c>
      <c r="C235" s="1153" t="s">
        <v>1975</v>
      </c>
      <c r="D235" s="1159">
        <v>1603205590132</v>
      </c>
      <c r="E235" s="1058" t="str">
        <f>VLOOKUP(B235,TH.Q2!B154:E485,4,FALSE)</f>
        <v>Giảng viên khoa
Điện - Điện tử</v>
      </c>
      <c r="F235" s="1160">
        <v>3</v>
      </c>
      <c r="G235" s="1137"/>
      <c r="H235" s="1393">
        <f t="shared" si="16"/>
        <v>0</v>
      </c>
      <c r="I235" s="1138">
        <v>0.25</v>
      </c>
      <c r="J235" s="1138" t="str">
        <f>VLOOKUP(B235,'[27]Gui chi Quynh'!$B$11:$E$388,4,FALSE)</f>
        <v>A3</v>
      </c>
      <c r="K235" s="1138">
        <f t="shared" si="18"/>
        <v>0.6</v>
      </c>
      <c r="L235" s="1139">
        <v>20</v>
      </c>
      <c r="M235" s="1139">
        <v>20</v>
      </c>
      <c r="N235" s="1140"/>
      <c r="O235" s="1141">
        <f t="shared" si="20"/>
        <v>4563000</v>
      </c>
      <c r="P235" s="1140">
        <v>23</v>
      </c>
      <c r="Q235" s="1142">
        <f t="shared" si="19"/>
        <v>223</v>
      </c>
      <c r="R235" s="1143">
        <f>VLOOKUP(B235,'[28]CN BC'!$F$10:$K$270,6,FALSE)</f>
        <v>0</v>
      </c>
      <c r="S235" s="1656"/>
      <c r="T235" s="1146"/>
      <c r="U235" s="1146"/>
      <c r="V235" s="1146"/>
    </row>
    <row r="236" spans="1:26" s="1148" customFormat="1" ht="33.75" customHeight="1">
      <c r="A236" s="1132">
        <f>_xlfn.AGGREGATE(4,7,A$12:A235)+1</f>
        <v>224</v>
      </c>
      <c r="B236" s="1223" t="s">
        <v>1993</v>
      </c>
      <c r="C236" s="1153"/>
      <c r="D236" s="1225"/>
      <c r="E236" s="1058" t="str">
        <f>VLOOKUP(B236,TH.Q2!B155:E486,4,FALSE)</f>
        <v>Giảng viên khoa Điện - Điện tử</v>
      </c>
      <c r="F236" s="1136">
        <v>4.32</v>
      </c>
      <c r="G236" s="1137"/>
      <c r="H236" s="1393">
        <f t="shared" si="16"/>
        <v>0</v>
      </c>
      <c r="I236" s="1138"/>
      <c r="J236" s="1138" t="str">
        <f>VLOOKUP(B236,'[27]Gui chi Quynh'!$B$11:$E$388,4,FALSE)</f>
        <v>A3</v>
      </c>
      <c r="K236" s="1138">
        <f t="shared" si="18"/>
        <v>0.6</v>
      </c>
      <c r="L236" s="1139">
        <v>20</v>
      </c>
      <c r="M236" s="1139">
        <v>20</v>
      </c>
      <c r="N236" s="1140"/>
      <c r="O236" s="1141">
        <f t="shared" si="20"/>
        <v>6065280</v>
      </c>
      <c r="P236" s="1155">
        <v>23</v>
      </c>
      <c r="Q236" s="1142">
        <f t="shared" si="19"/>
        <v>224</v>
      </c>
      <c r="R236" s="1143">
        <f>VLOOKUP(B236,'[28]CN BC'!$F$10:$K$270,6,FALSE)</f>
        <v>0</v>
      </c>
      <c r="S236" s="1656"/>
      <c r="T236" s="1146"/>
      <c r="U236" s="1146"/>
      <c r="V236" s="1146"/>
    </row>
    <row r="237" spans="1:26" s="1148" customFormat="1" ht="33.75" customHeight="1">
      <c r="A237" s="1132">
        <f>_xlfn.AGGREGATE(4,7,A$12:A236)+1</f>
        <v>225</v>
      </c>
      <c r="B237" s="1223" t="s">
        <v>2002</v>
      </c>
      <c r="C237" s="1153"/>
      <c r="D237" s="1225"/>
      <c r="E237" s="1058" t="str">
        <f>VLOOKUP(B237,TH.Q2!B156:E487,4,FALSE)</f>
        <v>Giảng viên khoa Điện - Điện tử</v>
      </c>
      <c r="F237" s="1136">
        <v>2.67</v>
      </c>
      <c r="G237" s="1137"/>
      <c r="H237" s="1393">
        <f t="shared" si="16"/>
        <v>0</v>
      </c>
      <c r="I237" s="1138"/>
      <c r="J237" s="1138" t="str">
        <f>VLOOKUP(B237,'[27]Gui chi Quynh'!$B$11:$E$388,4,FALSE)</f>
        <v>A3</v>
      </c>
      <c r="K237" s="1138">
        <f t="shared" si="18"/>
        <v>0.6</v>
      </c>
      <c r="L237" s="1139">
        <v>20</v>
      </c>
      <c r="M237" s="1139">
        <v>20</v>
      </c>
      <c r="N237" s="1140"/>
      <c r="O237" s="1141">
        <f t="shared" si="20"/>
        <v>3748680</v>
      </c>
      <c r="P237" s="1155">
        <v>23</v>
      </c>
      <c r="Q237" s="1142">
        <f t="shared" si="19"/>
        <v>225</v>
      </c>
      <c r="R237" s="1143">
        <f>VLOOKUP(B237,'[28]CN BC'!$F$10:$K$270,6,FALSE)</f>
        <v>0</v>
      </c>
      <c r="S237" s="1656"/>
    </row>
    <row r="238" spans="1:26" s="1148" customFormat="1" ht="33.75" customHeight="1">
      <c r="A238" s="1132">
        <f>_xlfn.AGGREGATE(4,7,A$12:A237)+1</f>
        <v>226</v>
      </c>
      <c r="B238" s="1223" t="s">
        <v>2004</v>
      </c>
      <c r="C238" s="1153"/>
      <c r="D238" s="1225"/>
      <c r="E238" s="1058" t="str">
        <f>VLOOKUP(B238,TH.Q2!B157:E488,4,FALSE)</f>
        <v>Giảng viên khoa Điện - Điện tử</v>
      </c>
      <c r="F238" s="1136">
        <v>2.34</v>
      </c>
      <c r="G238" s="1137"/>
      <c r="H238" s="1393">
        <f t="shared" si="16"/>
        <v>0</v>
      </c>
      <c r="I238" s="1138"/>
      <c r="J238" s="1138" t="str">
        <f>VLOOKUP(B238,'[27]Gui chi Quynh'!$B$11:$E$388,4,FALSE)</f>
        <v>A4</v>
      </c>
      <c r="K238" s="1138">
        <f t="shared" si="18"/>
        <v>0.5</v>
      </c>
      <c r="L238" s="1139">
        <v>20</v>
      </c>
      <c r="M238" s="1139">
        <v>20</v>
      </c>
      <c r="N238" s="1140"/>
      <c r="O238" s="1141">
        <f t="shared" si="20"/>
        <v>2737800</v>
      </c>
      <c r="P238" s="1155">
        <v>23</v>
      </c>
      <c r="Q238" s="1142">
        <f t="shared" si="19"/>
        <v>226</v>
      </c>
      <c r="R238" s="1143">
        <f>VLOOKUP(B238,'[28]CN BC'!$F$10:$K$270,6,FALSE)</f>
        <v>0</v>
      </c>
      <c r="S238" s="1656"/>
    </row>
    <row r="239" spans="1:26" s="1148" customFormat="1" ht="33.75" customHeight="1">
      <c r="A239" s="1132">
        <f>_xlfn.AGGREGATE(4,7,A$12:A238)+1</f>
        <v>227</v>
      </c>
      <c r="B239" s="1424" t="s">
        <v>1458</v>
      </c>
      <c r="C239" s="1657" t="s">
        <v>1995</v>
      </c>
      <c r="D239" s="1462" t="s">
        <v>1577</v>
      </c>
      <c r="E239" s="1532" t="s">
        <v>2453</v>
      </c>
      <c r="F239" s="1427">
        <v>4.9800000000000004</v>
      </c>
      <c r="G239" s="1417">
        <v>0.06</v>
      </c>
      <c r="H239" s="1418">
        <f>ROUND(F239*G239,3)</f>
        <v>0.29899999999999999</v>
      </c>
      <c r="I239" s="1205">
        <v>0.45</v>
      </c>
      <c r="J239" s="1138" t="str">
        <f>VLOOKUP(B239,'[27]Gui chi Quynh'!$B$11:$E$388,4,FALSE)</f>
        <v>E</v>
      </c>
      <c r="K239" s="1415">
        <f>IF(J239="A1",0.8,IF(J239="A2",0.7,IF(J239="A3",0.6,IF(J239="A4",0.5,IF(J239="B1",0.35,IF(J239="B2",0.25,IF(J239="C1",0.15,IF(J239="C2",0.1,0))))))))</f>
        <v>0</v>
      </c>
      <c r="L239" s="1419">
        <v>20</v>
      </c>
      <c r="M239" s="1419">
        <v>20</v>
      </c>
      <c r="N239" s="1420"/>
      <c r="O239" s="1421">
        <f t="shared" si="20"/>
        <v>0</v>
      </c>
      <c r="P239" s="1420">
        <v>30</v>
      </c>
      <c r="Q239" s="1422">
        <f t="shared" si="19"/>
        <v>227</v>
      </c>
      <c r="R239" s="1423" t="s">
        <v>2425</v>
      </c>
      <c r="S239" s="1656"/>
    </row>
    <row r="240" spans="1:26" s="1148" customFormat="1" ht="33.75" customHeight="1">
      <c r="A240" s="1132">
        <f>_xlfn.AGGREGATE(4,7,A$12:A239)+1</f>
        <v>228</v>
      </c>
      <c r="B240" s="1133" t="s">
        <v>1914</v>
      </c>
      <c r="C240" s="1153" t="s">
        <v>1803</v>
      </c>
      <c r="D240" s="1154" t="s">
        <v>0</v>
      </c>
      <c r="E240" s="1058" t="str">
        <f>VLOOKUP(B240,TH.Q2!B158:E489,4,FALSE)</f>
        <v>Trưởng khoa Động lực</v>
      </c>
      <c r="F240" s="1136">
        <v>4.6500000000000004</v>
      </c>
      <c r="G240" s="1137"/>
      <c r="H240" s="1393">
        <f t="shared" si="16"/>
        <v>0</v>
      </c>
      <c r="I240" s="1138">
        <v>0.45</v>
      </c>
      <c r="J240" s="1138" t="str">
        <f>VLOOKUP(B240,'[27]Gui chi Quynh'!$B$11:$E$388,4,FALSE)</f>
        <v>A1</v>
      </c>
      <c r="K240" s="1138">
        <f t="shared" si="18"/>
        <v>0.8</v>
      </c>
      <c r="L240" s="1139">
        <v>20</v>
      </c>
      <c r="M240" s="1139">
        <v>20</v>
      </c>
      <c r="N240" s="1140"/>
      <c r="O240" s="1141">
        <f t="shared" si="20"/>
        <v>9547200.0000000019</v>
      </c>
      <c r="P240" s="1140">
        <v>23</v>
      </c>
      <c r="Q240" s="1142">
        <f t="shared" si="19"/>
        <v>228</v>
      </c>
      <c r="R240" s="1143">
        <f>VLOOKUP(B240,'[28]CN BC'!$F$10:$K$270,6,FALSE)</f>
        <v>0</v>
      </c>
      <c r="S240" s="1656"/>
      <c r="T240" s="1146"/>
      <c r="U240" s="1146"/>
      <c r="V240" s="1146"/>
    </row>
    <row r="241" spans="1:22" s="1148" customFormat="1" ht="33.75" customHeight="1">
      <c r="A241" s="1132">
        <f>_xlfn.AGGREGATE(4,7,A$12:A240)+1</f>
        <v>229</v>
      </c>
      <c r="B241" s="1133" t="s">
        <v>1915</v>
      </c>
      <c r="C241" s="1153" t="s">
        <v>1804</v>
      </c>
      <c r="D241" s="1154" t="s">
        <v>1420</v>
      </c>
      <c r="E241" s="1058" t="str">
        <f>VLOOKUP(B241,TH.Q2!B159:E490,4,FALSE)</f>
        <v>Phó Trưởng khoa
 Động lực</v>
      </c>
      <c r="F241" s="1136">
        <v>4.9800000000000004</v>
      </c>
      <c r="G241" s="1137"/>
      <c r="H241" s="1393">
        <f t="shared" si="16"/>
        <v>0</v>
      </c>
      <c r="I241" s="1138">
        <v>0.35</v>
      </c>
      <c r="J241" s="1138" t="str">
        <f>VLOOKUP(B241,'[27]Gui chi Quynh'!$B$11:$E$388,4,FALSE)</f>
        <v>A2</v>
      </c>
      <c r="K241" s="1138">
        <f t="shared" si="18"/>
        <v>0.7</v>
      </c>
      <c r="L241" s="1139">
        <v>20</v>
      </c>
      <c r="M241" s="1139">
        <v>20</v>
      </c>
      <c r="N241" s="1140"/>
      <c r="O241" s="1141">
        <f t="shared" si="20"/>
        <v>8730540</v>
      </c>
      <c r="P241" s="1140">
        <v>23</v>
      </c>
      <c r="Q241" s="1142">
        <f t="shared" si="19"/>
        <v>229</v>
      </c>
      <c r="R241" s="1143">
        <f>VLOOKUP(B241,'[28]CN BC'!$F$10:$K$270,6,FALSE)</f>
        <v>0</v>
      </c>
      <c r="S241" s="1656"/>
      <c r="T241" s="1146"/>
      <c r="U241" s="1146"/>
      <c r="V241" s="1146"/>
    </row>
    <row r="242" spans="1:22" s="1148" customFormat="1" ht="33.75" customHeight="1">
      <c r="A242" s="1132">
        <f>_xlfn.AGGREGATE(4,7,A$12:A241)+1</f>
        <v>230</v>
      </c>
      <c r="B242" s="1133" t="s">
        <v>1916</v>
      </c>
      <c r="C242" s="1153" t="s">
        <v>1805</v>
      </c>
      <c r="D242" s="1154" t="s">
        <v>1</v>
      </c>
      <c r="E242" s="1058" t="str">
        <f>VLOOKUP(B242,TH.Q2!B160:E491,4,FALSE)</f>
        <v>Giảng viên khoa Động lực</v>
      </c>
      <c r="F242" s="1136">
        <v>4.32</v>
      </c>
      <c r="G242" s="1137"/>
      <c r="H242" s="1393">
        <f t="shared" si="16"/>
        <v>0</v>
      </c>
      <c r="I242" s="1138">
        <v>0.25</v>
      </c>
      <c r="J242" s="1138" t="str">
        <f>VLOOKUP(B242,'[27]Gui chi Quynh'!$B$11:$E$388,4,FALSE)</f>
        <v>A3</v>
      </c>
      <c r="K242" s="1138">
        <f t="shared" si="18"/>
        <v>0.6</v>
      </c>
      <c r="L242" s="1139">
        <v>20</v>
      </c>
      <c r="M242" s="1139">
        <v>20</v>
      </c>
      <c r="N242" s="1140"/>
      <c r="O242" s="1141">
        <f t="shared" si="20"/>
        <v>6416280</v>
      </c>
      <c r="P242" s="1140">
        <v>23</v>
      </c>
      <c r="Q242" s="1142">
        <f t="shared" si="19"/>
        <v>230</v>
      </c>
      <c r="R242" s="1143">
        <f>VLOOKUP(B242,'[28]CN BC'!$F$10:$K$270,6,FALSE)</f>
        <v>0</v>
      </c>
      <c r="S242" s="1656"/>
      <c r="T242" s="1146"/>
      <c r="U242" s="1146"/>
      <c r="V242" s="1146"/>
    </row>
    <row r="243" spans="1:22" s="1148" customFormat="1" ht="33.75" customHeight="1">
      <c r="A243" s="1132">
        <f>_xlfn.AGGREGATE(4,7,A$12:A242)+1</f>
        <v>231</v>
      </c>
      <c r="B243" s="1133" t="s">
        <v>1542</v>
      </c>
      <c r="C243" s="1153" t="s">
        <v>1806</v>
      </c>
      <c r="D243" s="1154" t="s">
        <v>3</v>
      </c>
      <c r="E243" s="383" t="str">
        <f>VLOOKUP(B243,TH.Q2!B161:E492,4,FALSE)</f>
        <v>Giảng viên - Trưởng BM khoa Động lực</v>
      </c>
      <c r="F243" s="1160">
        <v>4.32</v>
      </c>
      <c r="G243" s="1137"/>
      <c r="H243" s="1400">
        <f t="shared" si="16"/>
        <v>0</v>
      </c>
      <c r="I243" s="1138"/>
      <c r="J243" s="1138" t="str">
        <f>VLOOKUP(B243,'[27]Gui chi Quynh'!$B$11:$E$388,4,FALSE)</f>
        <v>A4</v>
      </c>
      <c r="K243" s="1138">
        <f t="shared" si="18"/>
        <v>0.5</v>
      </c>
      <c r="L243" s="1139">
        <v>20</v>
      </c>
      <c r="M243" s="1139">
        <v>20</v>
      </c>
      <c r="N243" s="1155"/>
      <c r="O243" s="1141">
        <f t="shared" si="20"/>
        <v>5054400</v>
      </c>
      <c r="P243" s="1155">
        <v>24</v>
      </c>
      <c r="Q243" s="1142">
        <f t="shared" si="19"/>
        <v>231</v>
      </c>
      <c r="R243" s="1143">
        <f>VLOOKUP(B243,'[28]CN BC'!$F$10:$K$270,6,FALSE)</f>
        <v>0</v>
      </c>
      <c r="S243" s="1656"/>
    </row>
    <row r="244" spans="1:22" s="1148" customFormat="1" ht="33.75" customHeight="1">
      <c r="A244" s="1132">
        <f>_xlfn.AGGREGATE(4,7,A$12:A243)+1</f>
        <v>232</v>
      </c>
      <c r="B244" s="1133" t="s">
        <v>1543</v>
      </c>
      <c r="C244" s="1153" t="s">
        <v>1807</v>
      </c>
      <c r="D244" s="1154" t="s">
        <v>4</v>
      </c>
      <c r="E244" s="1058" t="str">
        <f>VLOOKUP(B244,TH.Q2!B162:E493,4,FALSE)</f>
        <v>Giảng viên - Trưởng BM khoa Động lực</v>
      </c>
      <c r="F244" s="1160">
        <v>4.32</v>
      </c>
      <c r="G244" s="1137"/>
      <c r="H244" s="1393">
        <f t="shared" si="16"/>
        <v>0</v>
      </c>
      <c r="I244" s="1138">
        <v>0.25</v>
      </c>
      <c r="J244" s="1138" t="str">
        <f>VLOOKUP(B244,'[27]Gui chi Quynh'!$B$11:$E$388,4,FALSE)</f>
        <v>A3</v>
      </c>
      <c r="K244" s="1138">
        <f t="shared" si="18"/>
        <v>0.6</v>
      </c>
      <c r="L244" s="1139">
        <v>20</v>
      </c>
      <c r="M244" s="1139">
        <v>20</v>
      </c>
      <c r="N244" s="1140"/>
      <c r="O244" s="1141">
        <f t="shared" ref="O244:O275" si="21">(((F244+H244+I244)*$O$9/L244*M244)*K244)+N244</f>
        <v>6416280</v>
      </c>
      <c r="P244" s="1140">
        <v>24</v>
      </c>
      <c r="Q244" s="1142">
        <f t="shared" si="19"/>
        <v>232</v>
      </c>
      <c r="R244" s="1143">
        <f>VLOOKUP(B244,'[28]CN BC'!$F$10:$K$270,6,FALSE)</f>
        <v>0</v>
      </c>
      <c r="S244" s="1656"/>
      <c r="T244" s="1146"/>
      <c r="U244" s="1146"/>
      <c r="V244" s="1146"/>
    </row>
    <row r="245" spans="1:22" s="1148" customFormat="1" ht="33.75" customHeight="1">
      <c r="A245" s="1132">
        <f>_xlfn.AGGREGATE(4,7,A$12:A244)+1</f>
        <v>233</v>
      </c>
      <c r="B245" s="1133" t="s">
        <v>1544</v>
      </c>
      <c r="C245" s="1153" t="s">
        <v>1808</v>
      </c>
      <c r="D245" s="1154" t="s">
        <v>5</v>
      </c>
      <c r="E245" s="383" t="str">
        <f>VLOOKUP(B245,TH.Q2!B163:E494,4,FALSE)</f>
        <v>Giảng viên khoa Động lực</v>
      </c>
      <c r="F245" s="1160">
        <v>3.99</v>
      </c>
      <c r="G245" s="1137"/>
      <c r="H245" s="1400">
        <f t="shared" si="16"/>
        <v>0</v>
      </c>
      <c r="I245" s="1138"/>
      <c r="J245" s="1138" t="str">
        <f>VLOOKUP(B245,'[27]Gui chi Quynh'!$B$11:$E$388,4,FALSE)</f>
        <v>A4</v>
      </c>
      <c r="K245" s="1138">
        <f t="shared" si="18"/>
        <v>0.5</v>
      </c>
      <c r="L245" s="1139">
        <v>20</v>
      </c>
      <c r="M245" s="1139">
        <v>20</v>
      </c>
      <c r="N245" s="1155"/>
      <c r="O245" s="1141">
        <f t="shared" si="21"/>
        <v>4668300</v>
      </c>
      <c r="P245" s="1155">
        <v>24</v>
      </c>
      <c r="Q245" s="1142">
        <f t="shared" si="19"/>
        <v>233</v>
      </c>
      <c r="R245" s="1143">
        <f>VLOOKUP(B245,'[28]CN BC'!$F$10:$K$270,6,FALSE)</f>
        <v>0</v>
      </c>
      <c r="S245" s="1656"/>
    </row>
    <row r="246" spans="1:22" s="1148" customFormat="1" ht="33.75" customHeight="1">
      <c r="A246" s="1132">
        <f>_xlfn.AGGREGATE(4,7,A$12:A245)+1</f>
        <v>234</v>
      </c>
      <c r="B246" s="1133" t="s">
        <v>1917</v>
      </c>
      <c r="C246" s="1153" t="s">
        <v>1809</v>
      </c>
      <c r="D246" s="1154" t="s">
        <v>394</v>
      </c>
      <c r="E246" s="383" t="str">
        <f>VLOOKUP(B246,TH.Q2!B164:E495,4,FALSE)</f>
        <v>Giảng viên khoa Động lực</v>
      </c>
      <c r="F246" s="1160">
        <v>3.99</v>
      </c>
      <c r="G246" s="1137"/>
      <c r="H246" s="1400">
        <f t="shared" si="16"/>
        <v>0</v>
      </c>
      <c r="I246" s="1138"/>
      <c r="J246" s="1138" t="str">
        <f>VLOOKUP(B246,'[27]Gui chi Quynh'!$B$11:$E$388,4,FALSE)</f>
        <v>A4</v>
      </c>
      <c r="K246" s="1138">
        <f t="shared" si="18"/>
        <v>0.5</v>
      </c>
      <c r="L246" s="1139">
        <v>20</v>
      </c>
      <c r="M246" s="1139">
        <v>20</v>
      </c>
      <c r="N246" s="1155"/>
      <c r="O246" s="1141">
        <f t="shared" si="21"/>
        <v>4668300</v>
      </c>
      <c r="P246" s="1155">
        <v>23</v>
      </c>
      <c r="Q246" s="1142">
        <f t="shared" si="19"/>
        <v>234</v>
      </c>
      <c r="R246" s="1143">
        <f>VLOOKUP(B246,'[28]CN BC'!$F$10:$K$270,6,FALSE)</f>
        <v>0</v>
      </c>
      <c r="S246" s="1656"/>
    </row>
    <row r="247" spans="1:22" s="1148" customFormat="1" ht="33.75" customHeight="1">
      <c r="A247" s="1132">
        <f>_xlfn.AGGREGATE(4,7,A$12:A246)+1</f>
        <v>235</v>
      </c>
      <c r="B247" s="1223" t="s">
        <v>1918</v>
      </c>
      <c r="C247" s="1153" t="s">
        <v>1810</v>
      </c>
      <c r="D247" s="1154" t="s">
        <v>393</v>
      </c>
      <c r="E247" s="383" t="str">
        <f>VLOOKUP(B247,TH.Q2!B165:E496,4,FALSE)</f>
        <v>Giảng viên khoa Động lực</v>
      </c>
      <c r="F247" s="1160">
        <v>3.99</v>
      </c>
      <c r="G247" s="1137"/>
      <c r="H247" s="1400">
        <f t="shared" si="16"/>
        <v>0</v>
      </c>
      <c r="I247" s="1138"/>
      <c r="J247" s="1138" t="str">
        <f>VLOOKUP(B247,'[27]Gui chi Quynh'!$B$11:$E$388,4,FALSE)</f>
        <v>A4</v>
      </c>
      <c r="K247" s="1138">
        <f t="shared" si="18"/>
        <v>0.5</v>
      </c>
      <c r="L247" s="1139">
        <v>20</v>
      </c>
      <c r="M247" s="1139">
        <v>20</v>
      </c>
      <c r="N247" s="1155"/>
      <c r="O247" s="1141">
        <f t="shared" si="21"/>
        <v>4668300</v>
      </c>
      <c r="P247" s="1155">
        <v>23</v>
      </c>
      <c r="Q247" s="1142">
        <f t="shared" si="19"/>
        <v>235</v>
      </c>
      <c r="R247" s="1143">
        <f>VLOOKUP(B247,'[28]CN BC'!$F$10:$K$270,6,FALSE)</f>
        <v>0</v>
      </c>
      <c r="S247" s="1656"/>
    </row>
    <row r="248" spans="1:22" s="1148" customFormat="1" ht="33.75" customHeight="1">
      <c r="A248" s="1132">
        <f>_xlfn.AGGREGATE(4,7,A$12:A247)+1</f>
        <v>236</v>
      </c>
      <c r="B248" s="1133" t="s">
        <v>1545</v>
      </c>
      <c r="C248" s="1153" t="s">
        <v>1811</v>
      </c>
      <c r="D248" s="1154" t="s">
        <v>395</v>
      </c>
      <c r="E248" s="383" t="str">
        <f>VLOOKUP(B248,TH.Q2!B166:E497,4,FALSE)</f>
        <v>Giảng viên khoa Động lực</v>
      </c>
      <c r="F248" s="1160">
        <v>3.99</v>
      </c>
      <c r="G248" s="1137"/>
      <c r="H248" s="1400">
        <f t="shared" si="16"/>
        <v>0</v>
      </c>
      <c r="I248" s="1138"/>
      <c r="J248" s="1138" t="str">
        <f>VLOOKUP(B248,'[27]Gui chi Quynh'!$B$11:$E$388,4,FALSE)</f>
        <v>A4</v>
      </c>
      <c r="K248" s="1138">
        <f t="shared" si="18"/>
        <v>0.5</v>
      </c>
      <c r="L248" s="1139">
        <v>20</v>
      </c>
      <c r="M248" s="1139">
        <v>20</v>
      </c>
      <c r="N248" s="1155"/>
      <c r="O248" s="1141">
        <f t="shared" si="21"/>
        <v>4668300</v>
      </c>
      <c r="P248" s="1155">
        <v>23</v>
      </c>
      <c r="Q248" s="1142">
        <f t="shared" si="19"/>
        <v>236</v>
      </c>
      <c r="R248" s="1143">
        <f>VLOOKUP(B248,'[28]CN BC'!$F$10:$K$270,6,FALSE)</f>
        <v>0</v>
      </c>
      <c r="S248" s="1656"/>
    </row>
    <row r="249" spans="1:22" s="1148" customFormat="1" ht="33.75" customHeight="1">
      <c r="A249" s="1132">
        <f>_xlfn.AGGREGATE(4,7,A$12:A248)+1</f>
        <v>237</v>
      </c>
      <c r="B249" s="1133" t="s">
        <v>1546</v>
      </c>
      <c r="C249" s="1153" t="s">
        <v>1812</v>
      </c>
      <c r="D249" s="1154" t="s">
        <v>473</v>
      </c>
      <c r="E249" s="1058" t="str">
        <f>VLOOKUP(B249,TH.Q2!B167:E498,4,FALSE)</f>
        <v>Giảng viên khoa Động lực</v>
      </c>
      <c r="F249" s="1160">
        <v>3.66</v>
      </c>
      <c r="G249" s="1137"/>
      <c r="H249" s="1393">
        <f t="shared" si="16"/>
        <v>0</v>
      </c>
      <c r="I249" s="1138"/>
      <c r="J249" s="1138" t="str">
        <f>VLOOKUP(B249,'[27]Gui chi Quynh'!$B$11:$E$388,4,FALSE)</f>
        <v>A4</v>
      </c>
      <c r="K249" s="1138">
        <f t="shared" si="18"/>
        <v>0.5</v>
      </c>
      <c r="L249" s="1139">
        <v>20</v>
      </c>
      <c r="M249" s="1139">
        <v>20</v>
      </c>
      <c r="N249" s="1140"/>
      <c r="O249" s="1141">
        <f t="shared" si="21"/>
        <v>4282200</v>
      </c>
      <c r="P249" s="1140">
        <v>23</v>
      </c>
      <c r="Q249" s="1142">
        <f t="shared" si="19"/>
        <v>237</v>
      </c>
      <c r="R249" s="1143">
        <f>VLOOKUP(B249,'[28]CN BC'!$F$10:$K$270,6,FALSE)</f>
        <v>0</v>
      </c>
      <c r="S249" s="1656"/>
      <c r="T249" s="1146"/>
      <c r="U249" s="1146"/>
      <c r="V249" s="1146"/>
    </row>
    <row r="250" spans="1:22" s="1148" customFormat="1" ht="33.75" customHeight="1">
      <c r="A250" s="1132">
        <f>_xlfn.AGGREGATE(4,7,A$12:A249)+1</f>
        <v>238</v>
      </c>
      <c r="B250" s="1133" t="s">
        <v>1547</v>
      </c>
      <c r="C250" s="1153" t="s">
        <v>1813</v>
      </c>
      <c r="D250" s="1226" t="s">
        <v>490</v>
      </c>
      <c r="E250" s="1058" t="str">
        <f>VLOOKUP(B250,TH.Q2!B168:E499,4,FALSE)</f>
        <v>Giảng viên khoa Động lực</v>
      </c>
      <c r="F250" s="1160">
        <v>3.66</v>
      </c>
      <c r="G250" s="1137"/>
      <c r="H250" s="1393">
        <f t="shared" si="16"/>
        <v>0</v>
      </c>
      <c r="I250" s="1138"/>
      <c r="J250" s="1138" t="str">
        <f>VLOOKUP(B250,'[27]Gui chi Quynh'!$B$11:$E$388,4,FALSE)</f>
        <v>A4</v>
      </c>
      <c r="K250" s="1138">
        <f t="shared" si="18"/>
        <v>0.5</v>
      </c>
      <c r="L250" s="1139">
        <v>20</v>
      </c>
      <c r="M250" s="1139">
        <v>20</v>
      </c>
      <c r="N250" s="1140"/>
      <c r="O250" s="1141">
        <f t="shared" si="21"/>
        <v>4282200</v>
      </c>
      <c r="P250" s="1140">
        <v>24</v>
      </c>
      <c r="Q250" s="1142">
        <f t="shared" si="19"/>
        <v>238</v>
      </c>
      <c r="R250" s="1143">
        <f>VLOOKUP(B250,'[28]CN BC'!$F$10:$K$270,6,FALSE)</f>
        <v>0</v>
      </c>
      <c r="S250" s="1656"/>
      <c r="T250" s="1146"/>
      <c r="U250" s="1146"/>
      <c r="V250" s="1146"/>
    </row>
    <row r="251" spans="1:22" s="1148" customFormat="1" ht="33.75" customHeight="1">
      <c r="A251" s="1132">
        <f>_xlfn.AGGREGATE(4,7,A$12:A250)+1</f>
        <v>239</v>
      </c>
      <c r="B251" s="1133" t="s">
        <v>1919</v>
      </c>
      <c r="C251" s="1153" t="s">
        <v>1814</v>
      </c>
      <c r="D251" s="1154" t="s">
        <v>750</v>
      </c>
      <c r="E251" s="1058" t="str">
        <f>VLOOKUP(B251,TH.Q2!B169:E500,4,FALSE)</f>
        <v>Giảng viên khoa Động lực</v>
      </c>
      <c r="F251" s="1160">
        <v>3.66</v>
      </c>
      <c r="G251" s="1137"/>
      <c r="H251" s="1393">
        <f t="shared" si="16"/>
        <v>0</v>
      </c>
      <c r="I251" s="1138"/>
      <c r="J251" s="1138" t="str">
        <f>VLOOKUP(B251,'[27]Gui chi Quynh'!$B$11:$E$388,4,FALSE)</f>
        <v>A4</v>
      </c>
      <c r="K251" s="1138">
        <f t="shared" si="18"/>
        <v>0.5</v>
      </c>
      <c r="L251" s="1139">
        <v>20</v>
      </c>
      <c r="M251" s="1139">
        <v>20</v>
      </c>
      <c r="N251" s="1140"/>
      <c r="O251" s="1141">
        <f t="shared" si="21"/>
        <v>4282200</v>
      </c>
      <c r="P251" s="1140">
        <v>23</v>
      </c>
      <c r="Q251" s="1142">
        <f t="shared" si="19"/>
        <v>239</v>
      </c>
      <c r="R251" s="1143">
        <f>VLOOKUP(B251,'[28]CN BC'!$F$10:$K$270,6,FALSE)</f>
        <v>0</v>
      </c>
      <c r="S251" s="1656"/>
      <c r="T251" s="1146"/>
      <c r="U251" s="1146"/>
      <c r="V251" s="1146"/>
    </row>
    <row r="252" spans="1:22" s="1148" customFormat="1" ht="33.75" customHeight="1">
      <c r="A252" s="1132">
        <f>_xlfn.AGGREGATE(4,7,A$12:A251)+1</f>
        <v>240</v>
      </c>
      <c r="B252" s="1133" t="s">
        <v>1548</v>
      </c>
      <c r="C252" s="1153" t="s">
        <v>1815</v>
      </c>
      <c r="D252" s="1154" t="s">
        <v>752</v>
      </c>
      <c r="E252" s="1058" t="str">
        <f>VLOOKUP(B252,TH.Q2!B170:E501,4,FALSE)</f>
        <v>Giảng viên khoa Động lực</v>
      </c>
      <c r="F252" s="1160">
        <v>3.66</v>
      </c>
      <c r="G252" s="1137"/>
      <c r="H252" s="1393">
        <f t="shared" si="16"/>
        <v>0</v>
      </c>
      <c r="I252" s="1138"/>
      <c r="J252" s="1138" t="str">
        <f>VLOOKUP(B252,'[27]Gui chi Quynh'!$B$11:$E$388,4,FALSE)</f>
        <v>A4</v>
      </c>
      <c r="K252" s="1138">
        <f t="shared" si="18"/>
        <v>0.5</v>
      </c>
      <c r="L252" s="1139">
        <v>20</v>
      </c>
      <c r="M252" s="1139">
        <v>20</v>
      </c>
      <c r="N252" s="1140"/>
      <c r="O252" s="1141">
        <f t="shared" si="21"/>
        <v>4282200</v>
      </c>
      <c r="P252" s="1155">
        <v>23</v>
      </c>
      <c r="Q252" s="1142">
        <f t="shared" si="19"/>
        <v>240</v>
      </c>
      <c r="R252" s="1143">
        <f>VLOOKUP(B252,'[28]CN BC'!$F$10:$K$270,6,FALSE)</f>
        <v>0</v>
      </c>
      <c r="S252" s="1656"/>
    </row>
    <row r="253" spans="1:22" s="1148" customFormat="1" ht="33.75" customHeight="1">
      <c r="A253" s="1132">
        <f>_xlfn.AGGREGATE(4,7,A$12:A252)+1</f>
        <v>241</v>
      </c>
      <c r="B253" s="1133" t="s">
        <v>1549</v>
      </c>
      <c r="C253" s="1153" t="s">
        <v>1816</v>
      </c>
      <c r="D253" s="1150" t="s">
        <v>1429</v>
      </c>
      <c r="E253" s="383" t="str">
        <f>VLOOKUP(B253,TH.Q2!B171:E502,4,FALSE)</f>
        <v>Giảng viên khoa Động lực</v>
      </c>
      <c r="F253" s="1231">
        <v>3.66</v>
      </c>
      <c r="G253" s="1137"/>
      <c r="H253" s="1400">
        <f t="shared" si="16"/>
        <v>0</v>
      </c>
      <c r="I253" s="1138">
        <v>0.25</v>
      </c>
      <c r="J253" s="1138" t="str">
        <f>VLOOKUP(B253,'[27]Gui chi Quynh'!$B$11:$E$388,4,FALSE)</f>
        <v>A3</v>
      </c>
      <c r="K253" s="1138">
        <f t="shared" si="18"/>
        <v>0.6</v>
      </c>
      <c r="L253" s="1139">
        <v>20</v>
      </c>
      <c r="M253" s="1139">
        <v>20</v>
      </c>
      <c r="N253" s="1155"/>
      <c r="O253" s="1141">
        <f t="shared" si="21"/>
        <v>5489640</v>
      </c>
      <c r="P253" s="1155">
        <v>23</v>
      </c>
      <c r="Q253" s="1142">
        <f t="shared" si="19"/>
        <v>241</v>
      </c>
      <c r="R253" s="1143">
        <f>VLOOKUP(B253,'[28]CN BC'!$F$10:$K$270,6,FALSE)</f>
        <v>0</v>
      </c>
      <c r="S253" s="1656"/>
    </row>
    <row r="254" spans="1:22" s="1148" customFormat="1" ht="33.75" customHeight="1">
      <c r="A254" s="1132">
        <f>_xlfn.AGGREGATE(4,7,A$12:A253)+1</f>
        <v>242</v>
      </c>
      <c r="B254" s="1133" t="s">
        <v>1550</v>
      </c>
      <c r="C254" s="1153" t="s">
        <v>1817</v>
      </c>
      <c r="D254" s="1150" t="s">
        <v>1430</v>
      </c>
      <c r="E254" s="383" t="str">
        <f>VLOOKUP(B254,TH.Q2!B172:E503,4,FALSE)</f>
        <v>Giảng viên khoa Động lực</v>
      </c>
      <c r="F254" s="1231">
        <v>3.66</v>
      </c>
      <c r="G254" s="1137"/>
      <c r="H254" s="1400">
        <f t="shared" si="16"/>
        <v>0</v>
      </c>
      <c r="I254" s="1138"/>
      <c r="J254" s="1138" t="str">
        <f>VLOOKUP(B254,'[27]Gui chi Quynh'!$B$11:$E$388,4,FALSE)</f>
        <v>A4</v>
      </c>
      <c r="K254" s="1138">
        <f t="shared" si="18"/>
        <v>0.5</v>
      </c>
      <c r="L254" s="1139">
        <v>20</v>
      </c>
      <c r="M254" s="1139">
        <v>20</v>
      </c>
      <c r="N254" s="1155"/>
      <c r="O254" s="1141">
        <f t="shared" si="21"/>
        <v>4282200</v>
      </c>
      <c r="P254" s="1155">
        <v>24</v>
      </c>
      <c r="Q254" s="1142">
        <f t="shared" si="19"/>
        <v>242</v>
      </c>
      <c r="R254" s="1143">
        <f>VLOOKUP(B254,'[28]CN BC'!$F$10:$K$270,6,FALSE)</f>
        <v>0</v>
      </c>
      <c r="S254" s="1656"/>
    </row>
    <row r="255" spans="1:22" s="1148" customFormat="1" ht="33.75" customHeight="1">
      <c r="A255" s="1132">
        <f>_xlfn.AGGREGATE(4,7,A$12:A254)+1</f>
        <v>243</v>
      </c>
      <c r="B255" s="1133" t="s">
        <v>1836</v>
      </c>
      <c r="C255" s="1153" t="s">
        <v>1976</v>
      </c>
      <c r="D255" s="1198" t="s">
        <v>1977</v>
      </c>
      <c r="E255" s="1058" t="str">
        <f>VLOOKUP(B255,TH.Q2!B173:E504,4,FALSE)</f>
        <v>Giảng viên khoa Động lực</v>
      </c>
      <c r="F255" s="1231">
        <v>3</v>
      </c>
      <c r="G255" s="1137"/>
      <c r="H255" s="1393">
        <f t="shared" si="16"/>
        <v>0</v>
      </c>
      <c r="I255" s="1138"/>
      <c r="J255" s="1138" t="str">
        <f>VLOOKUP(B255,'[27]Gui chi Quynh'!$B$11:$E$388,4,FALSE)</f>
        <v>A4</v>
      </c>
      <c r="K255" s="1138">
        <f t="shared" si="18"/>
        <v>0.5</v>
      </c>
      <c r="L255" s="1139">
        <v>20</v>
      </c>
      <c r="M255" s="1139">
        <v>20</v>
      </c>
      <c r="N255" s="1140"/>
      <c r="O255" s="1141">
        <f t="shared" si="21"/>
        <v>3510000</v>
      </c>
      <c r="P255" s="1140">
        <v>23</v>
      </c>
      <c r="Q255" s="1142">
        <f t="shared" si="19"/>
        <v>243</v>
      </c>
      <c r="R255" s="1143">
        <f>VLOOKUP(B255,'[28]CN BC'!$F$10:$K$270,6,FALSE)</f>
        <v>0</v>
      </c>
      <c r="S255" s="1656"/>
      <c r="T255" s="1146"/>
      <c r="U255" s="1146"/>
      <c r="V255" s="1146"/>
    </row>
    <row r="256" spans="1:22" s="1148" customFormat="1" ht="33.75" customHeight="1">
      <c r="A256" s="1132">
        <f>_xlfn.AGGREGATE(4,7,A$12:A255)+1</f>
        <v>244</v>
      </c>
      <c r="B256" s="1133" t="s">
        <v>1837</v>
      </c>
      <c r="C256" s="1153" t="s">
        <v>1978</v>
      </c>
      <c r="D256" s="1198" t="s">
        <v>1979</v>
      </c>
      <c r="E256" s="1058" t="str">
        <f>VLOOKUP(B256,TH.Q2!B174:E505,4,FALSE)</f>
        <v>Giảng viên khoa Động lực</v>
      </c>
      <c r="F256" s="1226">
        <v>2.67</v>
      </c>
      <c r="G256" s="1137"/>
      <c r="H256" s="1393">
        <f t="shared" si="16"/>
        <v>0</v>
      </c>
      <c r="I256" s="1138"/>
      <c r="J256" s="1138" t="str">
        <f>VLOOKUP(B256,'[27]Gui chi Quynh'!$B$11:$E$388,4,FALSE)</f>
        <v>A4</v>
      </c>
      <c r="K256" s="1138">
        <f t="shared" si="18"/>
        <v>0.5</v>
      </c>
      <c r="L256" s="1139">
        <v>20</v>
      </c>
      <c r="M256" s="1139">
        <v>20</v>
      </c>
      <c r="N256" s="1140"/>
      <c r="O256" s="1141">
        <f t="shared" si="21"/>
        <v>3123900</v>
      </c>
      <c r="P256" s="1140">
        <v>23</v>
      </c>
      <c r="Q256" s="1142">
        <f t="shared" si="19"/>
        <v>244</v>
      </c>
      <c r="R256" s="1143">
        <f>VLOOKUP(B256,'[28]CN BC'!$F$10:$K$270,6,FALSE)</f>
        <v>0</v>
      </c>
      <c r="S256" s="1656"/>
      <c r="T256" s="1146"/>
      <c r="U256" s="1146"/>
      <c r="V256" s="1146"/>
    </row>
    <row r="257" spans="1:26" s="1148" customFormat="1" ht="33.75" customHeight="1">
      <c r="A257" s="1132">
        <f>_xlfn.AGGREGATE(4,7,A$12:A256)+1</f>
        <v>245</v>
      </c>
      <c r="B257" s="1223" t="s">
        <v>1839</v>
      </c>
      <c r="C257" s="1153" t="s">
        <v>1980</v>
      </c>
      <c r="D257" s="1198" t="s">
        <v>1981</v>
      </c>
      <c r="E257" s="1058" t="str">
        <f>VLOOKUP(B257,TH.Q2!B175:E506,4,FALSE)</f>
        <v>Giảng viên khoa Động lực</v>
      </c>
      <c r="F257" s="1231">
        <v>3.33</v>
      </c>
      <c r="G257" s="1137"/>
      <c r="H257" s="1393">
        <f t="shared" si="16"/>
        <v>0</v>
      </c>
      <c r="I257" s="1138"/>
      <c r="J257" s="1138" t="str">
        <f>VLOOKUP(B257,'[27]Gui chi Quynh'!$B$11:$E$388,4,FALSE)</f>
        <v>A4</v>
      </c>
      <c r="K257" s="1138">
        <f t="shared" si="18"/>
        <v>0.5</v>
      </c>
      <c r="L257" s="1139">
        <v>20</v>
      </c>
      <c r="M257" s="1139">
        <v>20</v>
      </c>
      <c r="N257" s="1140"/>
      <c r="O257" s="1141">
        <f t="shared" si="21"/>
        <v>3896100</v>
      </c>
      <c r="P257" s="1140">
        <v>23</v>
      </c>
      <c r="Q257" s="1142">
        <f t="shared" si="19"/>
        <v>245</v>
      </c>
      <c r="R257" s="1143">
        <f>VLOOKUP(B257,'[28]CN BC'!$F$10:$K$270,6,FALSE)</f>
        <v>0</v>
      </c>
      <c r="S257" s="1656"/>
      <c r="T257" s="1146"/>
      <c r="U257" s="1146"/>
      <c r="V257" s="1146"/>
    </row>
    <row r="258" spans="1:26" s="1148" customFormat="1" ht="33.75" customHeight="1">
      <c r="A258" s="1132">
        <f>_xlfn.AGGREGATE(4,7,A$12:A257)+1</f>
        <v>246</v>
      </c>
      <c r="B258" s="1223" t="s">
        <v>1844</v>
      </c>
      <c r="C258" s="1153" t="s">
        <v>1982</v>
      </c>
      <c r="D258" s="1198" t="s">
        <v>1983</v>
      </c>
      <c r="E258" s="1058" t="str">
        <f>VLOOKUP(B258,TH.Q2!B176:E507,4,FALSE)</f>
        <v>Giảng viên khoa Động lực</v>
      </c>
      <c r="F258" s="1231">
        <v>3.66</v>
      </c>
      <c r="G258" s="1137"/>
      <c r="H258" s="1393">
        <f t="shared" si="16"/>
        <v>0</v>
      </c>
      <c r="I258" s="1138"/>
      <c r="J258" s="1138" t="str">
        <f>VLOOKUP(B258,'[27]Gui chi Quynh'!$B$11:$E$388,4,FALSE)</f>
        <v>A4</v>
      </c>
      <c r="K258" s="1138">
        <f t="shared" si="18"/>
        <v>0.5</v>
      </c>
      <c r="L258" s="1139">
        <v>20</v>
      </c>
      <c r="M258" s="1139">
        <v>20</v>
      </c>
      <c r="N258" s="1140"/>
      <c r="O258" s="1141">
        <f t="shared" si="21"/>
        <v>4282200</v>
      </c>
      <c r="P258" s="1140">
        <v>23</v>
      </c>
      <c r="Q258" s="1142">
        <f t="shared" si="19"/>
        <v>246</v>
      </c>
      <c r="R258" s="1143">
        <f>VLOOKUP(B258,'[28]CN BC'!$F$10:$K$270,6,FALSE)</f>
        <v>0</v>
      </c>
      <c r="S258" s="1656"/>
      <c r="T258" s="1146"/>
      <c r="U258" s="1146"/>
      <c r="V258" s="1146"/>
    </row>
    <row r="259" spans="1:26" s="1148" customFormat="1" ht="33.75" customHeight="1">
      <c r="A259" s="1132">
        <f>_xlfn.AGGREGATE(4,7,A$12:A258)+1</f>
        <v>247</v>
      </c>
      <c r="B259" s="1223" t="s">
        <v>1926</v>
      </c>
      <c r="C259" s="1153" t="s">
        <v>1984</v>
      </c>
      <c r="D259" s="1230" t="s">
        <v>1985</v>
      </c>
      <c r="E259" s="1058" t="str">
        <f>VLOOKUP(B259,TH.Q2!B177:E508,4,FALSE)</f>
        <v>Giảng viên khoa Động lực</v>
      </c>
      <c r="F259" s="1232">
        <v>2.67</v>
      </c>
      <c r="G259" s="1137"/>
      <c r="H259" s="1393">
        <f t="shared" si="16"/>
        <v>0</v>
      </c>
      <c r="I259" s="1138"/>
      <c r="J259" s="1138" t="str">
        <f>VLOOKUP(B259,'[27]Gui chi Quynh'!$B$11:$E$388,4,FALSE)</f>
        <v>A3</v>
      </c>
      <c r="K259" s="1138">
        <f t="shared" si="18"/>
        <v>0.6</v>
      </c>
      <c r="L259" s="1139">
        <v>20</v>
      </c>
      <c r="M259" s="1139">
        <v>20</v>
      </c>
      <c r="N259" s="1140"/>
      <c r="O259" s="1141">
        <f t="shared" si="21"/>
        <v>3748680</v>
      </c>
      <c r="P259" s="1140">
        <v>24</v>
      </c>
      <c r="Q259" s="1142">
        <f t="shared" si="19"/>
        <v>247</v>
      </c>
      <c r="R259" s="1143">
        <f>VLOOKUP(B259,'[28]CN BC'!$F$10:$K$270,6,FALSE)</f>
        <v>0</v>
      </c>
      <c r="S259" s="1656"/>
      <c r="T259" s="1146"/>
      <c r="U259" s="1146"/>
      <c r="V259" s="1146"/>
    </row>
    <row r="260" spans="1:26" s="1148" customFormat="1" ht="33.75" customHeight="1">
      <c r="A260" s="1132">
        <f>_xlfn.AGGREGATE(4,7,A$12:A259)+1</f>
        <v>248</v>
      </c>
      <c r="B260" s="1223" t="s">
        <v>1941</v>
      </c>
      <c r="C260" s="1153" t="s">
        <v>1989</v>
      </c>
      <c r="D260" s="1230" t="s">
        <v>1988</v>
      </c>
      <c r="E260" s="1058" t="str">
        <f>VLOOKUP(B260,TH.Q2!B178:E509,4,FALSE)</f>
        <v>Giảng viên khoa Động lực</v>
      </c>
      <c r="F260" s="1232">
        <v>2.67</v>
      </c>
      <c r="G260" s="1137"/>
      <c r="H260" s="1393">
        <f t="shared" si="16"/>
        <v>0</v>
      </c>
      <c r="I260" s="1138"/>
      <c r="J260" s="1138" t="str">
        <f>VLOOKUP(B260,'[27]Gui chi Quynh'!$B$11:$E$388,4,FALSE)</f>
        <v>A4</v>
      </c>
      <c r="K260" s="1138">
        <f t="shared" si="18"/>
        <v>0.5</v>
      </c>
      <c r="L260" s="1139">
        <v>20</v>
      </c>
      <c r="M260" s="1139">
        <v>20</v>
      </c>
      <c r="N260" s="1140"/>
      <c r="O260" s="1141">
        <f t="shared" si="21"/>
        <v>3123900</v>
      </c>
      <c r="P260" s="1155">
        <v>23</v>
      </c>
      <c r="Q260" s="1142">
        <f t="shared" si="19"/>
        <v>248</v>
      </c>
      <c r="R260" s="1143">
        <f>VLOOKUP(B260,'[28]CN BC'!$F$10:$K$270,6,FALSE)</f>
        <v>0</v>
      </c>
      <c r="S260" s="1656"/>
      <c r="T260" s="1146"/>
      <c r="U260" s="1146"/>
      <c r="V260" s="1146"/>
    </row>
    <row r="261" spans="1:26" s="1148" customFormat="1" ht="33.75" customHeight="1">
      <c r="A261" s="1132">
        <f>_xlfn.AGGREGATE(4,7,A$12:A260)+1</f>
        <v>249</v>
      </c>
      <c r="B261" s="1223" t="s">
        <v>1945</v>
      </c>
      <c r="C261" s="1132" t="s">
        <v>1948</v>
      </c>
      <c r="D261" s="1150" t="s">
        <v>1949</v>
      </c>
      <c r="E261" s="1058" t="str">
        <f>VLOOKUP(B261,TH.Q2!B180:E511,4,FALSE)</f>
        <v>Giảng viên khoa Động lực</v>
      </c>
      <c r="F261" s="1232">
        <v>3.66</v>
      </c>
      <c r="G261" s="1137"/>
      <c r="H261" s="1393">
        <f t="shared" si="16"/>
        <v>0</v>
      </c>
      <c r="I261" s="1138"/>
      <c r="J261" s="1138" t="str">
        <f>VLOOKUP(B261,'[27]Gui chi Quynh'!$B$11:$E$388,4,FALSE)</f>
        <v>A4</v>
      </c>
      <c r="K261" s="1138">
        <f t="shared" si="18"/>
        <v>0.5</v>
      </c>
      <c r="L261" s="1139">
        <v>20</v>
      </c>
      <c r="M261" s="1139">
        <v>20</v>
      </c>
      <c r="N261" s="1140"/>
      <c r="O261" s="1141">
        <f t="shared" si="21"/>
        <v>4282200</v>
      </c>
      <c r="P261" s="1155">
        <v>24</v>
      </c>
      <c r="Q261" s="1142">
        <f t="shared" si="19"/>
        <v>249</v>
      </c>
      <c r="R261" s="1143">
        <f>VLOOKUP(B261,'[28]CN BC'!$F$10:$K$270,6,FALSE)</f>
        <v>0</v>
      </c>
      <c r="S261" s="1656"/>
    </row>
    <row r="262" spans="1:26" s="1148" customFormat="1" ht="33.75" customHeight="1">
      <c r="A262" s="1132">
        <f>_xlfn.AGGREGATE(4,7,A$12:A261)+1</f>
        <v>250</v>
      </c>
      <c r="B262" s="1223" t="s">
        <v>2003</v>
      </c>
      <c r="C262" s="1132"/>
      <c r="D262" s="1150"/>
      <c r="E262" s="1058" t="str">
        <f>VLOOKUP(B262,TH.Q2!B181:E512,4,FALSE)</f>
        <v>Giảng viên khoa Động lực</v>
      </c>
      <c r="F262" s="1231">
        <v>3.33</v>
      </c>
      <c r="G262" s="1137"/>
      <c r="H262" s="1393">
        <f t="shared" si="16"/>
        <v>0</v>
      </c>
      <c r="I262" s="1138"/>
      <c r="J262" s="1138" t="str">
        <f>VLOOKUP(B262,'[27]Gui chi Quynh'!$B$11:$E$388,4,FALSE)</f>
        <v>A4</v>
      </c>
      <c r="K262" s="1138">
        <f t="shared" si="18"/>
        <v>0.5</v>
      </c>
      <c r="L262" s="1139">
        <v>20</v>
      </c>
      <c r="M262" s="1139">
        <v>20</v>
      </c>
      <c r="N262" s="1140"/>
      <c r="O262" s="1141">
        <f t="shared" si="21"/>
        <v>3896100</v>
      </c>
      <c r="P262" s="1155">
        <v>24</v>
      </c>
      <c r="Q262" s="1142">
        <f t="shared" si="19"/>
        <v>250</v>
      </c>
      <c r="R262" s="1143">
        <f>VLOOKUP(B262,'[28]CN BC'!$F$10:$K$270,6,FALSE)</f>
        <v>0</v>
      </c>
      <c r="S262" s="1656"/>
    </row>
    <row r="263" spans="1:26" s="1148" customFormat="1" ht="33.75" customHeight="1">
      <c r="A263" s="1132">
        <f>_xlfn.AGGREGATE(4,7,A$12:A262)+1</f>
        <v>251</v>
      </c>
      <c r="B263" s="1223" t="s">
        <v>2010</v>
      </c>
      <c r="C263" s="1132"/>
      <c r="D263" s="1150"/>
      <c r="E263" s="1058" t="str">
        <f>VLOOKUP(B263,TH.Q2!B182:E513,4,FALSE)</f>
        <v>Giảng viên khoa Động lực</v>
      </c>
      <c r="F263" s="1231">
        <v>2.34</v>
      </c>
      <c r="G263" s="1137"/>
      <c r="H263" s="1393">
        <f t="shared" si="16"/>
        <v>0</v>
      </c>
      <c r="I263" s="1138"/>
      <c r="J263" s="1138" t="str">
        <f>VLOOKUP(B263,'[27]Gui chi Quynh'!$B$11:$E$388,4,FALSE)</f>
        <v>A4</v>
      </c>
      <c r="K263" s="1138">
        <f t="shared" ref="K263:K271" si="22">IF(J263="A1",0.8,IF(J263="A2",0.7,IF(J263="A3",0.6,IF(J263="A4",0.5,IF(J263="B1",0.35,IF(J263="B2",0.25,IF(J263="C1",0.15,IF(J263="C2",0.1,0))))))))</f>
        <v>0.5</v>
      </c>
      <c r="L263" s="1139">
        <v>20</v>
      </c>
      <c r="M263" s="1139">
        <v>20</v>
      </c>
      <c r="N263" s="1140"/>
      <c r="O263" s="1141">
        <f t="shared" si="21"/>
        <v>2737800</v>
      </c>
      <c r="P263" s="1155"/>
      <c r="Q263" s="1142">
        <f t="shared" si="19"/>
        <v>251</v>
      </c>
      <c r="R263" s="1143">
        <f>VLOOKUP(B263,'[28]CN BC'!$F$10:$K$270,6,FALSE)</f>
        <v>0</v>
      </c>
      <c r="S263" s="1656"/>
    </row>
    <row r="264" spans="1:26" s="1148" customFormat="1" ht="33.75" customHeight="1">
      <c r="A264" s="1132">
        <f>_xlfn.AGGREGATE(4,7,A$12:A263)+1</f>
        <v>252</v>
      </c>
      <c r="B264" s="1133" t="s">
        <v>1920</v>
      </c>
      <c r="C264" s="1153" t="s">
        <v>1819</v>
      </c>
      <c r="D264" s="1154" t="s">
        <v>1414</v>
      </c>
      <c r="E264" s="1058" t="str">
        <f>VLOOKUP(B264,TH.Q2!B184:E515,4,FALSE)</f>
        <v>Giảng viên khoa Xây dựng - Nhiệt lạnh</v>
      </c>
      <c r="F264" s="1136">
        <v>4.6500000000000004</v>
      </c>
      <c r="G264" s="1137"/>
      <c r="H264" s="1400">
        <f t="shared" ref="H264:H271" si="23">ROUND(F264*G264,3)</f>
        <v>0</v>
      </c>
      <c r="I264" s="1138">
        <v>0.25</v>
      </c>
      <c r="J264" s="1138" t="str">
        <f>VLOOKUP(B264,'[27]Gui chi Quynh'!$B$11:$E$388,4,FALSE)</f>
        <v>A3</v>
      </c>
      <c r="K264" s="1138">
        <f t="shared" si="22"/>
        <v>0.6</v>
      </c>
      <c r="L264" s="1139">
        <v>20</v>
      </c>
      <c r="M264" s="1139">
        <v>20</v>
      </c>
      <c r="N264" s="1140"/>
      <c r="O264" s="1141">
        <f t="shared" si="21"/>
        <v>6879600</v>
      </c>
      <c r="P264" s="1140">
        <v>23</v>
      </c>
      <c r="Q264" s="1142">
        <f t="shared" si="19"/>
        <v>252</v>
      </c>
      <c r="R264" s="1143">
        <f>VLOOKUP(B264,'[28]CN BC'!$F$10:$K$270,6,FALSE)</f>
        <v>0</v>
      </c>
      <c r="S264" s="1656"/>
      <c r="T264" s="1146"/>
      <c r="U264" s="1146"/>
      <c r="V264" s="1146"/>
    </row>
    <row r="265" spans="1:26" s="1148" customFormat="1" ht="33.75" customHeight="1">
      <c r="A265" s="1132">
        <f>_xlfn.AGGREGATE(4,7,A$12:A264)+1</f>
        <v>253</v>
      </c>
      <c r="B265" s="1133" t="s">
        <v>1921</v>
      </c>
      <c r="C265" s="1149" t="s">
        <v>1820</v>
      </c>
      <c r="D265" s="1154" t="s">
        <v>1415</v>
      </c>
      <c r="E265" s="1058" t="str">
        <f>VLOOKUP(B265,TH.Q2!B185:E516,4,FALSE)</f>
        <v>Giảng viên khoa Xây dựng - Nhiệt lạnh</v>
      </c>
      <c r="F265" s="1136">
        <v>4.6500000000000004</v>
      </c>
      <c r="G265" s="1137"/>
      <c r="H265" s="1400">
        <f t="shared" si="23"/>
        <v>0</v>
      </c>
      <c r="I265" s="1138">
        <v>0.25</v>
      </c>
      <c r="J265" s="1138" t="str">
        <f>VLOOKUP(B265,'[27]Gui chi Quynh'!$B$11:$E$388,4,FALSE)</f>
        <v>A4</v>
      </c>
      <c r="K265" s="1138">
        <f t="shared" si="22"/>
        <v>0.5</v>
      </c>
      <c r="L265" s="1139">
        <v>20</v>
      </c>
      <c r="M265" s="1139">
        <v>20</v>
      </c>
      <c r="N265" s="1140"/>
      <c r="O265" s="1141">
        <f t="shared" si="21"/>
        <v>5733000</v>
      </c>
      <c r="P265" s="1140">
        <v>23</v>
      </c>
      <c r="Q265" s="1142">
        <f t="shared" si="19"/>
        <v>253</v>
      </c>
      <c r="R265" s="1143">
        <f>VLOOKUP(B265,'[28]CN BC'!$F$10:$K$270,6,FALSE)</f>
        <v>0</v>
      </c>
      <c r="S265" s="1656"/>
      <c r="T265" s="1146"/>
      <c r="U265" s="1146"/>
      <c r="V265" s="1146"/>
      <c r="W265" s="1146"/>
      <c r="X265" s="1146"/>
      <c r="Y265" s="1146"/>
      <c r="Z265" s="1146"/>
    </row>
    <row r="266" spans="1:26" s="1148" customFormat="1" ht="33.75" customHeight="1">
      <c r="A266" s="1132">
        <f>_xlfn.AGGREGATE(4,7,A$12:A265)+1</f>
        <v>254</v>
      </c>
      <c r="B266" s="1133" t="s">
        <v>1922</v>
      </c>
      <c r="C266" s="1153" t="s">
        <v>1821</v>
      </c>
      <c r="D266" s="1154" t="s">
        <v>392</v>
      </c>
      <c r="E266" s="1058" t="str">
        <f>VLOOKUP(B266,TH.Q2!B186:E517,4,FALSE)</f>
        <v>Giảng viên khoa Xây dựng - Nhiệt lạnh</v>
      </c>
      <c r="F266" s="1160">
        <v>3.66</v>
      </c>
      <c r="G266" s="1137"/>
      <c r="H266" s="1393">
        <f t="shared" si="23"/>
        <v>0</v>
      </c>
      <c r="I266" s="1138"/>
      <c r="J266" s="1138" t="str">
        <f>VLOOKUP(B266,'[27]Gui chi Quynh'!$B$11:$E$388,4,FALSE)</f>
        <v>A4</v>
      </c>
      <c r="K266" s="1138">
        <f t="shared" si="22"/>
        <v>0.5</v>
      </c>
      <c r="L266" s="1139">
        <v>20</v>
      </c>
      <c r="M266" s="1139">
        <v>20</v>
      </c>
      <c r="N266" s="1140"/>
      <c r="O266" s="1141">
        <f t="shared" si="21"/>
        <v>4282200</v>
      </c>
      <c r="P266" s="1155">
        <v>23</v>
      </c>
      <c r="Q266" s="1142">
        <f t="shared" si="19"/>
        <v>254</v>
      </c>
      <c r="R266" s="1143">
        <f>VLOOKUP(B266,'[28]CN BC'!$F$10:$K$270,6,FALSE)</f>
        <v>0</v>
      </c>
      <c r="S266" s="1656"/>
    </row>
    <row r="267" spans="1:26" s="1148" customFormat="1" ht="33.75" customHeight="1">
      <c r="A267" s="1132">
        <f>_xlfn.AGGREGATE(4,7,A$12:A266)+1</f>
        <v>255</v>
      </c>
      <c r="B267" s="1133" t="s">
        <v>1923</v>
      </c>
      <c r="C267" s="1153" t="s">
        <v>1822</v>
      </c>
      <c r="D267" s="1168" t="s">
        <v>511</v>
      </c>
      <c r="E267" s="1058" t="str">
        <f>VLOOKUP(B267,TH.Q2!B187:E518,4,FALSE)</f>
        <v>Giảng viên khoa Xây dựng - Nhiệt lạnh</v>
      </c>
      <c r="F267" s="1160">
        <v>3.66</v>
      </c>
      <c r="G267" s="1137"/>
      <c r="H267" s="1393">
        <f t="shared" si="23"/>
        <v>0</v>
      </c>
      <c r="I267" s="1138"/>
      <c r="J267" s="1138" t="str">
        <f>VLOOKUP(B267,'[27]Gui chi Quynh'!$B$11:$E$388,4,FALSE)</f>
        <v>A4</v>
      </c>
      <c r="K267" s="1138">
        <f t="shared" si="22"/>
        <v>0.5</v>
      </c>
      <c r="L267" s="1139">
        <v>20</v>
      </c>
      <c r="M267" s="1139">
        <v>20</v>
      </c>
      <c r="N267" s="1140"/>
      <c r="O267" s="1141">
        <f t="shared" si="21"/>
        <v>4282200</v>
      </c>
      <c r="P267" s="1155">
        <v>23</v>
      </c>
      <c r="Q267" s="1142">
        <f t="shared" si="19"/>
        <v>255</v>
      </c>
      <c r="R267" s="1143">
        <f>VLOOKUP(B267,'[28]CN BC'!$F$10:$K$270,6,FALSE)</f>
        <v>0</v>
      </c>
      <c r="S267" s="1656"/>
    </row>
    <row r="268" spans="1:26" s="1148" customFormat="1" ht="33.75" customHeight="1">
      <c r="A268" s="1132">
        <f>_xlfn.AGGREGATE(4,7,A$12:A267)+1</f>
        <v>256</v>
      </c>
      <c r="B268" s="1133" t="s">
        <v>1552</v>
      </c>
      <c r="C268" s="1153" t="s">
        <v>1823</v>
      </c>
      <c r="D268" s="1154" t="s">
        <v>1418</v>
      </c>
      <c r="E268" s="1058" t="str">
        <f>VLOOKUP(B268,TH.Q2!B188:E519,4,FALSE)</f>
        <v>Giảng viên khoa Xây dựng - Nhiệt lạnh</v>
      </c>
      <c r="F268" s="1136">
        <v>4.32</v>
      </c>
      <c r="G268" s="1137"/>
      <c r="H268" s="1393">
        <f t="shared" si="23"/>
        <v>0</v>
      </c>
      <c r="I268" s="1138"/>
      <c r="J268" s="1138" t="str">
        <f>VLOOKUP(B268,'[27]Gui chi Quynh'!$B$11:$E$388,4,FALSE)</f>
        <v>A4</v>
      </c>
      <c r="K268" s="1138">
        <f t="shared" si="22"/>
        <v>0.5</v>
      </c>
      <c r="L268" s="1139">
        <v>20</v>
      </c>
      <c r="M268" s="1139">
        <v>20</v>
      </c>
      <c r="N268" s="1140"/>
      <c r="O268" s="1141">
        <f t="shared" si="21"/>
        <v>5054400</v>
      </c>
      <c r="P268" s="1155">
        <v>23</v>
      </c>
      <c r="Q268" s="1142">
        <f t="shared" si="19"/>
        <v>256</v>
      </c>
      <c r="R268" s="1143">
        <f>VLOOKUP(B268,'[28]CN BC'!$F$10:$K$270,6,FALSE)</f>
        <v>0</v>
      </c>
      <c r="S268" s="1656"/>
    </row>
    <row r="269" spans="1:26" s="1148" customFormat="1" ht="33.75" customHeight="1">
      <c r="A269" s="1132">
        <f>_xlfn.AGGREGATE(4,7,A$12:A268)+1</f>
        <v>257</v>
      </c>
      <c r="B269" s="1133" t="s">
        <v>1940</v>
      </c>
      <c r="C269" s="1153" t="s">
        <v>1991</v>
      </c>
      <c r="D269" s="1154" t="s">
        <v>1992</v>
      </c>
      <c r="E269" s="1058" t="str">
        <f>VLOOKUP(B269,TH.Q2!B189:E520,4,FALSE)</f>
        <v>Giảng viên khoa Xây dựng - Nhiệt lạnh</v>
      </c>
      <c r="F269" s="1160">
        <v>3.33</v>
      </c>
      <c r="G269" s="1137"/>
      <c r="H269" s="1393">
        <f t="shared" si="23"/>
        <v>0</v>
      </c>
      <c r="I269" s="1138"/>
      <c r="J269" s="1138" t="str">
        <f>VLOOKUP(B269,'[27]Gui chi Quynh'!$B$11:$E$388,4,FALSE)</f>
        <v>A3</v>
      </c>
      <c r="K269" s="1138">
        <f t="shared" si="22"/>
        <v>0.6</v>
      </c>
      <c r="L269" s="1139">
        <v>20</v>
      </c>
      <c r="M269" s="1139">
        <v>20</v>
      </c>
      <c r="N269" s="1140"/>
      <c r="O269" s="1141">
        <f t="shared" si="21"/>
        <v>4675320</v>
      </c>
      <c r="P269" s="1155">
        <v>23</v>
      </c>
      <c r="Q269" s="1142">
        <f t="shared" si="19"/>
        <v>257</v>
      </c>
      <c r="R269" s="1143">
        <f>VLOOKUP(B269,'[28]CN BC'!$F$10:$K$270,6,FALSE)</f>
        <v>0</v>
      </c>
      <c r="S269" s="1656"/>
      <c r="T269" s="1146"/>
      <c r="U269" s="1146"/>
      <c r="V269" s="1146"/>
    </row>
    <row r="270" spans="1:26" s="1146" customFormat="1" ht="33.75" customHeight="1">
      <c r="A270" s="1132">
        <f>_xlfn.AGGREGATE(4,7,A$12:A269)+1</f>
        <v>258</v>
      </c>
      <c r="B270" s="1172" t="s">
        <v>1553</v>
      </c>
      <c r="C270" s="1149" t="s">
        <v>1824</v>
      </c>
      <c r="D270" s="1233">
        <v>1603205246186</v>
      </c>
      <c r="E270" s="1058" t="str">
        <f>VLOOKUP(B270,TH.Q2!B190:E521,4,FALSE)</f>
        <v>Giảng viên khoa Xây dựng - Nhiệt lạnh</v>
      </c>
      <c r="F270" s="1136">
        <v>4.9800000000000004</v>
      </c>
      <c r="G270" s="1137">
        <v>0.05</v>
      </c>
      <c r="H270" s="1393">
        <f t="shared" si="23"/>
        <v>0.249</v>
      </c>
      <c r="I270" s="1138"/>
      <c r="J270" s="1138" t="str">
        <f>VLOOKUP(B270,'[27]Gui chi Quynh'!$B$11:$E$388,4,FALSE)</f>
        <v>A3</v>
      </c>
      <c r="K270" s="1138">
        <f t="shared" si="22"/>
        <v>0.6</v>
      </c>
      <c r="L270" s="1139">
        <v>20</v>
      </c>
      <c r="M270" s="1139">
        <v>20</v>
      </c>
      <c r="N270" s="1140"/>
      <c r="O270" s="1141">
        <f t="shared" si="21"/>
        <v>7341516</v>
      </c>
      <c r="P270" s="1140">
        <v>23</v>
      </c>
      <c r="Q270" s="1142">
        <f t="shared" si="19"/>
        <v>258</v>
      </c>
      <c r="R270" s="1143">
        <f>VLOOKUP(B270,'[28]CN BC'!$F$10:$K$270,6,FALSE)</f>
        <v>0</v>
      </c>
      <c r="S270" s="1656"/>
    </row>
    <row r="271" spans="1:26" s="1148" customFormat="1" ht="33.75" customHeight="1">
      <c r="A271" s="1132">
        <f>_xlfn.AGGREGATE(4,7,A$12:A270)+1</f>
        <v>259</v>
      </c>
      <c r="B271" s="1133" t="s">
        <v>1560</v>
      </c>
      <c r="C271" s="1234" t="s">
        <v>1825</v>
      </c>
      <c r="D271" s="1235">
        <v>1603215002692</v>
      </c>
      <c r="E271" s="1058" t="str">
        <f>VLOOKUP(B271,TH.Q2!B191:E522,4,FALSE)</f>
        <v>Phó Trưởng khoa Xây dựng - Nhiệt lạnh</v>
      </c>
      <c r="F271" s="1346">
        <v>3.66</v>
      </c>
      <c r="G271" s="1344"/>
      <c r="H271" s="1402">
        <f t="shared" si="23"/>
        <v>0</v>
      </c>
      <c r="I271" s="1138">
        <v>0.35</v>
      </c>
      <c r="J271" s="1138" t="str">
        <f>VLOOKUP(B271,'[27]Gui chi Quynh'!$B$11:$E$388,4,FALSE)</f>
        <v>A2</v>
      </c>
      <c r="K271" s="1138">
        <f t="shared" si="22"/>
        <v>0.7</v>
      </c>
      <c r="L271" s="1139">
        <v>20</v>
      </c>
      <c r="M271" s="1139">
        <v>20</v>
      </c>
      <c r="N271" s="1140"/>
      <c r="O271" s="1141">
        <f t="shared" si="21"/>
        <v>6568380</v>
      </c>
      <c r="P271" s="1236">
        <v>23</v>
      </c>
      <c r="Q271" s="1142">
        <f t="shared" si="19"/>
        <v>259</v>
      </c>
      <c r="R271" s="1143">
        <f>VLOOKUP(B271,'[28]CN BC'!$F$10:$K$270,6,FALSE)</f>
        <v>0</v>
      </c>
      <c r="S271" s="1656"/>
      <c r="T271" s="1146"/>
      <c r="U271" s="1146"/>
      <c r="V271" s="1146"/>
      <c r="W271" s="1146"/>
      <c r="X271" s="1146"/>
      <c r="Y271" s="1146"/>
      <c r="Z271" s="1146"/>
    </row>
    <row r="272" spans="1:26" s="1248" customFormat="1" ht="18" customHeight="1">
      <c r="A272" s="1237"/>
      <c r="B272" s="1238" t="s">
        <v>1109</v>
      </c>
      <c r="C272" s="1239"/>
      <c r="D272" s="1240"/>
      <c r="E272" s="1240"/>
      <c r="F272" s="1241">
        <f>SUM(F13:F271)</f>
        <v>1017.0675000000008</v>
      </c>
      <c r="G272" s="1241">
        <f>SUM(G13:G271)</f>
        <v>2.5700000000000003</v>
      </c>
      <c r="H272" s="1241">
        <f>SUM(H13:H271)</f>
        <v>12.798</v>
      </c>
      <c r="I272" s="1241">
        <f>SUM(I13:I271)</f>
        <v>22.599999999999994</v>
      </c>
      <c r="J272" s="1241"/>
      <c r="K272" s="1241">
        <f t="shared" ref="K272:O272" si="24">SUM(K13:K271)</f>
        <v>159.3499999999996</v>
      </c>
      <c r="L272" s="1242">
        <f t="shared" si="24"/>
        <v>5180</v>
      </c>
      <c r="M272" s="1242">
        <f t="shared" si="24"/>
        <v>5087.5</v>
      </c>
      <c r="N272" s="1242">
        <f t="shared" si="24"/>
        <v>0</v>
      </c>
      <c r="O272" s="1242">
        <f t="shared" si="24"/>
        <v>1522767957.75</v>
      </c>
      <c r="P272" s="1244"/>
      <c r="Q272" s="1245"/>
      <c r="R272" s="1240"/>
    </row>
    <row r="273" spans="1:18" ht="2.25" customHeight="1">
      <c r="L273" s="1124"/>
      <c r="M273" s="1124"/>
      <c r="N273" s="1124"/>
      <c r="O273" s="1404"/>
      <c r="P273" s="1404"/>
    </row>
    <row r="274" spans="1:18" s="1120" customFormat="1" ht="18.75" customHeight="1">
      <c r="B274" s="1737" t="s">
        <v>2428</v>
      </c>
      <c r="C274" s="1737"/>
      <c r="D274" s="1737"/>
      <c r="E274" s="1737"/>
      <c r="F274" s="1737"/>
      <c r="G274" s="1737"/>
      <c r="H274" s="1737"/>
      <c r="I274" s="1737"/>
      <c r="J274" s="1737"/>
      <c r="K274" s="1737"/>
      <c r="L274" s="1737"/>
      <c r="M274" s="1737"/>
      <c r="N274" s="1737"/>
      <c r="O274" s="1406"/>
      <c r="P274" s="1406"/>
      <c r="R274" s="1407"/>
    </row>
    <row r="275" spans="1:18" s="1120" customFormat="1" ht="18" customHeight="1">
      <c r="B275" s="1408"/>
      <c r="C275" s="1121"/>
      <c r="D275" s="1121"/>
      <c r="E275" s="1121"/>
      <c r="F275" s="1405"/>
      <c r="G275" s="1405"/>
      <c r="H275" s="1405"/>
      <c r="I275" s="1405"/>
      <c r="J275" s="1467">
        <f>COUNTIF($J$13:$J$271,"A2")</f>
        <v>35</v>
      </c>
      <c r="K275" s="1405"/>
      <c r="L275" s="1715" t="s">
        <v>2427</v>
      </c>
      <c r="M275" s="1715"/>
      <c r="N275" s="1715"/>
      <c r="O275" s="1715"/>
      <c r="P275" s="1715"/>
      <c r="Q275" s="1715"/>
      <c r="R275" s="1715"/>
    </row>
    <row r="276" spans="1:18">
      <c r="J276" s="1467">
        <f>COUNTIF($J$13:$J$271,"A3")</f>
        <v>93</v>
      </c>
      <c r="N276" s="1704" t="s">
        <v>2303</v>
      </c>
      <c r="O276" s="1704"/>
      <c r="P276" s="1704"/>
      <c r="Q276" s="1704"/>
      <c r="R276" s="1704"/>
    </row>
    <row r="277" spans="1:18" s="1120" customFormat="1">
      <c r="A277" s="1704" t="s">
        <v>859</v>
      </c>
      <c r="B277" s="1704"/>
      <c r="C277" s="1121"/>
      <c r="D277" s="1121"/>
      <c r="E277" s="1704" t="s">
        <v>1446</v>
      </c>
      <c r="F277" s="1704"/>
      <c r="G277" s="1704"/>
      <c r="H277" s="1704"/>
      <c r="I277" s="1704"/>
      <c r="J277" s="1704" t="s">
        <v>1191</v>
      </c>
      <c r="K277" s="1704"/>
      <c r="L277" s="1704"/>
      <c r="M277" s="1704"/>
      <c r="N277" s="1704" t="s">
        <v>2304</v>
      </c>
      <c r="O277" s="1704"/>
      <c r="P277" s="1704"/>
      <c r="Q277" s="1704"/>
      <c r="R277" s="1704"/>
    </row>
    <row r="278" spans="1:18" s="1120" customFormat="1" ht="11.25" customHeight="1">
      <c r="A278" s="1353"/>
      <c r="B278" s="1353"/>
      <c r="C278" s="1121"/>
      <c r="D278" s="1121"/>
      <c r="E278" s="1121"/>
      <c r="F278" s="1353"/>
      <c r="G278" s="1353"/>
      <c r="H278" s="1353"/>
      <c r="I278" s="1353"/>
      <c r="J278" s="1673">
        <f>COUNTIF($J$13:$J$271,"A1")</f>
        <v>54</v>
      </c>
      <c r="K278" s="1353"/>
      <c r="L278" s="1353"/>
      <c r="M278" s="1572"/>
      <c r="N278" s="1121"/>
      <c r="O278" s="1704"/>
      <c r="P278" s="1704"/>
      <c r="Q278" s="1704"/>
      <c r="R278" s="1704"/>
    </row>
    <row r="279" spans="1:18" s="1120" customFormat="1" ht="10.5" customHeight="1">
      <c r="A279" s="1353"/>
      <c r="B279" s="1353"/>
      <c r="C279" s="1121"/>
      <c r="D279" s="1121"/>
      <c r="E279" s="1121"/>
      <c r="F279" s="1353"/>
      <c r="G279" s="1353"/>
      <c r="H279" s="1353"/>
      <c r="I279" s="1353"/>
      <c r="J279" s="1673">
        <f>COUNTIF($J$13:$J$271,"A2")</f>
        <v>35</v>
      </c>
      <c r="K279" s="1353"/>
      <c r="L279" s="1353"/>
      <c r="M279" s="1572"/>
      <c r="N279" s="1121"/>
      <c r="O279" s="1353"/>
      <c r="P279" s="1353"/>
      <c r="R279" s="1267"/>
    </row>
    <row r="280" spans="1:18" s="1120" customFormat="1" ht="8.25" customHeight="1">
      <c r="J280" s="1673">
        <f>COUNTIF($J$13:$J$271,"A3")</f>
        <v>93</v>
      </c>
      <c r="L280" s="1353"/>
      <c r="M280" s="1572"/>
      <c r="N280" s="1123"/>
      <c r="O280" s="1123"/>
      <c r="P280" s="1123"/>
      <c r="R280" s="1124"/>
    </row>
    <row r="281" spans="1:18" s="1120" customFormat="1" ht="13.5" customHeight="1">
      <c r="J281" s="1673">
        <f>COUNTIF($J$13:$J$271,"A4")</f>
        <v>71</v>
      </c>
      <c r="L281" s="1353"/>
      <c r="M281" s="1572"/>
      <c r="N281" s="1123"/>
      <c r="O281" s="1123"/>
      <c r="P281" s="1123"/>
      <c r="R281" s="1409"/>
    </row>
    <row r="282" spans="1:18" s="1120" customFormat="1" ht="13.5" customHeight="1">
      <c r="J282" s="1673">
        <f>COUNTIF($J$13:$J$271,"A DN")</f>
        <v>4</v>
      </c>
      <c r="L282" s="1353"/>
      <c r="M282" s="1572"/>
      <c r="N282" s="1123"/>
      <c r="O282" s="1410"/>
      <c r="P282" s="1410"/>
      <c r="R282" s="1124"/>
    </row>
    <row r="283" spans="1:18" s="1120" customFormat="1" ht="13.5" customHeight="1">
      <c r="F283" s="1123"/>
      <c r="G283" s="1123"/>
      <c r="H283" s="1123"/>
      <c r="I283" s="1123"/>
      <c r="J283" s="1673">
        <f>COUNTIF($J$13:$J$271,"B1")</f>
        <v>1</v>
      </c>
      <c r="K283" s="1123"/>
      <c r="L283" s="1123"/>
      <c r="M283" s="1575"/>
      <c r="N283" s="1123"/>
      <c r="O283" s="1123"/>
      <c r="P283" s="1123"/>
      <c r="R283" s="1409"/>
    </row>
    <row r="284" spans="1:18" s="1120" customFormat="1" ht="13.5" customHeight="1">
      <c r="F284" s="1123"/>
      <c r="G284" s="1123"/>
      <c r="H284" s="1123"/>
      <c r="I284" s="1123"/>
      <c r="J284" s="1673">
        <f>COUNTIF($J$13:$J$271,"E")</f>
        <v>1</v>
      </c>
      <c r="K284" s="1123"/>
      <c r="L284" s="1123"/>
      <c r="M284" s="1575"/>
      <c r="N284" s="1123"/>
      <c r="O284" s="1123"/>
      <c r="P284" s="1123"/>
      <c r="R284" s="1124"/>
    </row>
    <row r="285" spans="1:18" s="1120" customFormat="1">
      <c r="A285" s="1704" t="s">
        <v>1827</v>
      </c>
      <c r="B285" s="1704"/>
      <c r="C285" s="1121"/>
      <c r="D285" s="1121"/>
      <c r="E285" s="1704"/>
      <c r="F285" s="1704"/>
      <c r="G285" s="1704"/>
      <c r="H285" s="1704"/>
      <c r="I285" s="1704"/>
      <c r="J285" s="1704" t="s">
        <v>1445</v>
      </c>
      <c r="K285" s="1704"/>
      <c r="L285" s="1704"/>
      <c r="M285" s="1704"/>
      <c r="N285" s="1704" t="s">
        <v>1447</v>
      </c>
      <c r="O285" s="1704"/>
      <c r="P285" s="1704"/>
      <c r="Q285" s="1704"/>
      <c r="R285" s="1704"/>
    </row>
    <row r="286" spans="1:18" ht="15.75">
      <c r="A286" s="1412"/>
    </row>
    <row r="287" spans="1:18" ht="15.75" customHeight="1">
      <c r="A287" s="1412"/>
      <c r="O287" s="1273"/>
    </row>
    <row r="288" spans="1:18">
      <c r="O288" s="1674"/>
    </row>
    <row r="343" ht="15.75" customHeight="1"/>
  </sheetData>
  <mergeCells count="32">
    <mergeCell ref="E277:I277"/>
    <mergeCell ref="E285:I285"/>
    <mergeCell ref="J277:M277"/>
    <mergeCell ref="J285:M285"/>
    <mergeCell ref="B274:N274"/>
    <mergeCell ref="N276:R276"/>
    <mergeCell ref="N277:R277"/>
    <mergeCell ref="N285:R285"/>
    <mergeCell ref="O278:R278"/>
    <mergeCell ref="L275:R275"/>
    <mergeCell ref="A277:B277"/>
    <mergeCell ref="A285:B285"/>
    <mergeCell ref="J1:R1"/>
    <mergeCell ref="J2:R2"/>
    <mergeCell ref="A7:R7"/>
    <mergeCell ref="A6:R6"/>
    <mergeCell ref="A5:R5"/>
    <mergeCell ref="A1:G1"/>
    <mergeCell ref="A2:G2"/>
    <mergeCell ref="A3:G3"/>
    <mergeCell ref="Q10:R11"/>
    <mergeCell ref="O10:O11"/>
    <mergeCell ref="N10:N11"/>
    <mergeCell ref="Q12:R12"/>
    <mergeCell ref="A10:A11"/>
    <mergeCell ref="B10:B11"/>
    <mergeCell ref="L8:N8"/>
    <mergeCell ref="F10:I10"/>
    <mergeCell ref="J10:K10"/>
    <mergeCell ref="E10:E11"/>
    <mergeCell ref="L10:M10"/>
    <mergeCell ref="J9:K9"/>
  </mergeCells>
  <phoneticPr fontId="10" type="noConversion"/>
  <conditionalFormatting sqref="D63 D191:D199 D132:D137 D32 D148:D159 D79 A7 D73 D88 C64:D64 D116:D119 D112:D114 D121:D124 D240:D252 C84 D26:D30 D178:D189 D17 B17 D92 D102:D106 D56 B63 D173:D176 D127:D129 D43:D44 D37:D41 D58:D61 D217:D232 D201:D215 C18:D18 C81:D81 F10 A285 A10:D10 P11 O10:Q10 C11:D11 A277 A9:I9 L10 F11:J11 G253:G263 D161:D171 H1:I2 A1:A3 A275:L275 A276:K276 A274:B274 O274:R274 D13:D14 D66:D68 D24 D19:D21 F18:G34 I18:I34 B19:B34 B37:B49 F47:G47 I47 D51:D54 D71 B51:B61 B65:B80 F51:G61 F63:G81 I51:I61 I63:I82 B85:B110 F84:G110 I84:I110 T51:II61 T18:II49 T63:II81 T84:II110 F13:G15 I13:I15 Q13:Q81 A13:B15 D264:D269 F264:G271 T112:II238 S18:S238 B112:B271 F112:G252 I112:I271 Q84:Q271 O13:O271 A16:A271 A278:J284 A12:Q12 A272:R273 K13:M271 K278:O278 S285:II285 S1:II2 S7:II7 S278:XFD278 S10:XFD11 S12:II17 S239:II277 L9:XFD9 A4:XFD6 A286:XFD65532 A8:XFD8 H3:XFD3 K279:XFD284">
    <cfRule type="cellIs" dxfId="309" priority="534" stopIfTrue="1" operator="equal">
      <formula>"KXL"</formula>
    </cfRule>
    <cfRule type="cellIs" dxfId="308" priority="535" stopIfTrue="1" operator="equal">
      <formula>"A DN"</formula>
    </cfRule>
    <cfRule type="cellIs" dxfId="307" priority="536" stopIfTrue="1" operator="equal">
      <formula>"C"</formula>
    </cfRule>
    <cfRule type="cellIs" dxfId="306" priority="537" stopIfTrue="1" operator="equal">
      <formula>"B"</formula>
    </cfRule>
  </conditionalFormatting>
  <conditionalFormatting sqref="B50 T111:II111 T62:II62 T50:II50">
    <cfRule type="cellIs" dxfId="305" priority="485" stopIfTrue="1" operator="equal">
      <formula>"C"</formula>
    </cfRule>
    <cfRule type="cellIs" dxfId="304" priority="486" stopIfTrue="1" operator="equal">
      <formula>"B"</formula>
    </cfRule>
    <cfRule type="cellIs" dxfId="303" priority="487" stopIfTrue="1" operator="equal">
      <formula>"A DN"</formula>
    </cfRule>
  </conditionalFormatting>
  <conditionalFormatting sqref="B62">
    <cfRule type="cellIs" dxfId="302" priority="480" stopIfTrue="1" operator="equal">
      <formula>"C"</formula>
    </cfRule>
    <cfRule type="cellIs" dxfId="301" priority="481" stopIfTrue="1" operator="equal">
      <formula>"B"</formula>
    </cfRule>
    <cfRule type="cellIs" dxfId="300" priority="482" stopIfTrue="1" operator="equal">
      <formula>"A DN"</formula>
    </cfRule>
  </conditionalFormatting>
  <conditionalFormatting sqref="B111">
    <cfRule type="cellIs" dxfId="299" priority="475" stopIfTrue="1" operator="equal">
      <formula>"C"</formula>
    </cfRule>
    <cfRule type="cellIs" dxfId="298" priority="476" stopIfTrue="1" operator="equal">
      <formula>"B"</formula>
    </cfRule>
    <cfRule type="cellIs" dxfId="297" priority="477" stopIfTrue="1" operator="equal">
      <formula>"A DN"</formula>
    </cfRule>
  </conditionalFormatting>
  <conditionalFormatting sqref="D111">
    <cfRule type="cellIs" dxfId="296" priority="469" stopIfTrue="1" operator="equal">
      <formula>"KXL"</formula>
    </cfRule>
    <cfRule type="cellIs" dxfId="295" priority="470" stopIfTrue="1" operator="equal">
      <formula>"A DN"</formula>
    </cfRule>
    <cfRule type="cellIs" dxfId="294" priority="471" stopIfTrue="1" operator="equal">
      <formula>"C"</formula>
    </cfRule>
    <cfRule type="cellIs" dxfId="293" priority="472" stopIfTrue="1" operator="equal">
      <formula>"B"</formula>
    </cfRule>
  </conditionalFormatting>
  <conditionalFormatting sqref="C16:D16">
    <cfRule type="cellIs" dxfId="292" priority="414" stopIfTrue="1" operator="equal">
      <formula>"KXL"</formula>
    </cfRule>
    <cfRule type="cellIs" dxfId="291" priority="415" stopIfTrue="1" operator="equal">
      <formula>"A DN"</formula>
    </cfRule>
    <cfRule type="cellIs" dxfId="290" priority="416" stopIfTrue="1" operator="equal">
      <formula>"C"</formula>
    </cfRule>
    <cfRule type="cellIs" dxfId="289" priority="417" stopIfTrue="1" operator="equal">
      <formula>"B"</formula>
    </cfRule>
  </conditionalFormatting>
  <conditionalFormatting sqref="C35:D35 C36">
    <cfRule type="cellIs" dxfId="288" priority="388" stopIfTrue="1" operator="equal">
      <formula>"KXL"</formula>
    </cfRule>
    <cfRule type="cellIs" dxfId="287" priority="389" stopIfTrue="1" operator="equal">
      <formula>"A DN"</formula>
    </cfRule>
    <cfRule type="cellIs" dxfId="286" priority="390" stopIfTrue="1" operator="equal">
      <formula>"C"</formula>
    </cfRule>
    <cfRule type="cellIs" dxfId="285" priority="391" stopIfTrue="1" operator="equal">
      <formula>"B"</formula>
    </cfRule>
  </conditionalFormatting>
  <conditionalFormatting sqref="Q82">
    <cfRule type="cellIs" dxfId="284" priority="297" stopIfTrue="1" operator="equal">
      <formula>"KXL"</formula>
    </cfRule>
    <cfRule type="cellIs" dxfId="283" priority="298" stopIfTrue="1" operator="equal">
      <formula>"A DN"</formula>
    </cfRule>
    <cfRule type="cellIs" dxfId="282" priority="299" stopIfTrue="1" operator="equal">
      <formula>"C"</formula>
    </cfRule>
    <cfRule type="cellIs" dxfId="281" priority="300" stopIfTrue="1" operator="equal">
      <formula>"B"</formula>
    </cfRule>
  </conditionalFormatting>
  <conditionalFormatting sqref="C82:D82 T82:II82">
    <cfRule type="cellIs" dxfId="280" priority="293" stopIfTrue="1" operator="equal">
      <formula>"KXL"</formula>
    </cfRule>
    <cfRule type="cellIs" dxfId="279" priority="294" stopIfTrue="1" operator="equal">
      <formula>"A DN"</formula>
    </cfRule>
    <cfRule type="cellIs" dxfId="278" priority="295" stopIfTrue="1" operator="equal">
      <formula>"C"</formula>
    </cfRule>
    <cfRule type="cellIs" dxfId="277" priority="296" stopIfTrue="1" operator="equal">
      <formula>"B"</formula>
    </cfRule>
  </conditionalFormatting>
  <conditionalFormatting sqref="F37:G46 F17:G17 I17 I37:I46 I48:I49 F48:G49">
    <cfRule type="cellIs" dxfId="276" priority="114" stopIfTrue="1" operator="equal">
      <formula>"KXL"</formula>
    </cfRule>
    <cfRule type="cellIs" dxfId="275" priority="115" stopIfTrue="1" operator="equal">
      <formula>"A DN"</formula>
    </cfRule>
    <cfRule type="cellIs" dxfId="274" priority="116" stopIfTrue="1" operator="equal">
      <formula>"C"</formula>
    </cfRule>
    <cfRule type="cellIs" dxfId="273" priority="117" stopIfTrue="1" operator="equal">
      <formula>"B"</formula>
    </cfRule>
  </conditionalFormatting>
  <conditionalFormatting sqref="F50:G50 I50">
    <cfRule type="cellIs" dxfId="272" priority="111" stopIfTrue="1" operator="equal">
      <formula>"C"</formula>
    </cfRule>
    <cfRule type="cellIs" dxfId="271" priority="112" stopIfTrue="1" operator="equal">
      <formula>"B"</formula>
    </cfRule>
    <cfRule type="cellIs" dxfId="270" priority="113" stopIfTrue="1" operator="equal">
      <formula>"A DN"</formula>
    </cfRule>
  </conditionalFormatting>
  <conditionalFormatting sqref="F62:G62 I62">
    <cfRule type="cellIs" dxfId="269" priority="108" stopIfTrue="1" operator="equal">
      <formula>"C"</formula>
    </cfRule>
    <cfRule type="cellIs" dxfId="268" priority="109" stopIfTrue="1" operator="equal">
      <formula>"B"</formula>
    </cfRule>
    <cfRule type="cellIs" dxfId="267" priority="110" stopIfTrue="1" operator="equal">
      <formula>"A DN"</formula>
    </cfRule>
  </conditionalFormatting>
  <conditionalFormatting sqref="F111:G111 I111">
    <cfRule type="cellIs" dxfId="266" priority="105" stopIfTrue="1" operator="equal">
      <formula>"C"</formula>
    </cfRule>
    <cfRule type="cellIs" dxfId="265" priority="106" stopIfTrue="1" operator="equal">
      <formula>"B"</formula>
    </cfRule>
    <cfRule type="cellIs" dxfId="264" priority="107" stopIfTrue="1" operator="equal">
      <formula>"A DN"</formula>
    </cfRule>
  </conditionalFormatting>
  <conditionalFormatting sqref="F16:G16 I16">
    <cfRule type="cellIs" dxfId="263" priority="101" stopIfTrue="1" operator="equal">
      <formula>"KXL"</formula>
    </cfRule>
    <cfRule type="cellIs" dxfId="262" priority="102" stopIfTrue="1" operator="equal">
      <formula>"A DN"</formula>
    </cfRule>
    <cfRule type="cellIs" dxfId="261" priority="103" stopIfTrue="1" operator="equal">
      <formula>"C"</formula>
    </cfRule>
    <cfRule type="cellIs" dxfId="260" priority="104" stopIfTrue="1" operator="equal">
      <formula>"B"</formula>
    </cfRule>
  </conditionalFormatting>
  <conditionalFormatting sqref="I35:I36 F35:G36">
    <cfRule type="cellIs" dxfId="259" priority="97" stopIfTrue="1" operator="equal">
      <formula>"KXL"</formula>
    </cfRule>
    <cfRule type="cellIs" dxfId="258" priority="98" stopIfTrue="1" operator="equal">
      <formula>"A DN"</formula>
    </cfRule>
    <cfRule type="cellIs" dxfId="257" priority="99" stopIfTrue="1" operator="equal">
      <formula>"C"</formula>
    </cfRule>
    <cfRule type="cellIs" dxfId="256" priority="100" stopIfTrue="1" operator="equal">
      <formula>"B"</formula>
    </cfRule>
  </conditionalFormatting>
  <conditionalFormatting sqref="F82:G82">
    <cfRule type="cellIs" dxfId="255" priority="93" stopIfTrue="1" operator="equal">
      <formula>"KXL"</formula>
    </cfRule>
    <cfRule type="cellIs" dxfId="254" priority="94" stopIfTrue="1" operator="equal">
      <formula>"A DN"</formula>
    </cfRule>
    <cfRule type="cellIs" dxfId="253" priority="95" stopIfTrue="1" operator="equal">
      <formula>"C"</formula>
    </cfRule>
    <cfRule type="cellIs" dxfId="252" priority="96" stopIfTrue="1" operator="equal">
      <formula>"B"</formula>
    </cfRule>
  </conditionalFormatting>
  <conditionalFormatting sqref="J13:J271">
    <cfRule type="cellIs" dxfId="251" priority="17" operator="equal">
      <formula>"A DN"</formula>
    </cfRule>
    <cfRule type="cellIs" dxfId="250" priority="18" operator="equal">
      <formula>"KXL"</formula>
    </cfRule>
    <cfRule type="cellIs" dxfId="249" priority="19" operator="equal">
      <formula>"D"</formula>
    </cfRule>
    <cfRule type="cellIs" dxfId="248" priority="20" operator="equal">
      <formula>"C2"</formula>
    </cfRule>
    <cfRule type="cellIs" dxfId="247" priority="21" operator="equal">
      <formula>"C1"</formula>
    </cfRule>
    <cfRule type="cellIs" dxfId="246" priority="22" operator="equal">
      <formula>"B2"</formula>
    </cfRule>
    <cfRule type="cellIs" dxfId="245" priority="23" operator="equal">
      <formula>"B1"</formula>
    </cfRule>
  </conditionalFormatting>
  <conditionalFormatting sqref="E10">
    <cfRule type="cellIs" dxfId="244" priority="9" stopIfTrue="1" operator="equal">
      <formula>"KXL"</formula>
    </cfRule>
    <cfRule type="cellIs" dxfId="243" priority="10" stopIfTrue="1" operator="equal">
      <formula>"A DN"</formula>
    </cfRule>
    <cfRule type="cellIs" dxfId="242" priority="11" stopIfTrue="1" operator="equal">
      <formula>"C"</formula>
    </cfRule>
    <cfRule type="cellIs" dxfId="241" priority="12" stopIfTrue="1" operator="equal">
      <formula>"B"</formula>
    </cfRule>
  </conditionalFormatting>
  <conditionalFormatting sqref="K11">
    <cfRule type="cellIs" dxfId="240" priority="1" stopIfTrue="1" operator="equal">
      <formula>"KXL"</formula>
    </cfRule>
    <cfRule type="cellIs" dxfId="239" priority="2" stopIfTrue="1" operator="equal">
      <formula>"A DN"</formula>
    </cfRule>
    <cfRule type="cellIs" dxfId="238" priority="3" stopIfTrue="1" operator="equal">
      <formula>"C"</formula>
    </cfRule>
    <cfRule type="cellIs" dxfId="237"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694" t="s">
        <v>492</v>
      </c>
      <c r="B1" s="1694"/>
      <c r="C1" s="1694"/>
      <c r="D1" s="1694"/>
      <c r="E1" s="1694"/>
      <c r="F1" s="1694"/>
      <c r="G1" s="1694"/>
      <c r="H1" s="1694"/>
      <c r="I1" s="1694"/>
      <c r="J1" s="1694"/>
      <c r="K1" s="1694"/>
      <c r="L1" s="1694"/>
      <c r="N1" s="19"/>
      <c r="O1" s="19"/>
      <c r="P1" s="19"/>
      <c r="Q1" s="19"/>
      <c r="R1" s="19"/>
      <c r="S1" s="19"/>
      <c r="T1" s="1678" t="s">
        <v>849</v>
      </c>
      <c r="U1" s="1678"/>
      <c r="V1" s="1678"/>
      <c r="W1" s="1678"/>
      <c r="X1" s="1678"/>
      <c r="Y1" s="1678"/>
    </row>
    <row r="2" spans="1:35" ht="14.25">
      <c r="A2" s="1678" t="s">
        <v>1563</v>
      </c>
      <c r="B2" s="1678"/>
      <c r="C2" s="1678"/>
      <c r="D2" s="1678"/>
      <c r="E2" s="1678"/>
      <c r="F2" s="1678"/>
      <c r="G2" s="1678"/>
      <c r="H2" s="1678"/>
      <c r="I2" s="1678"/>
      <c r="J2" s="1678"/>
      <c r="K2" s="1678"/>
      <c r="L2" s="1678"/>
      <c r="N2" s="19"/>
      <c r="O2" s="19"/>
      <c r="P2" s="19"/>
      <c r="Q2" s="19"/>
      <c r="R2" s="19"/>
      <c r="S2" s="19"/>
      <c r="T2" s="1678" t="s">
        <v>851</v>
      </c>
      <c r="U2" s="1678"/>
      <c r="V2" s="1678"/>
      <c r="W2" s="1678"/>
      <c r="X2" s="1678"/>
      <c r="Y2" s="1678"/>
    </row>
    <row r="3" spans="1:35" ht="14.25">
      <c r="A3" s="1678" t="s">
        <v>1565</v>
      </c>
      <c r="B3" s="1678"/>
      <c r="C3" s="1678"/>
      <c r="D3" s="1678"/>
      <c r="E3" s="1678"/>
      <c r="F3" s="1678"/>
      <c r="G3" s="1678"/>
      <c r="H3" s="1678"/>
      <c r="I3" s="1678"/>
      <c r="J3" s="1678"/>
      <c r="K3" s="1678"/>
      <c r="L3" s="1678"/>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682" t="s">
        <v>2019</v>
      </c>
      <c r="B5" s="1682"/>
      <c r="C5" s="1682"/>
      <c r="D5" s="1682"/>
      <c r="E5" s="1682"/>
      <c r="F5" s="1682"/>
      <c r="G5" s="1682"/>
      <c r="H5" s="1682"/>
      <c r="I5" s="1682"/>
      <c r="J5" s="1682"/>
      <c r="K5" s="1682"/>
      <c r="L5" s="1682"/>
      <c r="M5" s="1682"/>
      <c r="N5" s="1682"/>
      <c r="O5" s="1682"/>
      <c r="P5" s="1682"/>
      <c r="Q5" s="1682"/>
      <c r="R5" s="1682"/>
      <c r="S5" s="1682"/>
      <c r="T5" s="1682"/>
      <c r="U5" s="1682"/>
      <c r="V5" s="1682"/>
      <c r="W5" s="1682"/>
      <c r="X5" s="1682"/>
      <c r="Y5" s="1682"/>
    </row>
    <row r="6" spans="1:35" ht="15.75">
      <c r="A6" s="1682" t="s">
        <v>1597</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row>
    <row r="7" spans="1:35" ht="44.25" customHeight="1">
      <c r="A7" s="1738" t="s">
        <v>2008</v>
      </c>
      <c r="B7" s="1738"/>
      <c r="C7" s="1738"/>
      <c r="D7" s="1738"/>
      <c r="E7" s="1738"/>
      <c r="F7" s="1738"/>
      <c r="G7" s="1738"/>
      <c r="H7" s="1738"/>
      <c r="I7" s="1738"/>
      <c r="J7" s="1738"/>
      <c r="K7" s="1738"/>
      <c r="L7" s="1738"/>
      <c r="M7" s="1738"/>
      <c r="N7" s="1738"/>
      <c r="O7" s="1738"/>
      <c r="P7" s="1738"/>
      <c r="Q7" s="1738"/>
      <c r="R7" s="1738"/>
      <c r="S7" s="1738"/>
      <c r="T7" s="1738"/>
      <c r="U7" s="1738"/>
      <c r="V7" s="1738"/>
      <c r="W7" s="1738"/>
      <c r="X7" s="1738"/>
      <c r="Y7" s="1738"/>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739" t="s">
        <v>854</v>
      </c>
      <c r="C11" s="1739"/>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39" t="s">
        <v>40</v>
      </c>
      <c r="Y11" s="1739"/>
    </row>
    <row r="12" spans="1:35" s="114" customFormat="1">
      <c r="A12" s="32" t="s">
        <v>1110</v>
      </c>
      <c r="B12" s="1679" t="s">
        <v>1111</v>
      </c>
      <c r="C12" s="1679"/>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679" t="s">
        <v>1122</v>
      </c>
      <c r="Y12" s="1679"/>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40" t="s">
        <v>866</v>
      </c>
      <c r="C15" s="1740"/>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678" t="s">
        <v>859</v>
      </c>
      <c r="B19" s="1678"/>
      <c r="C19" s="1678" t="s">
        <v>1446</v>
      </c>
      <c r="D19" s="1678"/>
      <c r="E19" s="1678"/>
      <c r="F19" s="1678"/>
      <c r="G19" s="1678"/>
      <c r="H19" s="1678"/>
      <c r="I19" s="1678"/>
      <c r="J19" s="1678"/>
      <c r="K19" s="1678"/>
      <c r="L19" s="1678"/>
      <c r="M19" s="1678"/>
      <c r="N19" s="1678"/>
      <c r="O19" s="1678"/>
      <c r="P19" s="1678" t="s">
        <v>1191</v>
      </c>
      <c r="Q19" s="1678"/>
      <c r="R19" s="1678"/>
      <c r="S19" s="1678"/>
      <c r="T19" s="1678"/>
      <c r="U19" s="1678" t="s">
        <v>41</v>
      </c>
      <c r="V19" s="1678"/>
      <c r="W19" s="1678"/>
      <c r="X19" s="1678"/>
      <c r="Y19" s="1678"/>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678" t="s">
        <v>1827</v>
      </c>
      <c r="B26" s="1678"/>
      <c r="C26" s="1678" t="s">
        <v>1458</v>
      </c>
      <c r="D26" s="1678"/>
      <c r="E26" s="1678"/>
      <c r="F26" s="1678"/>
      <c r="G26" s="1678"/>
      <c r="H26" s="1678"/>
      <c r="I26" s="1678"/>
      <c r="J26" s="1678"/>
      <c r="K26" s="1678"/>
      <c r="L26" s="1678"/>
      <c r="M26" s="1678"/>
      <c r="N26" s="1678"/>
      <c r="O26" s="1678"/>
      <c r="P26" s="1678" t="s">
        <v>1445</v>
      </c>
      <c r="Q26" s="1678"/>
      <c r="R26" s="1678"/>
      <c r="S26" s="1678"/>
      <c r="T26" s="1678"/>
      <c r="U26" s="1678" t="s">
        <v>1433</v>
      </c>
      <c r="V26" s="1678"/>
      <c r="W26" s="1678"/>
      <c r="X26" s="1678"/>
      <c r="Y26" s="1678"/>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36" priority="59" stopIfTrue="1" operator="equal">
      <formula>"KXL"</formula>
    </cfRule>
    <cfRule type="cellIs" dxfId="235" priority="60" stopIfTrue="1" operator="equal">
      <formula>"A DN"</formula>
    </cfRule>
    <cfRule type="cellIs" dxfId="234" priority="61" stopIfTrue="1" operator="equal">
      <formula>"C"</formula>
    </cfRule>
    <cfRule type="cellIs" dxfId="233" priority="62" stopIfTrue="1" operator="equal">
      <formula>"B"</formula>
    </cfRule>
  </conditionalFormatting>
  <conditionalFormatting sqref="U13:V13 X13 P13:R13 K13:N13 A13 L14">
    <cfRule type="cellIs" dxfId="232" priority="32" stopIfTrue="1" operator="equal">
      <formula>"KXL"</formula>
    </cfRule>
    <cfRule type="cellIs" dxfId="231" priority="33" stopIfTrue="1" operator="equal">
      <formula>"A DN"</formula>
    </cfRule>
    <cfRule type="cellIs" dxfId="230" priority="34" stopIfTrue="1" operator="equal">
      <formula>"C"</formula>
    </cfRule>
    <cfRule type="cellIs" dxfId="229" priority="35" stopIfTrue="1" operator="equal">
      <formula>"B"</formula>
    </cfRule>
  </conditionalFormatting>
  <conditionalFormatting sqref="Z13:IV13 D13:J13 S13:T13">
    <cfRule type="cellIs" dxfId="228" priority="28" stopIfTrue="1" operator="equal">
      <formula>"KXL"</formula>
    </cfRule>
    <cfRule type="cellIs" dxfId="227" priority="29" stopIfTrue="1" operator="equal">
      <formula>"A DN"</formula>
    </cfRule>
    <cfRule type="cellIs" dxfId="226" priority="30" stopIfTrue="1" operator="equal">
      <formula>"C"</formula>
    </cfRule>
    <cfRule type="cellIs" dxfId="225" priority="31" stopIfTrue="1" operator="equal">
      <formula>"B"</formula>
    </cfRule>
  </conditionalFormatting>
  <conditionalFormatting sqref="L13:L14">
    <cfRule type="cellIs" dxfId="224" priority="36" stopIfTrue="1" operator="equal">
      <formula>"C2"</formula>
    </cfRule>
    <cfRule type="cellIs" dxfId="223" priority="37" stopIfTrue="1" operator="equal">
      <formula>"C1"</formula>
    </cfRule>
    <cfRule type="cellIs" dxfId="222" priority="38" stopIfTrue="1" operator="equal">
      <formula>"C2"</formula>
    </cfRule>
    <cfRule type="cellIs" dxfId="221" priority="39" stopIfTrue="1" operator="equal">
      <formula>"D"</formula>
    </cfRule>
    <cfRule type="cellIs" dxfId="220" priority="40" stopIfTrue="1" operator="equal">
      <formula>"E"</formula>
    </cfRule>
    <cfRule type="cellIs" dxfId="219" priority="41" stopIfTrue="1" operator="equal">
      <formula>"A DN"</formula>
    </cfRule>
    <cfRule type="cellIs" dxfId="218" priority="42" stopIfTrue="1" operator="equal">
      <formula>"A DN"</formula>
    </cfRule>
    <cfRule type="cellIs" dxfId="217" priority="43" stopIfTrue="1" operator="equal">
      <formula>"E"</formula>
    </cfRule>
    <cfRule type="cellIs" dxfId="216" priority="44" stopIfTrue="1" operator="equal">
      <formula>"D"</formula>
    </cfRule>
    <cfRule type="cellIs" dxfId="215" priority="45" stopIfTrue="1" operator="equal">
      <formula>"D1"</formula>
    </cfRule>
    <cfRule type="cellIs" dxfId="214" priority="46" stopIfTrue="1" operator="equal">
      <formula>"C2"</formula>
    </cfRule>
    <cfRule type="cellIs" dxfId="213" priority="47" stopIfTrue="1" operator="equal">
      <formula>"C1"</formula>
    </cfRule>
    <cfRule type="cellIs" dxfId="212" priority="48" stopIfTrue="1" operator="equal">
      <formula>"B2"</formula>
    </cfRule>
    <cfRule type="cellIs" dxfId="211" priority="49" stopIfTrue="1" operator="equal">
      <formula>"B1"</formula>
    </cfRule>
    <cfRule type="cellIs" dxfId="210" priority="51" stopIfTrue="1" operator="equal">
      <formula>"D"</formula>
    </cfRule>
  </conditionalFormatting>
  <conditionalFormatting sqref="L13:L14">
    <cfRule type="cellIs" dxfId="209" priority="52" stopIfTrue="1" operator="equal">
      <formula>"B1"</formula>
    </cfRule>
  </conditionalFormatting>
  <conditionalFormatting sqref="L13:L14">
    <cfRule type="cellIs" dxfId="208" priority="54" stopIfTrue="1" operator="equal">
      <formula>"B2"</formula>
    </cfRule>
  </conditionalFormatting>
  <conditionalFormatting sqref="L13:L14">
    <cfRule type="expression" dxfId="207"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694" t="s">
        <v>492</v>
      </c>
      <c r="B1" s="1694"/>
      <c r="C1" s="1694"/>
      <c r="D1" s="1694"/>
      <c r="E1" s="1694"/>
      <c r="F1" s="1694"/>
      <c r="G1" s="1694"/>
      <c r="H1" s="1694"/>
      <c r="I1" s="1694"/>
      <c r="J1" s="1694"/>
      <c r="K1" s="1694"/>
      <c r="L1" s="1694"/>
      <c r="M1" s="1694"/>
      <c r="N1" s="1678" t="s">
        <v>849</v>
      </c>
      <c r="O1" s="1678"/>
      <c r="P1" s="1678"/>
      <c r="Q1" s="1678"/>
      <c r="R1" s="1678"/>
      <c r="S1" s="1678"/>
      <c r="T1" s="1678"/>
      <c r="U1" s="1678"/>
      <c r="V1" s="1678"/>
      <c r="W1" s="1678"/>
      <c r="X1" s="1678"/>
      <c r="Y1" s="1678"/>
      <c r="Z1" s="1678"/>
      <c r="AA1" s="1678"/>
    </row>
    <row r="2" spans="1:30" ht="15" customHeight="1">
      <c r="A2" s="1678" t="s">
        <v>850</v>
      </c>
      <c r="B2" s="1678"/>
      <c r="C2" s="1678"/>
      <c r="D2" s="1678"/>
      <c r="E2" s="1678"/>
      <c r="F2" s="1678"/>
      <c r="G2" s="1678"/>
      <c r="H2" s="1678"/>
      <c r="I2" s="1678"/>
      <c r="J2" s="1678"/>
      <c r="K2" s="1678"/>
      <c r="L2" s="1678"/>
      <c r="M2" s="1678"/>
      <c r="N2" s="1741" t="s">
        <v>851</v>
      </c>
      <c r="O2" s="1741"/>
      <c r="P2" s="1741"/>
      <c r="Q2" s="1741"/>
      <c r="R2" s="1741"/>
      <c r="S2" s="1741"/>
      <c r="T2" s="1741"/>
      <c r="U2" s="1741"/>
      <c r="V2" s="1741"/>
      <c r="W2" s="1741"/>
      <c r="X2" s="1741"/>
      <c r="Y2" s="1741"/>
      <c r="Z2" s="1741"/>
      <c r="AA2" s="1741"/>
    </row>
    <row r="3" spans="1:30" ht="19.5" customHeight="1">
      <c r="A3" s="1741" t="s">
        <v>852</v>
      </c>
      <c r="B3" s="1741"/>
      <c r="C3" s="1741"/>
      <c r="D3" s="1741"/>
      <c r="E3" s="1741"/>
      <c r="F3" s="1741"/>
      <c r="G3" s="1741"/>
      <c r="H3" s="1741"/>
      <c r="I3" s="1741"/>
      <c r="J3" s="1741"/>
      <c r="K3" s="1741"/>
      <c r="L3" s="1741"/>
      <c r="M3" s="1741"/>
      <c r="N3" s="104"/>
      <c r="O3" s="17"/>
      <c r="P3" s="18"/>
      <c r="Q3" s="18"/>
      <c r="R3" s="18"/>
      <c r="S3" s="17"/>
      <c r="T3" s="137"/>
      <c r="U3" s="17"/>
      <c r="V3" s="25"/>
      <c r="W3" s="17"/>
      <c r="X3" s="17"/>
      <c r="Y3" s="17"/>
      <c r="Z3" s="16"/>
    </row>
    <row r="4" spans="1:30" ht="15.75">
      <c r="A4" s="1682" t="s">
        <v>792</v>
      </c>
      <c r="B4" s="1682"/>
      <c r="C4" s="1682"/>
      <c r="D4" s="1682"/>
      <c r="E4" s="1682"/>
      <c r="F4" s="1682"/>
      <c r="G4" s="1682"/>
      <c r="H4" s="1682"/>
      <c r="I4" s="1682"/>
      <c r="J4" s="1682"/>
      <c r="K4" s="1682"/>
      <c r="L4" s="1682"/>
      <c r="M4" s="1682"/>
      <c r="N4" s="1682"/>
      <c r="O4" s="1682"/>
      <c r="P4" s="1682"/>
      <c r="Q4" s="1682"/>
      <c r="R4" s="1682"/>
      <c r="S4" s="1682"/>
      <c r="T4" s="1682"/>
      <c r="U4" s="1682"/>
      <c r="V4" s="1682"/>
      <c r="W4" s="1682"/>
      <c r="X4" s="1682"/>
      <c r="Y4" s="1682"/>
      <c r="Z4" s="1682"/>
      <c r="AA4" s="1682"/>
    </row>
    <row r="5" spans="1:30" ht="15.75">
      <c r="A5" s="1682" t="s">
        <v>1135</v>
      </c>
      <c r="B5" s="1682"/>
      <c r="C5" s="1682"/>
      <c r="D5" s="1682"/>
      <c r="E5" s="1682"/>
      <c r="F5" s="1682"/>
      <c r="G5" s="1682"/>
      <c r="H5" s="1682"/>
      <c r="I5" s="1682"/>
      <c r="J5" s="1682"/>
      <c r="K5" s="1682"/>
      <c r="L5" s="1682"/>
      <c r="M5" s="1682"/>
      <c r="N5" s="1682"/>
      <c r="O5" s="1682"/>
      <c r="P5" s="1682"/>
      <c r="Q5" s="1682"/>
      <c r="R5" s="1682"/>
      <c r="S5" s="1682"/>
      <c r="T5" s="1682"/>
      <c r="U5" s="1682"/>
      <c r="V5" s="1682"/>
      <c r="W5" s="1682"/>
      <c r="X5" s="1682"/>
      <c r="Y5" s="1682"/>
      <c r="Z5" s="1682"/>
      <c r="AA5" s="1682"/>
    </row>
    <row r="6" spans="1:30" ht="45" customHeight="1">
      <c r="A6" s="1742" t="s">
        <v>840</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row>
    <row r="7" spans="1:30" s="16" customFormat="1" ht="15">
      <c r="A7" s="7" t="s">
        <v>556</v>
      </c>
      <c r="C7" s="14"/>
      <c r="D7" s="14"/>
      <c r="E7" s="14"/>
      <c r="F7" s="14"/>
      <c r="G7" s="13"/>
      <c r="H7" s="1743">
        <v>1050000</v>
      </c>
      <c r="I7" s="1743"/>
      <c r="J7" s="18"/>
      <c r="K7" s="76"/>
      <c r="L7" s="17"/>
      <c r="M7" s="18"/>
      <c r="N7" s="47" t="s">
        <v>1195</v>
      </c>
      <c r="O7" s="13"/>
      <c r="P7" s="1744" t="s">
        <v>834</v>
      </c>
      <c r="Q7" s="1744"/>
      <c r="R7" s="1744"/>
      <c r="S7" s="1744"/>
      <c r="T7" s="1744"/>
      <c r="U7" s="1744"/>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685" t="s">
        <v>854</v>
      </c>
      <c r="C9" s="1685"/>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686" t="s">
        <v>40</v>
      </c>
      <c r="AA9" s="1687"/>
      <c r="AB9" s="159"/>
      <c r="AC9" s="159"/>
    </row>
    <row r="10" spans="1:30" s="113" customFormat="1" ht="15" customHeight="1">
      <c r="A10" s="32" t="s">
        <v>1110</v>
      </c>
      <c r="B10" s="1679" t="s">
        <v>1111</v>
      </c>
      <c r="C10" s="1679"/>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679">
        <v>13</v>
      </c>
      <c r="AA10" s="1679"/>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45" t="s">
        <v>775</v>
      </c>
      <c r="AC13" s="1746"/>
      <c r="AD13" s="1746"/>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47"/>
      <c r="AC53" s="1748"/>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31.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31.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678" t="s">
        <v>859</v>
      </c>
      <c r="B259" s="1678"/>
      <c r="C259" s="19"/>
      <c r="D259" s="19"/>
      <c r="E259" s="19"/>
      <c r="F259" s="19"/>
      <c r="G259" s="19"/>
      <c r="H259" s="19"/>
      <c r="I259" s="19"/>
      <c r="J259" s="13" t="s">
        <v>447</v>
      </c>
      <c r="K259" s="1681" t="s">
        <v>446</v>
      </c>
      <c r="L259" s="1681"/>
      <c r="M259" s="1681"/>
      <c r="N259" s="1681"/>
      <c r="O259" s="19"/>
      <c r="P259" s="13"/>
      <c r="R259" s="19"/>
      <c r="S259" s="13" t="s">
        <v>1191</v>
      </c>
      <c r="T259" s="19"/>
      <c r="U259" s="13"/>
      <c r="V259" s="19"/>
      <c r="W259" s="19"/>
      <c r="X259" s="1678" t="s">
        <v>41</v>
      </c>
      <c r="Y259" s="1678"/>
      <c r="Z259" s="1678"/>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698"/>
      <c r="I265" s="1698"/>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678" t="s">
        <v>553</v>
      </c>
      <c r="B266" s="1678"/>
      <c r="C266" s="13"/>
      <c r="D266" s="13"/>
      <c r="E266" s="13"/>
      <c r="F266" s="13"/>
      <c r="G266" s="14"/>
      <c r="H266" s="19"/>
      <c r="I266" s="19"/>
      <c r="J266" s="13" t="s">
        <v>526</v>
      </c>
      <c r="K266" s="1681" t="s">
        <v>526</v>
      </c>
      <c r="L266" s="1681"/>
      <c r="M266" s="1681"/>
      <c r="N266" s="1681"/>
      <c r="O266" s="19"/>
      <c r="P266" s="13"/>
      <c r="R266" s="19"/>
      <c r="S266" s="13" t="s">
        <v>1102</v>
      </c>
      <c r="T266" s="19"/>
      <c r="U266" s="19"/>
      <c r="V266" s="19"/>
      <c r="W266" s="19"/>
      <c r="X266" s="1678" t="s">
        <v>725</v>
      </c>
      <c r="Y266" s="1678"/>
      <c r="Z266" s="1678"/>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694" t="s">
        <v>492</v>
      </c>
      <c r="B1" s="1694"/>
      <c r="C1" s="1694"/>
      <c r="D1" s="1694"/>
      <c r="E1" s="1694"/>
      <c r="F1" s="1694"/>
      <c r="G1" s="1694"/>
      <c r="H1" s="1694"/>
      <c r="I1" s="1694"/>
      <c r="J1" s="1694"/>
      <c r="K1" s="1694"/>
      <c r="L1" s="1694"/>
      <c r="M1" s="1678" t="s">
        <v>849</v>
      </c>
      <c r="N1" s="1678"/>
      <c r="O1" s="1678"/>
      <c r="P1" s="1678"/>
      <c r="Q1" s="1678"/>
      <c r="R1" s="1678"/>
      <c r="S1" s="1678"/>
      <c r="T1" s="1678"/>
      <c r="U1" s="1678"/>
      <c r="V1" s="1678"/>
      <c r="W1" s="1678"/>
      <c r="X1" s="1678"/>
      <c r="Y1" s="1678"/>
      <c r="Z1" s="1678"/>
    </row>
    <row r="2" spans="1:26" ht="14.25">
      <c r="A2" s="1678" t="s">
        <v>850</v>
      </c>
      <c r="B2" s="1678"/>
      <c r="C2" s="1678"/>
      <c r="D2" s="1678"/>
      <c r="E2" s="1678"/>
      <c r="F2" s="1678"/>
      <c r="G2" s="1678"/>
      <c r="H2" s="1678"/>
      <c r="I2" s="1678"/>
      <c r="J2" s="1678"/>
      <c r="K2" s="1678"/>
      <c r="L2" s="1678"/>
      <c r="M2" s="1741" t="s">
        <v>851</v>
      </c>
      <c r="N2" s="1741"/>
      <c r="O2" s="1741"/>
      <c r="P2" s="1741"/>
      <c r="Q2" s="1741"/>
      <c r="R2" s="1741"/>
      <c r="S2" s="1741"/>
      <c r="T2" s="1741"/>
      <c r="U2" s="1741"/>
      <c r="V2" s="1741"/>
      <c r="W2" s="1741"/>
      <c r="X2" s="1741"/>
      <c r="Y2" s="1741"/>
      <c r="Z2" s="1741"/>
    </row>
    <row r="3" spans="1:26" ht="15">
      <c r="A3" s="1741" t="s">
        <v>852</v>
      </c>
      <c r="B3" s="1741"/>
      <c r="C3" s="1741"/>
      <c r="D3" s="1741"/>
      <c r="E3" s="1741"/>
      <c r="F3" s="1741"/>
      <c r="G3" s="1741"/>
      <c r="H3" s="1741"/>
      <c r="I3" s="1741"/>
      <c r="J3" s="1741"/>
      <c r="K3" s="1741"/>
      <c r="L3" s="1741"/>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56" t="s">
        <v>789</v>
      </c>
      <c r="B5" s="1756"/>
      <c r="C5" s="1756"/>
      <c r="D5" s="1756"/>
      <c r="E5" s="1756"/>
      <c r="F5" s="1756"/>
      <c r="G5" s="1756"/>
      <c r="H5" s="1756"/>
      <c r="I5" s="1756"/>
      <c r="J5" s="1756"/>
      <c r="K5" s="1756"/>
      <c r="L5" s="1756"/>
      <c r="M5" s="1756"/>
      <c r="N5" s="1756"/>
      <c r="O5" s="1756"/>
      <c r="P5" s="1756"/>
      <c r="Q5" s="1756"/>
      <c r="R5" s="1756"/>
      <c r="S5" s="1756"/>
      <c r="T5" s="1756"/>
      <c r="U5" s="1756"/>
      <c r="V5" s="1756"/>
      <c r="W5" s="1756"/>
      <c r="X5" s="1756"/>
      <c r="Y5" s="1756"/>
      <c r="Z5" s="1756"/>
    </row>
    <row r="6" spans="1:26" s="112" customFormat="1" ht="16.5">
      <c r="A6" s="1756" t="s">
        <v>1134</v>
      </c>
      <c r="B6" s="1756"/>
      <c r="C6" s="1756"/>
      <c r="D6" s="1756"/>
      <c r="E6" s="1756"/>
      <c r="F6" s="1756"/>
      <c r="G6" s="1756"/>
      <c r="H6" s="1756"/>
      <c r="I6" s="1756"/>
      <c r="J6" s="1756"/>
      <c r="K6" s="1756"/>
      <c r="L6" s="1756"/>
      <c r="M6" s="1756"/>
      <c r="N6" s="1756"/>
      <c r="O6" s="1756"/>
      <c r="P6" s="1756"/>
      <c r="Q6" s="1756"/>
      <c r="R6" s="1756"/>
      <c r="S6" s="1756"/>
      <c r="T6" s="1756"/>
      <c r="U6" s="1756"/>
      <c r="V6" s="1756"/>
      <c r="W6" s="1756"/>
      <c r="X6" s="1756"/>
      <c r="Y6" s="1756"/>
      <c r="Z6" s="1756"/>
    </row>
    <row r="7" spans="1:26" ht="33" customHeight="1">
      <c r="A7" s="1742" t="s">
        <v>832</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57" t="s">
        <v>854</v>
      </c>
      <c r="C10" s="1757"/>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58" t="s">
        <v>40</v>
      </c>
      <c r="Z10" s="1759"/>
    </row>
    <row r="11" spans="1:26" s="113" customFormat="1" ht="17.25" customHeight="1">
      <c r="A11" s="32" t="s">
        <v>1110</v>
      </c>
      <c r="B11" s="1679" t="s">
        <v>1111</v>
      </c>
      <c r="C11" s="1679"/>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679" t="s">
        <v>1122</v>
      </c>
      <c r="Z11" s="1679"/>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49"/>
      <c r="AB17" s="1750"/>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49"/>
      <c r="AB26" s="1751"/>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52" t="s">
        <v>1109</v>
      </c>
      <c r="C72" s="1753"/>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54"/>
      <c r="Z72" s="1755"/>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"&amp;[29]!DocSoUniH(X72)&amp;"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678" t="s">
        <v>859</v>
      </c>
      <c r="B77" s="1678"/>
      <c r="C77" s="19"/>
      <c r="D77" s="19"/>
      <c r="E77" s="19"/>
      <c r="F77" s="13"/>
      <c r="G77" s="19"/>
      <c r="H77" s="19"/>
      <c r="I77" s="13"/>
      <c r="K77" s="19"/>
      <c r="L77" s="13" t="s">
        <v>446</v>
      </c>
      <c r="N77" s="19"/>
      <c r="O77" s="19"/>
      <c r="P77" s="19"/>
      <c r="Q77" s="13"/>
      <c r="R77" s="1678" t="s">
        <v>1191</v>
      </c>
      <c r="S77" s="1678"/>
      <c r="T77" s="1678"/>
      <c r="U77" s="19"/>
      <c r="W77" s="1678" t="s">
        <v>41</v>
      </c>
      <c r="X77" s="1678"/>
      <c r="Y77" s="1678"/>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678" t="s">
        <v>554</v>
      </c>
      <c r="B84" s="1678"/>
      <c r="C84" s="13"/>
      <c r="D84" s="13"/>
      <c r="E84" s="13"/>
      <c r="F84" s="13"/>
      <c r="G84" s="19"/>
      <c r="H84" s="19"/>
      <c r="I84" s="13"/>
      <c r="K84" s="19"/>
      <c r="L84" s="13" t="s">
        <v>526</v>
      </c>
      <c r="N84" s="19"/>
      <c r="O84" s="19"/>
      <c r="P84" s="19"/>
      <c r="Q84" s="13"/>
      <c r="R84" s="1678" t="s">
        <v>1102</v>
      </c>
      <c r="S84" s="1678"/>
      <c r="T84" s="1678"/>
      <c r="U84" s="19"/>
      <c r="W84" s="1678" t="s">
        <v>725</v>
      </c>
      <c r="X84" s="1678"/>
      <c r="Y84" s="1678"/>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694" t="s">
        <v>492</v>
      </c>
      <c r="B1" s="1694"/>
      <c r="C1" s="1694"/>
      <c r="D1" s="1694"/>
      <c r="E1" s="1694"/>
      <c r="F1" s="1694"/>
      <c r="G1" s="1694"/>
      <c r="H1" s="1694"/>
      <c r="I1" s="1694"/>
      <c r="J1" s="1694"/>
      <c r="K1" s="1694"/>
      <c r="L1" s="1694"/>
      <c r="M1" s="1694"/>
      <c r="N1" s="1678" t="s">
        <v>849</v>
      </c>
      <c r="O1" s="1678"/>
      <c r="P1" s="1678"/>
      <c r="Q1" s="1678"/>
      <c r="R1" s="1678"/>
      <c r="S1" s="1678"/>
      <c r="T1" s="1678"/>
      <c r="U1" s="1678"/>
      <c r="V1" s="1678"/>
      <c r="W1" s="1678"/>
      <c r="X1" s="1678"/>
      <c r="Y1" s="1678"/>
      <c r="Z1" s="1678"/>
      <c r="AA1" s="1678"/>
    </row>
    <row r="2" spans="1:28" ht="14.25">
      <c r="A2" s="1678" t="s">
        <v>850</v>
      </c>
      <c r="B2" s="1678"/>
      <c r="C2" s="1678"/>
      <c r="D2" s="1678"/>
      <c r="E2" s="1678"/>
      <c r="F2" s="1678"/>
      <c r="G2" s="1678"/>
      <c r="H2" s="1678"/>
      <c r="I2" s="1678"/>
      <c r="J2" s="1678"/>
      <c r="K2" s="1678"/>
      <c r="L2" s="1678"/>
      <c r="M2" s="1678"/>
      <c r="N2" s="1741" t="s">
        <v>851</v>
      </c>
      <c r="O2" s="1741"/>
      <c r="P2" s="1741"/>
      <c r="Q2" s="1741"/>
      <c r="R2" s="1741"/>
      <c r="S2" s="1741"/>
      <c r="T2" s="1741"/>
      <c r="U2" s="1741"/>
      <c r="V2" s="1741"/>
      <c r="W2" s="1741"/>
      <c r="X2" s="1741"/>
      <c r="Y2" s="1741"/>
      <c r="Z2" s="1741"/>
      <c r="AA2" s="1741"/>
    </row>
    <row r="3" spans="1:28" ht="14.25">
      <c r="A3" s="1741" t="s">
        <v>852</v>
      </c>
      <c r="B3" s="1741"/>
      <c r="C3" s="1741"/>
      <c r="D3" s="1741"/>
      <c r="E3" s="1741"/>
      <c r="F3" s="1741"/>
      <c r="G3" s="1741"/>
      <c r="H3" s="1741"/>
      <c r="I3" s="1741"/>
      <c r="J3" s="1741"/>
      <c r="K3" s="1741"/>
      <c r="L3" s="1741"/>
      <c r="M3" s="1741"/>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682" t="s">
        <v>788</v>
      </c>
      <c r="B5" s="1682"/>
      <c r="C5" s="1682"/>
      <c r="D5" s="1682"/>
      <c r="E5" s="1682"/>
      <c r="F5" s="1682"/>
      <c r="G5" s="1682"/>
      <c r="H5" s="1682"/>
      <c r="I5" s="1682"/>
      <c r="J5" s="1682"/>
      <c r="K5" s="1682"/>
      <c r="L5" s="1682"/>
      <c r="M5" s="1682"/>
      <c r="N5" s="1682"/>
      <c r="O5" s="1682"/>
      <c r="P5" s="1682"/>
      <c r="Q5" s="1682"/>
      <c r="R5" s="1682"/>
      <c r="S5" s="1682"/>
      <c r="T5" s="1682"/>
      <c r="U5" s="1682"/>
      <c r="V5" s="1682"/>
      <c r="W5" s="1682"/>
      <c r="X5" s="1682"/>
      <c r="Y5" s="1682"/>
      <c r="Z5" s="1682"/>
      <c r="AA5" s="1682"/>
    </row>
    <row r="6" spans="1:28" ht="15.75">
      <c r="A6" s="1682" t="s">
        <v>1136</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row>
    <row r="7" spans="1:28" ht="34.5" customHeight="1">
      <c r="A7" s="1742" t="s">
        <v>833</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44" t="s">
        <v>834</v>
      </c>
      <c r="Q9" s="1744"/>
      <c r="R9" s="1744"/>
      <c r="S9" s="1744"/>
      <c r="T9" s="1744"/>
      <c r="U9" s="1744"/>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57" t="s">
        <v>854</v>
      </c>
      <c r="C11" s="1757"/>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57" t="s">
        <v>40</v>
      </c>
      <c r="AA11" s="1757"/>
    </row>
    <row r="12" spans="1:28" s="114" customFormat="1">
      <c r="A12" s="24" t="s">
        <v>1110</v>
      </c>
      <c r="B12" s="1761" t="s">
        <v>1111</v>
      </c>
      <c r="C12" s="1761"/>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61" t="s">
        <v>1122</v>
      </c>
      <c r="AA12" s="1761"/>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60" t="s">
        <v>866</v>
      </c>
      <c r="C17" s="1760"/>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"&amp;[29]!DocSoUniH(Y17)&amp;"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678" t="s">
        <v>859</v>
      </c>
      <c r="B21" s="1678"/>
      <c r="C21" s="19"/>
      <c r="D21" s="19"/>
      <c r="E21" s="19"/>
      <c r="F21" s="19"/>
      <c r="G21" s="19"/>
      <c r="H21" s="19"/>
      <c r="I21" s="19"/>
      <c r="J21" s="19"/>
      <c r="L21" s="19"/>
      <c r="M21" s="13" t="s">
        <v>447</v>
      </c>
      <c r="O21" s="19"/>
      <c r="P21" s="19"/>
      <c r="Q21" s="1678" t="s">
        <v>1191</v>
      </c>
      <c r="R21" s="1678"/>
      <c r="S21" s="1678"/>
      <c r="T21" s="1678"/>
      <c r="U21" s="1678"/>
      <c r="V21" s="19"/>
      <c r="X21" s="1678" t="s">
        <v>41</v>
      </c>
      <c r="Y21" s="1678"/>
      <c r="Z21" s="1678"/>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678" t="s">
        <v>554</v>
      </c>
      <c r="B28" s="1678"/>
      <c r="C28" s="13"/>
      <c r="D28" s="13"/>
      <c r="E28" s="13"/>
      <c r="F28" s="13"/>
      <c r="G28" s="14"/>
      <c r="H28" s="19"/>
      <c r="I28" s="19"/>
      <c r="J28" s="19"/>
      <c r="L28" s="19"/>
      <c r="M28" s="13" t="s">
        <v>526</v>
      </c>
      <c r="O28" s="19"/>
      <c r="P28" s="19"/>
      <c r="Q28" s="1678" t="s">
        <v>1102</v>
      </c>
      <c r="R28" s="1678"/>
      <c r="S28" s="1678"/>
      <c r="T28" s="1678"/>
      <c r="U28" s="1678"/>
      <c r="V28" s="19"/>
      <c r="X28" s="1678" t="s">
        <v>725</v>
      </c>
      <c r="Y28" s="1678"/>
      <c r="Z28" s="1678"/>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47"/>
  <sheetViews>
    <sheetView topLeftCell="A61" zoomScaleNormal="100" workbookViewId="0">
      <selection activeCell="V77" sqref="V77"/>
    </sheetView>
  </sheetViews>
  <sheetFormatPr defaultRowHeight="12.75"/>
  <cols>
    <col min="1" max="1" width="5.28515625" style="2" customWidth="1"/>
    <col min="2" max="2" width="18.5703125" style="2" customWidth="1"/>
    <col min="3" max="3" width="9.140625" style="2" hidden="1" customWidth="1"/>
    <col min="4" max="4" width="17.28515625" style="532" hidden="1" customWidth="1"/>
    <col min="5" max="5" width="13.85546875" style="2" hidden="1" customWidth="1"/>
    <col min="6" max="6" width="9" style="2" hidden="1" customWidth="1"/>
    <col min="7" max="7" width="5.140625" style="2" hidden="1" customWidth="1"/>
    <col min="8" max="8" width="6.42578125" style="2" customWidth="1"/>
    <col min="9" max="9" width="13.140625" style="84" customWidth="1"/>
    <col min="10" max="10" width="5.140625" style="84" hidden="1" customWidth="1"/>
    <col min="11" max="11" width="11.140625" style="84" customWidth="1"/>
    <col min="12" max="12" width="12.7109375" style="84" customWidth="1"/>
    <col min="13" max="13" width="13.42578125" style="84" customWidth="1"/>
    <col min="14" max="14" width="7" style="2" customWidth="1"/>
    <col min="15" max="15" width="12.7109375" style="2" customWidth="1"/>
    <col min="16" max="16" width="7.5703125" style="2" hidden="1" customWidth="1"/>
    <col min="17" max="18" width="8" style="677" hidden="1" customWidth="1"/>
    <col min="19" max="20" width="6.85546875" style="677" customWidth="1"/>
    <col min="21" max="21" width="11" style="677" customWidth="1"/>
    <col min="22" max="22" width="14.28515625" style="2" customWidth="1"/>
    <col min="23" max="23" width="3.85546875" style="1" customWidth="1"/>
    <col min="24" max="24" width="10.5703125" style="101" customWidth="1"/>
    <col min="25" max="16384" width="9.140625" style="2"/>
  </cols>
  <sheetData>
    <row r="1" spans="1:45" ht="15">
      <c r="A1" s="1694" t="s">
        <v>492</v>
      </c>
      <c r="B1" s="1694"/>
      <c r="C1" s="1694"/>
      <c r="D1" s="1694"/>
      <c r="E1" s="1694"/>
      <c r="F1" s="1694"/>
      <c r="G1" s="1694"/>
      <c r="H1" s="1694"/>
      <c r="I1" s="1694"/>
      <c r="J1" s="1694"/>
      <c r="K1" s="1694"/>
      <c r="L1" s="1494"/>
      <c r="M1" s="1494"/>
      <c r="N1" s="1678" t="s">
        <v>849</v>
      </c>
      <c r="O1" s="1678"/>
      <c r="P1" s="1678"/>
      <c r="Q1" s="1678"/>
      <c r="R1" s="1678"/>
      <c r="S1" s="1678"/>
      <c r="T1" s="1678"/>
      <c r="U1" s="1678"/>
      <c r="V1" s="1678"/>
      <c r="W1" s="1678"/>
      <c r="X1" s="1678"/>
    </row>
    <row r="2" spans="1:45" ht="15" customHeight="1">
      <c r="A2" s="1678" t="s">
        <v>1563</v>
      </c>
      <c r="B2" s="1678"/>
      <c r="C2" s="1678"/>
      <c r="D2" s="1678"/>
      <c r="E2" s="1678"/>
      <c r="F2" s="1678"/>
      <c r="G2" s="1678"/>
      <c r="H2" s="1678"/>
      <c r="I2" s="1678"/>
      <c r="J2" s="1678"/>
      <c r="K2" s="1678"/>
      <c r="L2" s="19"/>
      <c r="M2" s="19"/>
      <c r="N2" s="1678" t="s">
        <v>2179</v>
      </c>
      <c r="O2" s="1678"/>
      <c r="P2" s="1678"/>
      <c r="Q2" s="1678"/>
      <c r="R2" s="1678"/>
      <c r="S2" s="1678"/>
      <c r="T2" s="1678"/>
      <c r="U2" s="1678"/>
      <c r="V2" s="1678"/>
      <c r="W2" s="1678"/>
      <c r="X2" s="1678"/>
    </row>
    <row r="3" spans="1:45" ht="16.5" customHeight="1">
      <c r="A3" s="1678" t="s">
        <v>1564</v>
      </c>
      <c r="B3" s="1678"/>
      <c r="C3" s="1678"/>
      <c r="D3" s="1678"/>
      <c r="E3" s="1678"/>
      <c r="F3" s="1678"/>
      <c r="G3" s="1678"/>
      <c r="H3" s="1678"/>
      <c r="I3" s="1678"/>
      <c r="J3" s="1678"/>
      <c r="K3" s="1678"/>
      <c r="L3" s="19"/>
      <c r="M3" s="19"/>
      <c r="N3" s="1259"/>
      <c r="O3" s="1259"/>
      <c r="P3" s="605"/>
      <c r="Q3" s="623"/>
      <c r="R3" s="623"/>
      <c r="S3" s="623"/>
      <c r="T3" s="623"/>
      <c r="U3" s="623"/>
      <c r="V3" s="17"/>
      <c r="W3" s="605"/>
    </row>
    <row r="4" spans="1:45" ht="4.5" customHeight="1">
      <c r="A4" s="606"/>
      <c r="B4" s="606"/>
      <c r="C4" s="606"/>
      <c r="D4" s="624"/>
      <c r="E4" s="606"/>
      <c r="F4" s="606"/>
      <c r="G4" s="606"/>
      <c r="H4" s="606"/>
      <c r="I4" s="1265"/>
      <c r="J4" s="1265"/>
      <c r="K4" s="1265"/>
      <c r="L4" s="1262"/>
      <c r="M4" s="1368"/>
      <c r="N4" s="1262"/>
      <c r="O4" s="1262"/>
      <c r="P4" s="605"/>
      <c r="Q4" s="623"/>
      <c r="R4" s="623"/>
      <c r="S4" s="623"/>
      <c r="T4" s="623"/>
      <c r="U4" s="623"/>
      <c r="V4" s="17"/>
      <c r="W4" s="605"/>
    </row>
    <row r="5" spans="1:45" ht="18.75" customHeight="1">
      <c r="A5" s="1682" t="s">
        <v>2423</v>
      </c>
      <c r="B5" s="1682"/>
      <c r="C5" s="1682"/>
      <c r="D5" s="1682"/>
      <c r="E5" s="1682"/>
      <c r="F5" s="1682"/>
      <c r="G5" s="1682"/>
      <c r="H5" s="1682"/>
      <c r="I5" s="1682"/>
      <c r="J5" s="1682"/>
      <c r="K5" s="1682"/>
      <c r="L5" s="1682"/>
      <c r="M5" s="1682"/>
      <c r="N5" s="1682"/>
      <c r="O5" s="1682"/>
      <c r="P5" s="1682"/>
      <c r="Q5" s="1682"/>
      <c r="R5" s="1682"/>
      <c r="S5" s="1682"/>
      <c r="T5" s="1682"/>
      <c r="U5" s="1682"/>
      <c r="V5" s="1682"/>
      <c r="W5" s="1682"/>
      <c r="X5" s="1682"/>
    </row>
    <row r="6" spans="1:45" ht="18.75" customHeight="1">
      <c r="A6" s="1682" t="s">
        <v>2160</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row>
    <row r="7" spans="1:45" ht="37.5" customHeight="1">
      <c r="A7" s="1683" t="s">
        <v>2416</v>
      </c>
      <c r="B7" s="1765"/>
      <c r="C7" s="1765"/>
      <c r="D7" s="1765"/>
      <c r="E7" s="1765"/>
      <c r="F7" s="1765"/>
      <c r="G7" s="1765"/>
      <c r="H7" s="1765"/>
      <c r="I7" s="1765"/>
      <c r="J7" s="1765"/>
      <c r="K7" s="1765"/>
      <c r="L7" s="1765"/>
      <c r="M7" s="1765"/>
      <c r="N7" s="1765"/>
      <c r="O7" s="1765"/>
      <c r="P7" s="1765"/>
      <c r="Q7" s="1765"/>
      <c r="R7" s="1765"/>
      <c r="S7" s="1765"/>
      <c r="T7" s="1765"/>
      <c r="U7" s="1765"/>
      <c r="V7" s="1765"/>
      <c r="W7" s="1765"/>
      <c r="X7" s="1765"/>
    </row>
    <row r="8" spans="1:45" s="16" customFormat="1" ht="19.5" customHeight="1">
      <c r="A8" s="625"/>
      <c r="C8" s="626">
        <v>1390000</v>
      </c>
      <c r="D8" s="524"/>
      <c r="E8" s="14"/>
      <c r="F8" s="14"/>
      <c r="G8" s="14"/>
      <c r="H8" s="623"/>
      <c r="I8" s="627"/>
      <c r="J8" s="627"/>
      <c r="K8" s="627"/>
      <c r="L8" s="627"/>
      <c r="M8" s="627"/>
      <c r="N8" s="1775"/>
      <c r="O8" s="1775"/>
      <c r="P8" s="19"/>
      <c r="Q8" s="19"/>
      <c r="R8" s="19"/>
      <c r="S8" s="1360"/>
      <c r="T8" s="1626"/>
      <c r="U8" s="1494"/>
      <c r="V8" s="1495" t="s">
        <v>1181</v>
      </c>
      <c r="W8" s="1360"/>
      <c r="X8" s="101"/>
    </row>
    <row r="9" spans="1:45" ht="3.75" customHeight="1">
      <c r="A9" s="1"/>
      <c r="B9" s="7"/>
      <c r="C9" s="7"/>
      <c r="D9" s="628"/>
      <c r="E9" s="7"/>
      <c r="F9" s="7"/>
      <c r="G9" s="7"/>
      <c r="H9" s="629"/>
      <c r="I9" s="630"/>
      <c r="J9" s="630"/>
      <c r="K9" s="630"/>
      <c r="L9" s="630"/>
      <c r="M9" s="630"/>
      <c r="N9" s="1"/>
      <c r="O9" s="1"/>
      <c r="P9" s="1"/>
      <c r="Q9" s="629"/>
      <c r="R9" s="629"/>
      <c r="S9" s="629"/>
      <c r="T9" s="629"/>
      <c r="U9" s="629"/>
      <c r="V9" s="3"/>
    </row>
    <row r="10" spans="1:45" s="117" customFormat="1" ht="23.25" customHeight="1">
      <c r="A10" s="1702" t="s">
        <v>853</v>
      </c>
      <c r="B10" s="1766" t="s">
        <v>854</v>
      </c>
      <c r="C10" s="1767"/>
      <c r="D10" s="1367" t="s">
        <v>2027</v>
      </c>
      <c r="E10" s="1367" t="s">
        <v>50</v>
      </c>
      <c r="F10" s="1363"/>
      <c r="G10" s="1363"/>
      <c r="H10" s="1770" t="s">
        <v>2028</v>
      </c>
      <c r="I10" s="1772" t="s">
        <v>2450</v>
      </c>
      <c r="J10" s="1773"/>
      <c r="K10" s="1773"/>
      <c r="L10" s="1773"/>
      <c r="M10" s="1774"/>
      <c r="N10" s="1700" t="s">
        <v>2451</v>
      </c>
      <c r="O10" s="1777"/>
      <c r="P10" s="1363"/>
      <c r="Q10" s="1463"/>
      <c r="R10" s="1463"/>
      <c r="S10" s="1772" t="s">
        <v>2390</v>
      </c>
      <c r="T10" s="1774"/>
      <c r="U10" s="1770" t="s">
        <v>2306</v>
      </c>
      <c r="V10" s="1770" t="s">
        <v>1100</v>
      </c>
      <c r="W10" s="1778" t="s">
        <v>40</v>
      </c>
      <c r="X10" s="1779"/>
    </row>
    <row r="11" spans="1:45" s="117" customFormat="1" ht="42" customHeight="1">
      <c r="A11" s="1776"/>
      <c r="B11" s="1768"/>
      <c r="C11" s="1769"/>
      <c r="D11" s="1367"/>
      <c r="E11" s="1367"/>
      <c r="F11" s="1363"/>
      <c r="G11" s="1363"/>
      <c r="H11" s="1771"/>
      <c r="I11" s="1463" t="s">
        <v>2352</v>
      </c>
      <c r="J11" s="1463" t="s">
        <v>2351</v>
      </c>
      <c r="K11" s="1463" t="s">
        <v>2350</v>
      </c>
      <c r="L11" s="1274" t="s">
        <v>2305</v>
      </c>
      <c r="M11" s="1463" t="s">
        <v>2404</v>
      </c>
      <c r="N11" s="1363" t="s">
        <v>860</v>
      </c>
      <c r="O11" s="1363" t="s">
        <v>2452</v>
      </c>
      <c r="P11" s="1363"/>
      <c r="Q11" s="1463"/>
      <c r="R11" s="1463"/>
      <c r="S11" s="1463" t="s">
        <v>2391</v>
      </c>
      <c r="T11" s="1627" t="s">
        <v>2392</v>
      </c>
      <c r="U11" s="1771"/>
      <c r="V11" s="1771"/>
      <c r="W11" s="1780"/>
      <c r="X11" s="1781"/>
    </row>
    <row r="12" spans="1:45" s="113" customFormat="1" ht="17.25" customHeight="1">
      <c r="A12" s="1362" t="s">
        <v>1110</v>
      </c>
      <c r="B12" s="1679" t="s">
        <v>1111</v>
      </c>
      <c r="C12" s="1679"/>
      <c r="D12" s="1362"/>
      <c r="E12" s="1362"/>
      <c r="F12" s="1362"/>
      <c r="G12" s="1362"/>
      <c r="H12" s="632" t="s">
        <v>1112</v>
      </c>
      <c r="I12" s="632" t="s">
        <v>1113</v>
      </c>
      <c r="J12" s="632" t="s">
        <v>1122</v>
      </c>
      <c r="K12" s="632" t="s">
        <v>1114</v>
      </c>
      <c r="L12" s="632" t="s">
        <v>1115</v>
      </c>
      <c r="M12" s="632" t="s">
        <v>1116</v>
      </c>
      <c r="N12" s="632" t="s">
        <v>1117</v>
      </c>
      <c r="O12" s="632" t="s">
        <v>1118</v>
      </c>
      <c r="P12" s="1362" t="s">
        <v>1117</v>
      </c>
      <c r="Q12" s="633" t="s">
        <v>1118</v>
      </c>
      <c r="R12" s="633"/>
      <c r="S12" s="633">
        <v>10</v>
      </c>
      <c r="T12" s="633">
        <v>11</v>
      </c>
      <c r="U12" s="633" t="s">
        <v>1121</v>
      </c>
      <c r="V12" s="633" t="s">
        <v>1122</v>
      </c>
      <c r="W12" s="1688">
        <v>14</v>
      </c>
      <c r="X12" s="1689"/>
      <c r="Y12" s="160"/>
    </row>
    <row r="13" spans="1:45" s="387" customFormat="1" ht="27" customHeight="1">
      <c r="A13" s="22">
        <f>_xlfn.AGGREGATE(4,7,A$12:A12)+1</f>
        <v>1</v>
      </c>
      <c r="B13" s="1476" t="s">
        <v>2029</v>
      </c>
      <c r="C13" s="1483" t="s">
        <v>1106</v>
      </c>
      <c r="D13" s="1484" t="s">
        <v>2030</v>
      </c>
      <c r="E13" s="1485">
        <v>1603205359393</v>
      </c>
      <c r="F13" s="1485"/>
      <c r="G13" s="1485"/>
      <c r="H13" s="383" t="s">
        <v>2031</v>
      </c>
      <c r="I13" s="1471">
        <v>7328179</v>
      </c>
      <c r="J13" s="1472"/>
      <c r="K13" s="1473">
        <f>I13*J13</f>
        <v>0</v>
      </c>
      <c r="L13" s="1471">
        <f>I13+K13</f>
        <v>7328179</v>
      </c>
      <c r="M13" s="1473">
        <f>IF(H13="D.03",L13*70%,L13*130%)</f>
        <v>5129725.3</v>
      </c>
      <c r="N13" s="1474" t="str">
        <f>VLOOKUP(B13,'[27]Gui chi Quynh'!$B$11:$E$388,4,FALSE)</f>
        <v>A4</v>
      </c>
      <c r="O13" s="1473">
        <f t="shared" ref="O13:O44" si="0">ROUND(IF(AND(N13="A1",M13*0.8),M13*0.8,IF(AND(N13="A2",M13*0.7),M13*0.7,IF(AND(N13="A3",M13*0.6),M13*0.6,IF(AND(N13="A4",M13*0.5),M13*0.5,IF(AND(N13="B1",M13*0.35),M13*0.35,IF(AND(N13="B2",M13*0.25),M13*0.25,IF(AND(N13="C1",M13*0.15),M13*0.15,IF(N13="C2",M13*0.1,0)))))))),)</f>
        <v>2564863</v>
      </c>
      <c r="P13" s="1474">
        <f>IFERROR(INDEX('[21]CN HĐ'!$J$10:$J$74,MATCH(B13,'[21]CN HĐ'!$H$10:$H$74,0)),"")</f>
        <v>24</v>
      </c>
      <c r="Q13" s="1475">
        <f>IFERROR(INDEX('[22]CN HĐ'!$J$10:$J$74,MATCH(B13,'[22]CN HĐ'!$H$10:$H$74,0)),"")</f>
        <v>27</v>
      </c>
      <c r="R13" s="1475">
        <f>VLOOKUP(B13,'[23]CN HĐ'!$H$10:$J$74,3,FALSE)</f>
        <v>24</v>
      </c>
      <c r="S13" s="1475">
        <v>24</v>
      </c>
      <c r="T13" s="1475">
        <v>24</v>
      </c>
      <c r="U13" s="1475"/>
      <c r="V13" s="1493">
        <f t="shared" ref="V13:V44" si="1">(O13/S13*T13)</f>
        <v>2564863</v>
      </c>
      <c r="W13" s="642">
        <f t="shared" ref="W13:W21" si="2">A13</f>
        <v>1</v>
      </c>
      <c r="X13" s="643">
        <f>VLOOKUP(B13,'[28]CN HĐ'!$G$10:$L$73,6,FALSE)</f>
        <v>0</v>
      </c>
      <c r="Y13" s="161"/>
      <c r="Z13" s="114"/>
      <c r="AA13" s="114"/>
      <c r="AB13" s="114"/>
      <c r="AC13" s="114"/>
      <c r="AD13" s="114"/>
      <c r="AE13" s="114"/>
      <c r="AF13" s="114"/>
      <c r="AG13" s="114"/>
      <c r="AH13" s="114"/>
      <c r="AI13" s="114"/>
      <c r="AJ13" s="114"/>
      <c r="AK13" s="114"/>
      <c r="AL13" s="114"/>
      <c r="AM13" s="114"/>
      <c r="AN13" s="114"/>
      <c r="AO13" s="114"/>
      <c r="AP13" s="114"/>
      <c r="AQ13" s="114"/>
      <c r="AR13" s="114"/>
      <c r="AS13" s="114"/>
    </row>
    <row r="14" spans="1:45" s="387" customFormat="1" ht="27" customHeight="1">
      <c r="A14" s="22">
        <f>_xlfn.AGGREGATE(4,7,A$12:A13)+1</f>
        <v>2</v>
      </c>
      <c r="B14" s="1476" t="s">
        <v>2035</v>
      </c>
      <c r="C14" s="1483"/>
      <c r="D14" s="1484"/>
      <c r="E14" s="1485" t="s">
        <v>2036</v>
      </c>
      <c r="F14" s="1485"/>
      <c r="G14" s="1485"/>
      <c r="H14" s="383" t="s">
        <v>2031</v>
      </c>
      <c r="I14" s="1471">
        <v>5468400</v>
      </c>
      <c r="J14" s="1472"/>
      <c r="K14" s="1473">
        <f t="shared" ref="K14:K75" si="3">I14*J14</f>
        <v>0</v>
      </c>
      <c r="L14" s="1471">
        <f t="shared" ref="L14:L75" si="4">I14+K14</f>
        <v>5468400</v>
      </c>
      <c r="M14" s="1473">
        <f>IF(H14="D.03",L14*70%,L14*130%)</f>
        <v>3827879.9999999995</v>
      </c>
      <c r="N14" s="1474" t="str">
        <f>VLOOKUP(B14,'[27]Gui chi Quynh'!$B$11:$E$388,4,FALSE)</f>
        <v>A4</v>
      </c>
      <c r="O14" s="1473">
        <f t="shared" si="0"/>
        <v>1913940</v>
      </c>
      <c r="P14" s="1474">
        <f>IFERROR(INDEX('[21]CN HĐ'!$J$10:$J$74,MATCH(B14,'[21]CN HĐ'!$H$10:$H$74,0)),"")</f>
        <v>27</v>
      </c>
      <c r="Q14" s="1475">
        <f>IFERROR(INDEX('[22]CN HĐ'!$J$10:$J$74,MATCH(B14,'[22]CN HĐ'!$H$10:$H$74,0)),"")</f>
        <v>25</v>
      </c>
      <c r="R14" s="1475">
        <f>VLOOKUP(B14,'[23]CN HĐ'!$H$10:$J$74,3,FALSE)</f>
        <v>23</v>
      </c>
      <c r="S14" s="1475">
        <v>24</v>
      </c>
      <c r="T14" s="1475">
        <v>24</v>
      </c>
      <c r="U14" s="1475"/>
      <c r="V14" s="1493">
        <f t="shared" si="1"/>
        <v>1913940</v>
      </c>
      <c r="W14" s="642">
        <f t="shared" si="2"/>
        <v>2</v>
      </c>
      <c r="X14" s="643">
        <f>VLOOKUP(B14,'[28]CN HĐ'!$G$10:$L$73,6,FALSE)</f>
        <v>0</v>
      </c>
      <c r="Y14" s="505"/>
    </row>
    <row r="15" spans="1:45" s="387" customFormat="1" ht="28.5" customHeight="1">
      <c r="A15" s="22">
        <f>_xlfn.AGGREGATE(4,7,A$12:A14)+1</f>
        <v>3</v>
      </c>
      <c r="B15" s="1476" t="s">
        <v>2037</v>
      </c>
      <c r="C15" s="1483"/>
      <c r="D15" s="1484"/>
      <c r="E15" s="1486">
        <v>1603215005626</v>
      </c>
      <c r="F15" s="1486"/>
      <c r="G15" s="1486"/>
      <c r="H15" s="383" t="s">
        <v>2038</v>
      </c>
      <c r="I15" s="1471">
        <v>5307200</v>
      </c>
      <c r="J15" s="1472"/>
      <c r="K15" s="1473">
        <f t="shared" si="3"/>
        <v>0</v>
      </c>
      <c r="L15" s="1471">
        <f t="shared" si="4"/>
        <v>5307200</v>
      </c>
      <c r="M15" s="1473">
        <f t="shared" ref="M15:M75" si="5">IF(H15="D.03",L15*70%,L15*130%)</f>
        <v>6899360</v>
      </c>
      <c r="N15" s="1474" t="str">
        <f>VLOOKUP(B15,'[27]Gui chi Quynh'!$B$11:$E$388,4,FALSE)</f>
        <v>A1</v>
      </c>
      <c r="O15" s="1473">
        <f t="shared" si="0"/>
        <v>5519488</v>
      </c>
      <c r="P15" s="1474">
        <f>IFERROR(INDEX('[21]CN HĐ'!$J$10:$J$74,MATCH(B15,'[21]CN HĐ'!$H$10:$H$74,0)),"")</f>
        <v>27</v>
      </c>
      <c r="Q15" s="1475">
        <f>IFERROR(INDEX('[22]CN HĐ'!$J$10:$J$74,MATCH(B15,'[22]CN HĐ'!$H$10:$H$74,0)),"")</f>
        <v>25</v>
      </c>
      <c r="R15" s="1475">
        <f>VLOOKUP(B15,'[23]CN HĐ'!$H$10:$J$74,3,FALSE)</f>
        <v>23</v>
      </c>
      <c r="S15" s="1475">
        <v>24</v>
      </c>
      <c r="T15" s="1475">
        <v>24</v>
      </c>
      <c r="U15" s="1475"/>
      <c r="V15" s="1493">
        <f t="shared" si="1"/>
        <v>5519488</v>
      </c>
      <c r="W15" s="642">
        <f t="shared" si="2"/>
        <v>3</v>
      </c>
      <c r="X15" s="643">
        <f>VLOOKUP(B15,'[28]CN HĐ'!$G$10:$L$73,6,FALSE)</f>
        <v>0</v>
      </c>
      <c r="Y15" s="161"/>
      <c r="Z15" s="114"/>
      <c r="AA15" s="114"/>
      <c r="AB15" s="114"/>
      <c r="AC15" s="114"/>
      <c r="AD15" s="114"/>
      <c r="AE15" s="114"/>
      <c r="AF15" s="114"/>
      <c r="AG15" s="114"/>
      <c r="AH15" s="114"/>
      <c r="AI15" s="114"/>
      <c r="AJ15" s="114"/>
      <c r="AK15" s="114"/>
      <c r="AL15" s="114"/>
      <c r="AM15" s="114"/>
      <c r="AN15" s="114"/>
      <c r="AO15" s="114"/>
      <c r="AP15" s="114"/>
      <c r="AQ15" s="114"/>
      <c r="AR15" s="114"/>
      <c r="AS15" s="114"/>
    </row>
    <row r="16" spans="1:45" s="387" customFormat="1" ht="27" customHeight="1">
      <c r="A16" s="22">
        <f>_xlfn.AGGREGATE(4,7,A$12:A15)+1</f>
        <v>4</v>
      </c>
      <c r="B16" s="1476" t="s">
        <v>2039</v>
      </c>
      <c r="C16" s="1477"/>
      <c r="D16" s="383" t="s">
        <v>2040</v>
      </c>
      <c r="E16" s="1485">
        <v>1603205287913</v>
      </c>
      <c r="F16" s="1485"/>
      <c r="G16" s="1485"/>
      <c r="H16" s="383" t="s">
        <v>2031</v>
      </c>
      <c r="I16" s="1471">
        <v>7694588</v>
      </c>
      <c r="J16" s="1472"/>
      <c r="K16" s="1473">
        <f t="shared" si="3"/>
        <v>0</v>
      </c>
      <c r="L16" s="1471">
        <f t="shared" si="4"/>
        <v>7694588</v>
      </c>
      <c r="M16" s="1473">
        <f t="shared" si="5"/>
        <v>5386211.5999999996</v>
      </c>
      <c r="N16" s="1474" t="str">
        <f>VLOOKUP(B16,'[27]Gui chi Quynh'!$B$11:$E$388,4,FALSE)</f>
        <v>A3</v>
      </c>
      <c r="O16" s="1473">
        <f t="shared" si="0"/>
        <v>3231727</v>
      </c>
      <c r="P16" s="1474">
        <f>IFERROR(INDEX('[21]CN HĐ'!$J$10:$J$74,MATCH(B16,'[21]CN HĐ'!$H$10:$H$74,0)),"")</f>
        <v>23</v>
      </c>
      <c r="Q16" s="1475">
        <f>IFERROR(INDEX('[22]CN HĐ'!$J$10:$J$74,MATCH(B16,'[22]CN HĐ'!$H$10:$H$74,0)),"")</f>
        <v>26</v>
      </c>
      <c r="R16" s="1475">
        <f>VLOOKUP(B16,'[23]CN HĐ'!$H$10:$J$74,3,FALSE)</f>
        <v>24</v>
      </c>
      <c r="S16" s="1475">
        <v>24</v>
      </c>
      <c r="T16" s="1475">
        <v>24</v>
      </c>
      <c r="U16" s="1475"/>
      <c r="V16" s="1493">
        <f t="shared" si="1"/>
        <v>3231727</v>
      </c>
      <c r="W16" s="642">
        <f t="shared" si="2"/>
        <v>4</v>
      </c>
      <c r="X16" s="643">
        <f>VLOOKUP(B16,'[28]CN HĐ'!$G$10:$L$73,6,FALSE)</f>
        <v>0</v>
      </c>
      <c r="Y16" s="114"/>
      <c r="Z16" s="114"/>
      <c r="AA16" s="114"/>
      <c r="AB16" s="114"/>
      <c r="AC16" s="114"/>
      <c r="AD16" s="114"/>
      <c r="AE16" s="114"/>
      <c r="AF16" s="114"/>
      <c r="AG16" s="114"/>
      <c r="AH16" s="114"/>
      <c r="AI16" s="114"/>
      <c r="AJ16" s="114"/>
      <c r="AK16" s="114"/>
      <c r="AL16" s="114"/>
      <c r="AM16" s="114"/>
      <c r="AN16" s="114"/>
      <c r="AO16" s="114"/>
      <c r="AP16" s="114"/>
      <c r="AQ16" s="114"/>
      <c r="AR16" s="114"/>
      <c r="AS16" s="114"/>
    </row>
    <row r="17" spans="1:45" s="387" customFormat="1" ht="41.25" customHeight="1">
      <c r="A17" s="22">
        <f>_xlfn.AGGREGATE(4,7,A$12:A16)+1</f>
        <v>5</v>
      </c>
      <c r="B17" s="1476" t="s">
        <v>2043</v>
      </c>
      <c r="C17" s="1477"/>
      <c r="D17" s="383" t="s">
        <v>2044</v>
      </c>
      <c r="E17" s="1487" t="s">
        <v>2045</v>
      </c>
      <c r="F17" s="1487"/>
      <c r="G17" s="1487"/>
      <c r="H17" s="86" t="s">
        <v>2031</v>
      </c>
      <c r="I17" s="1471">
        <v>8483283</v>
      </c>
      <c r="J17" s="1472"/>
      <c r="K17" s="1473">
        <f t="shared" si="3"/>
        <v>0</v>
      </c>
      <c r="L17" s="1471">
        <f t="shared" si="4"/>
        <v>8483283</v>
      </c>
      <c r="M17" s="1473">
        <f t="shared" si="5"/>
        <v>5938298.0999999996</v>
      </c>
      <c r="N17" s="1474" t="str">
        <f>VLOOKUP(B17,'[27]Gui chi Quynh'!$B$11:$E$388,4,FALSE)</f>
        <v>A3</v>
      </c>
      <c r="O17" s="1473">
        <f t="shared" si="0"/>
        <v>3562979</v>
      </c>
      <c r="P17" s="1474">
        <f>IFERROR(INDEX('[21]CN HĐ'!$J$10:$J$74,MATCH(B17,'[21]CN HĐ'!$H$10:$H$74,0)),"")</f>
        <v>23</v>
      </c>
      <c r="Q17" s="1475">
        <f>IFERROR(INDEX('[22]CN HĐ'!$J$10:$J$74,MATCH(B17,'[22]CN HĐ'!$H$10:$H$74,0)),"")</f>
        <v>26</v>
      </c>
      <c r="R17" s="1475">
        <f>VLOOKUP(B17,'[23]CN HĐ'!$H$10:$J$74,3,FALSE)</f>
        <v>24</v>
      </c>
      <c r="S17" s="1475">
        <v>24</v>
      </c>
      <c r="T17" s="1475">
        <v>24</v>
      </c>
      <c r="U17" s="1475"/>
      <c r="V17" s="1493">
        <f t="shared" si="1"/>
        <v>3562979</v>
      </c>
      <c r="W17" s="642">
        <f t="shared" si="2"/>
        <v>5</v>
      </c>
      <c r="X17" s="643" t="str">
        <f>VLOOKUP(B17,'[28]CN HĐ'!$G$10:$L$73,6,FALSE)</f>
        <v>Trừ 2 ngày nghỉ phép 23+27/5</v>
      </c>
      <c r="Y17" s="114"/>
      <c r="Z17" s="114"/>
      <c r="AA17" s="114"/>
      <c r="AB17" s="114"/>
      <c r="AC17" s="114"/>
      <c r="AD17" s="114"/>
      <c r="AE17" s="114"/>
      <c r="AF17" s="114"/>
      <c r="AG17" s="114"/>
      <c r="AH17" s="114"/>
      <c r="AI17" s="114"/>
      <c r="AJ17" s="114"/>
      <c r="AK17" s="114"/>
      <c r="AL17" s="114"/>
      <c r="AM17" s="114"/>
      <c r="AN17" s="114"/>
      <c r="AO17" s="114"/>
      <c r="AP17" s="114"/>
      <c r="AQ17" s="114"/>
      <c r="AR17" s="114"/>
      <c r="AS17" s="114"/>
    </row>
    <row r="18" spans="1:45" s="387" customFormat="1" ht="59.25" customHeight="1">
      <c r="A18" s="22">
        <f>_xlfn.AGGREGATE(4,7,A$12:A17)+1</f>
        <v>6</v>
      </c>
      <c r="B18" s="1476" t="s">
        <v>2046</v>
      </c>
      <c r="C18" s="1477"/>
      <c r="D18" s="86" t="s">
        <v>2047</v>
      </c>
      <c r="E18" s="1485" t="s">
        <v>2048</v>
      </c>
      <c r="F18" s="1485"/>
      <c r="G18" s="1485"/>
      <c r="H18" s="86" t="s">
        <v>2031</v>
      </c>
      <c r="I18" s="1471">
        <v>6646874</v>
      </c>
      <c r="J18" s="1472"/>
      <c r="K18" s="1473">
        <f t="shared" si="3"/>
        <v>0</v>
      </c>
      <c r="L18" s="1471">
        <f t="shared" si="4"/>
        <v>6646874</v>
      </c>
      <c r="M18" s="1473">
        <f t="shared" si="5"/>
        <v>4652811.8</v>
      </c>
      <c r="N18" s="1474" t="str">
        <f>VLOOKUP(B18,'[27]Gui chi Quynh'!$B$11:$E$388,4,FALSE)</f>
        <v>A3</v>
      </c>
      <c r="O18" s="1473">
        <f t="shared" si="0"/>
        <v>2791687</v>
      </c>
      <c r="P18" s="1474">
        <f>IFERROR(INDEX('[21]CN HĐ'!$J$10:$J$74,MATCH(B18,'[21]CN HĐ'!$H$10:$H$74,0)),"")</f>
        <v>29</v>
      </c>
      <c r="Q18" s="1475">
        <f>IFERROR(INDEX('[22]CN HĐ'!$J$10:$J$74,MATCH(B18,'[22]CN HĐ'!$H$10:$H$74,0)),"")</f>
        <v>27</v>
      </c>
      <c r="R18" s="1475">
        <f>VLOOKUP(B18,'[23]CN HĐ'!$H$10:$J$74,3,FALSE)</f>
        <v>24</v>
      </c>
      <c r="S18" s="1475">
        <v>24</v>
      </c>
      <c r="T18" s="1475">
        <v>21</v>
      </c>
      <c r="U18" s="1475"/>
      <c r="V18" s="1493">
        <f t="shared" si="1"/>
        <v>2442726.125</v>
      </c>
      <c r="W18" s="642">
        <f t="shared" si="2"/>
        <v>6</v>
      </c>
      <c r="X18" s="643" t="str">
        <f>VLOOKUP(B18,'[28]CN HĐ'!$G$10:$L$73,6,FALSE)</f>
        <v>Trừ 5 ngày nghỉ chế độ vợ sinh từ 12 đến 16/5</v>
      </c>
      <c r="Y18" s="114"/>
      <c r="Z18" s="114"/>
      <c r="AA18" s="114"/>
      <c r="AB18" s="114"/>
      <c r="AC18" s="114"/>
      <c r="AD18" s="114"/>
      <c r="AE18" s="114"/>
      <c r="AF18" s="114"/>
      <c r="AG18" s="114"/>
      <c r="AH18" s="114"/>
      <c r="AI18" s="114"/>
      <c r="AJ18" s="114"/>
      <c r="AK18" s="114"/>
      <c r="AL18" s="114"/>
      <c r="AM18" s="114"/>
      <c r="AN18" s="114"/>
      <c r="AO18" s="114"/>
      <c r="AP18" s="114"/>
      <c r="AQ18" s="114"/>
      <c r="AR18" s="114"/>
      <c r="AS18" s="114"/>
    </row>
    <row r="19" spans="1:45" s="387" customFormat="1" ht="25.5" customHeight="1">
      <c r="A19" s="22">
        <f>_xlfn.AGGREGATE(4,7,A$12:A18)+1</f>
        <v>7</v>
      </c>
      <c r="B19" s="1476" t="s">
        <v>2049</v>
      </c>
      <c r="C19" s="1477"/>
      <c r="D19" s="383" t="s">
        <v>2050</v>
      </c>
      <c r="E19" s="1485" t="s">
        <v>2051</v>
      </c>
      <c r="F19" s="1485"/>
      <c r="G19" s="1485"/>
      <c r="H19" s="383" t="s">
        <v>2031</v>
      </c>
      <c r="I19" s="1471">
        <v>6330357</v>
      </c>
      <c r="J19" s="1472"/>
      <c r="K19" s="1473">
        <f t="shared" si="3"/>
        <v>0</v>
      </c>
      <c r="L19" s="1471">
        <f t="shared" si="4"/>
        <v>6330357</v>
      </c>
      <c r="M19" s="1473">
        <f t="shared" si="5"/>
        <v>4431249.8999999994</v>
      </c>
      <c r="N19" s="1474" t="str">
        <f>VLOOKUP(B19,'[27]Gui chi Quynh'!$B$11:$E$388,4,FALSE)</f>
        <v>A4</v>
      </c>
      <c r="O19" s="1473">
        <f t="shared" si="0"/>
        <v>2215625</v>
      </c>
      <c r="P19" s="1474">
        <f>IFERROR(INDEX('[21]CN HĐ'!$J$10:$J$74,MATCH(B19,'[21]CN HĐ'!$H$10:$H$74,0)),"")</f>
        <v>29</v>
      </c>
      <c r="Q19" s="1475">
        <f>IFERROR(INDEX('[22]CN HĐ'!$J$10:$J$74,MATCH(B19,'[22]CN HĐ'!$H$10:$H$74,0)),"")</f>
        <v>27</v>
      </c>
      <c r="R19" s="1475">
        <f>VLOOKUP(B19,'[23]CN HĐ'!$H$10:$J$74,3,FALSE)</f>
        <v>23</v>
      </c>
      <c r="S19" s="1475">
        <v>24</v>
      </c>
      <c r="T19" s="1475">
        <v>24</v>
      </c>
      <c r="U19" s="1475"/>
      <c r="V19" s="1493">
        <f t="shared" si="1"/>
        <v>2215625</v>
      </c>
      <c r="W19" s="642">
        <f t="shared" si="2"/>
        <v>7</v>
      </c>
      <c r="X19" s="643">
        <f>VLOOKUP(B19,'[28]CN HĐ'!$G$10:$L$73,6,FALSE)</f>
        <v>0</v>
      </c>
    </row>
    <row r="20" spans="1:45" s="387" customFormat="1" ht="22.5" customHeight="1">
      <c r="A20" s="22">
        <f>_xlfn.AGGREGATE(4,7,A$12:A19)+1</f>
        <v>8</v>
      </c>
      <c r="B20" s="1476" t="s">
        <v>2052</v>
      </c>
      <c r="C20" s="1477"/>
      <c r="D20" s="383"/>
      <c r="E20" s="1485"/>
      <c r="F20" s="1485"/>
      <c r="G20" s="1485"/>
      <c r="H20" s="383" t="s">
        <v>2042</v>
      </c>
      <c r="I20" s="1471">
        <v>6076213</v>
      </c>
      <c r="J20" s="1472"/>
      <c r="K20" s="1473">
        <f t="shared" si="3"/>
        <v>0</v>
      </c>
      <c r="L20" s="1471">
        <f t="shared" si="4"/>
        <v>6076213</v>
      </c>
      <c r="M20" s="1473">
        <f t="shared" si="5"/>
        <v>7899076.9000000004</v>
      </c>
      <c r="N20" s="1474" t="str">
        <f>VLOOKUP(B20,'[27]Gui chi Quynh'!$B$11:$E$388,4,FALSE)</f>
        <v>A4</v>
      </c>
      <c r="O20" s="1473">
        <f t="shared" si="0"/>
        <v>3949538</v>
      </c>
      <c r="P20" s="1474">
        <f>IFERROR(INDEX('[21]CN HĐ'!$J$10:$J$74,MATCH(B20,'[21]CN HĐ'!$H$10:$H$74,0)),"")</f>
        <v>28</v>
      </c>
      <c r="Q20" s="1475">
        <f>IFERROR(INDEX('[22]CN HĐ'!$J$10:$J$74,MATCH(B20,'[22]CN HĐ'!$H$10:$H$74,0)),"")</f>
        <v>26</v>
      </c>
      <c r="R20" s="1475">
        <f>VLOOKUP(B20,'[23]CN HĐ'!$H$10:$J$74,3,FALSE)</f>
        <v>23</v>
      </c>
      <c r="S20" s="1475">
        <v>24</v>
      </c>
      <c r="T20" s="1475">
        <v>24</v>
      </c>
      <c r="U20" s="1475"/>
      <c r="V20" s="1493">
        <f t="shared" si="1"/>
        <v>3949538</v>
      </c>
      <c r="W20" s="642">
        <f t="shared" si="2"/>
        <v>8</v>
      </c>
      <c r="X20" s="643" t="str">
        <f>VLOOKUP(B20,'[28]CN HĐ'!$G$10:$L$73,6,FALSE)</f>
        <v>Trừ 1 ngày nghỉ 21/5</v>
      </c>
    </row>
    <row r="21" spans="1:45" s="387" customFormat="1" ht="25.5" customHeight="1">
      <c r="A21" s="22">
        <f>_xlfn.AGGREGATE(4,7,A$12:A20)+1</f>
        <v>9</v>
      </c>
      <c r="B21" s="1476" t="s">
        <v>2053</v>
      </c>
      <c r="C21" s="1477"/>
      <c r="D21" s="383"/>
      <c r="E21" s="1485"/>
      <c r="F21" s="1485"/>
      <c r="G21" s="1485"/>
      <c r="H21" s="383" t="s">
        <v>2031</v>
      </c>
      <c r="I21" s="1471">
        <v>4960000</v>
      </c>
      <c r="J21" s="1472"/>
      <c r="K21" s="1473">
        <f t="shared" si="3"/>
        <v>0</v>
      </c>
      <c r="L21" s="1471">
        <f t="shared" si="4"/>
        <v>4960000</v>
      </c>
      <c r="M21" s="1473">
        <f t="shared" si="5"/>
        <v>3472000</v>
      </c>
      <c r="N21" s="1474" t="str">
        <f>VLOOKUP(B21,'[27]Gui chi Quynh'!$B$11:$E$388,4,FALSE)</f>
        <v>A3</v>
      </c>
      <c r="O21" s="1473">
        <f t="shared" si="0"/>
        <v>2083200</v>
      </c>
      <c r="P21" s="1474">
        <f>IFERROR(INDEX('[21]CN HĐ'!$J$10:$J$74,MATCH(B21,'[21]CN HĐ'!$H$10:$H$74,0)),"")</f>
        <v>29</v>
      </c>
      <c r="Q21" s="1475">
        <f>IFERROR(INDEX('[22]CN HĐ'!$J$10:$J$74,MATCH(B21,'[22]CN HĐ'!$H$10:$H$74,0)),"")</f>
        <v>24</v>
      </c>
      <c r="R21" s="1475">
        <f>VLOOKUP(B21,'[23]CN HĐ'!$H$10:$J$74,3,FALSE)</f>
        <v>22</v>
      </c>
      <c r="S21" s="1475">
        <v>24</v>
      </c>
      <c r="T21" s="1475">
        <v>24</v>
      </c>
      <c r="U21" s="1475"/>
      <c r="V21" s="1493">
        <f t="shared" si="1"/>
        <v>2083200</v>
      </c>
      <c r="W21" s="642">
        <f t="shared" si="2"/>
        <v>9</v>
      </c>
      <c r="X21" s="643">
        <f>VLOOKUP(B21,'[28]CN HĐ'!$G$10:$L$73,6,FALSE)</f>
        <v>0</v>
      </c>
      <c r="Y21" s="114"/>
      <c r="Z21" s="114"/>
      <c r="AA21" s="114"/>
      <c r="AB21" s="114"/>
      <c r="AC21" s="114"/>
      <c r="AD21" s="114"/>
      <c r="AE21" s="114"/>
      <c r="AF21" s="114"/>
      <c r="AG21" s="114"/>
      <c r="AH21" s="114"/>
      <c r="AI21" s="114"/>
      <c r="AJ21" s="114"/>
      <c r="AK21" s="114"/>
      <c r="AL21" s="114"/>
      <c r="AM21" s="114"/>
      <c r="AN21" s="114"/>
      <c r="AO21" s="114"/>
      <c r="AP21" s="114"/>
      <c r="AQ21" s="114"/>
      <c r="AR21" s="114"/>
      <c r="AS21" s="114"/>
    </row>
    <row r="22" spans="1:45" s="387" customFormat="1" ht="25.5" customHeight="1">
      <c r="A22" s="667">
        <f>_xlfn.AGGREGATE(4,7,A$12:A21)+1</f>
        <v>10</v>
      </c>
      <c r="B22" s="1476" t="s">
        <v>2420</v>
      </c>
      <c r="C22" s="1477"/>
      <c r="D22" s="383"/>
      <c r="E22" s="1485"/>
      <c r="F22" s="1485"/>
      <c r="G22" s="1485"/>
      <c r="H22" s="383" t="s">
        <v>2031</v>
      </c>
      <c r="I22" s="1471">
        <v>4960000</v>
      </c>
      <c r="J22" s="1472"/>
      <c r="K22" s="1473"/>
      <c r="L22" s="1471">
        <f t="shared" si="4"/>
        <v>4960000</v>
      </c>
      <c r="M22" s="1473">
        <f t="shared" si="5"/>
        <v>3472000</v>
      </c>
      <c r="N22" s="1474" t="str">
        <f>VLOOKUP(B22,'[27]Gui chi Quynh'!$B$11:$E$388,4,FALSE)</f>
        <v>A3</v>
      </c>
      <c r="O22" s="1473">
        <f t="shared" si="0"/>
        <v>2083200</v>
      </c>
      <c r="P22" s="1474"/>
      <c r="Q22" s="1475"/>
      <c r="R22" s="1475"/>
      <c r="S22" s="1475">
        <v>24</v>
      </c>
      <c r="T22" s="1475">
        <v>24</v>
      </c>
      <c r="U22" s="1475"/>
      <c r="V22" s="1493">
        <f t="shared" si="1"/>
        <v>2083200</v>
      </c>
      <c r="W22" s="642"/>
      <c r="X22" s="643">
        <f>VLOOKUP(B22,'[28]CN HĐ'!$G$10:$L$73,6,FALSE)</f>
        <v>0</v>
      </c>
    </row>
    <row r="23" spans="1:45" s="387" customFormat="1" ht="25.5" customHeight="1">
      <c r="A23" s="22">
        <f>_xlfn.AGGREGATE(4,7,A$12:A22)+1</f>
        <v>11</v>
      </c>
      <c r="B23" s="1476" t="s">
        <v>2054</v>
      </c>
      <c r="C23" s="1477"/>
      <c r="D23" s="383"/>
      <c r="E23" s="1486">
        <v>1603205639357</v>
      </c>
      <c r="F23" s="1486"/>
      <c r="G23" s="1486"/>
      <c r="H23" s="383" t="s">
        <v>2038</v>
      </c>
      <c r="I23" s="1471">
        <v>5851188</v>
      </c>
      <c r="J23" s="1472"/>
      <c r="K23" s="1473">
        <f t="shared" si="3"/>
        <v>0</v>
      </c>
      <c r="L23" s="1471">
        <f t="shared" si="4"/>
        <v>5851188</v>
      </c>
      <c r="M23" s="1473">
        <f t="shared" si="5"/>
        <v>7606544.4000000004</v>
      </c>
      <c r="N23" s="1474" t="str">
        <f>VLOOKUP(B23,'[27]Gui chi Quynh'!$B$11:$E$388,4,FALSE)</f>
        <v>A3</v>
      </c>
      <c r="O23" s="1473">
        <f t="shared" si="0"/>
        <v>4563927</v>
      </c>
      <c r="P23" s="1474">
        <f>IFERROR(INDEX('[21]CN HĐ'!$J$10:$J$74,MATCH(B23,'[21]CN HĐ'!$H$10:$H$74,0)),"")</f>
        <v>24</v>
      </c>
      <c r="Q23" s="1475">
        <f>IFERROR(INDEX('[22]CN HĐ'!$J$10:$J$74,MATCH(B23,'[22]CN HĐ'!$H$10:$H$74,0)),"")</f>
        <v>26</v>
      </c>
      <c r="R23" s="1475">
        <f>VLOOKUP(B23,'[23]CN HĐ'!$H$10:$J$74,3,FALSE)</f>
        <v>24</v>
      </c>
      <c r="S23" s="1475">
        <v>24</v>
      </c>
      <c r="T23" s="1475">
        <v>24</v>
      </c>
      <c r="U23" s="1475"/>
      <c r="V23" s="1493">
        <f t="shared" si="1"/>
        <v>4563927</v>
      </c>
      <c r="W23" s="642">
        <f t="shared" ref="W23:W54" si="6">A23</f>
        <v>11</v>
      </c>
      <c r="X23" s="643">
        <f>VLOOKUP(B23,'[28]CN HĐ'!$G$10:$L$73,6,FALSE)</f>
        <v>0</v>
      </c>
      <c r="Y23" s="114"/>
      <c r="Z23" s="114"/>
      <c r="AA23" s="114"/>
      <c r="AB23" s="114"/>
      <c r="AC23" s="114"/>
      <c r="AD23" s="114"/>
      <c r="AE23" s="114"/>
      <c r="AF23" s="114"/>
      <c r="AG23" s="114"/>
      <c r="AH23" s="114"/>
      <c r="AI23" s="114"/>
      <c r="AJ23" s="114"/>
      <c r="AK23" s="114"/>
      <c r="AL23" s="114"/>
      <c r="AM23" s="114"/>
      <c r="AN23" s="114"/>
      <c r="AO23" s="114"/>
      <c r="AP23" s="114"/>
      <c r="AQ23" s="114"/>
      <c r="AR23" s="114"/>
      <c r="AS23" s="114"/>
    </row>
    <row r="24" spans="1:45" s="387" customFormat="1" ht="27" customHeight="1">
      <c r="A24" s="22">
        <f>_xlfn.AGGREGATE(4,7,A$12:A23)+1</f>
        <v>12</v>
      </c>
      <c r="B24" s="1476" t="s">
        <v>2055</v>
      </c>
      <c r="C24" s="1477"/>
      <c r="D24" s="383"/>
      <c r="E24" s="1487">
        <v>1603205641829</v>
      </c>
      <c r="F24" s="1487"/>
      <c r="G24" s="1487"/>
      <c r="H24" s="383" t="s">
        <v>2031</v>
      </c>
      <c r="I24" s="1471">
        <v>5741820</v>
      </c>
      <c r="J24" s="1472"/>
      <c r="K24" s="1473">
        <f t="shared" si="3"/>
        <v>0</v>
      </c>
      <c r="L24" s="1471">
        <f t="shared" si="4"/>
        <v>5741820</v>
      </c>
      <c r="M24" s="1473">
        <f t="shared" si="5"/>
        <v>4019273.9999999995</v>
      </c>
      <c r="N24" s="1474" t="str">
        <f>VLOOKUP(B24,'[27]Gui chi Quynh'!$B$11:$E$388,4,FALSE)</f>
        <v>A3</v>
      </c>
      <c r="O24" s="1473">
        <f t="shared" si="0"/>
        <v>2411564</v>
      </c>
      <c r="P24" s="1474">
        <f>IFERROR(INDEX('[21]CN HĐ'!$J$10:$J$74,MATCH(B24,'[21]CN HĐ'!$H$10:$H$74,0)),"")</f>
        <v>27</v>
      </c>
      <c r="Q24" s="1475">
        <f>IFERROR(INDEX('[22]CN HĐ'!$J$10:$J$74,MATCH(B24,'[22]CN HĐ'!$H$10:$H$74,0)),"")</f>
        <v>26</v>
      </c>
      <c r="R24" s="1475">
        <f>VLOOKUP(B24,'[23]CN HĐ'!$H$10:$J$74,3,FALSE)</f>
        <v>22</v>
      </c>
      <c r="S24" s="1475">
        <v>24</v>
      </c>
      <c r="T24" s="1475">
        <v>24</v>
      </c>
      <c r="U24" s="1475"/>
      <c r="V24" s="1493">
        <f t="shared" si="1"/>
        <v>2411564</v>
      </c>
      <c r="W24" s="642">
        <f t="shared" si="6"/>
        <v>12</v>
      </c>
      <c r="X24" s="643">
        <f>VLOOKUP(B24,'[28]CN HĐ'!$G$10:$L$73,6,FALSE)</f>
        <v>0</v>
      </c>
      <c r="Y24" s="114"/>
      <c r="Z24" s="114"/>
      <c r="AA24" s="114"/>
      <c r="AB24" s="114"/>
      <c r="AC24" s="114"/>
      <c r="AD24" s="114"/>
      <c r="AE24" s="114"/>
      <c r="AF24" s="114"/>
      <c r="AG24" s="114"/>
      <c r="AH24" s="114"/>
      <c r="AI24" s="114"/>
      <c r="AJ24" s="114"/>
      <c r="AK24" s="114"/>
      <c r="AL24" s="114"/>
      <c r="AM24" s="114"/>
    </row>
    <row r="25" spans="1:45" s="387" customFormat="1" ht="27" customHeight="1">
      <c r="A25" s="22">
        <f>_xlfn.AGGREGATE(4,7,A$12:A24)+1</f>
        <v>13</v>
      </c>
      <c r="B25" s="1476" t="s">
        <v>2056</v>
      </c>
      <c r="C25" s="1477"/>
      <c r="D25" s="383"/>
      <c r="E25" s="1487"/>
      <c r="F25" s="1487"/>
      <c r="G25" s="1487"/>
      <c r="H25" s="383" t="s">
        <v>2042</v>
      </c>
      <c r="I25" s="1471">
        <v>6076213</v>
      </c>
      <c r="J25" s="1472"/>
      <c r="K25" s="1473">
        <f t="shared" si="3"/>
        <v>0</v>
      </c>
      <c r="L25" s="1471">
        <f t="shared" si="4"/>
        <v>6076213</v>
      </c>
      <c r="M25" s="1473">
        <f t="shared" si="5"/>
        <v>7899076.9000000004</v>
      </c>
      <c r="N25" s="1474" t="str">
        <f>VLOOKUP(B25,'[27]Gui chi Quynh'!$B$11:$E$388,4,FALSE)</f>
        <v>A3</v>
      </c>
      <c r="O25" s="1473">
        <f t="shared" si="0"/>
        <v>4739446</v>
      </c>
      <c r="P25" s="1474">
        <f>IFERROR(INDEX('[21]CN HĐ'!$J$10:$J$74,MATCH(B25,'[21]CN HĐ'!$H$10:$H$74,0)),"")</f>
        <v>24</v>
      </c>
      <c r="Q25" s="1475">
        <f>IFERROR(INDEX('[22]CN HĐ'!$J$10:$J$74,MATCH(B25,'[22]CN HĐ'!$H$10:$H$74,0)),"")</f>
        <v>26</v>
      </c>
      <c r="R25" s="1475">
        <f>VLOOKUP(B25,'[23]CN HĐ'!$H$10:$J$74,3,FALSE)</f>
        <v>23</v>
      </c>
      <c r="S25" s="1475">
        <v>24</v>
      </c>
      <c r="T25" s="1475">
        <v>24</v>
      </c>
      <c r="U25" s="1475"/>
      <c r="V25" s="1493">
        <f t="shared" si="1"/>
        <v>4739446</v>
      </c>
      <c r="W25" s="642">
        <f t="shared" si="6"/>
        <v>13</v>
      </c>
      <c r="X25" s="643">
        <f>VLOOKUP(B25,'[28]CN HĐ'!$G$10:$L$73,6,FALSE)</f>
        <v>0</v>
      </c>
    </row>
    <row r="26" spans="1:45" s="387" customFormat="1" ht="42" customHeight="1">
      <c r="A26" s="22">
        <f>_xlfn.AGGREGATE(4,7,A$12:A25)+1</f>
        <v>14</v>
      </c>
      <c r="B26" s="1476" t="s">
        <v>2057</v>
      </c>
      <c r="C26" s="1477"/>
      <c r="D26" s="383" t="s">
        <v>2058</v>
      </c>
      <c r="E26" s="1487" t="s">
        <v>1256</v>
      </c>
      <c r="F26" s="1487"/>
      <c r="G26" s="1487"/>
      <c r="H26" s="383" t="s">
        <v>2038</v>
      </c>
      <c r="I26" s="1471">
        <v>9077113</v>
      </c>
      <c r="J26" s="1472">
        <v>0.06</v>
      </c>
      <c r="K26" s="1473">
        <f t="shared" si="3"/>
        <v>544626.78</v>
      </c>
      <c r="L26" s="1471">
        <f t="shared" si="4"/>
        <v>9621739.7799999993</v>
      </c>
      <c r="M26" s="1473">
        <f t="shared" si="5"/>
        <v>12508261.714</v>
      </c>
      <c r="N26" s="1474" t="str">
        <f>VLOOKUP(B26,'[27]Gui chi Quynh'!$B$11:$E$388,4,FALSE)</f>
        <v>A3</v>
      </c>
      <c r="O26" s="1473">
        <f t="shared" si="0"/>
        <v>7504957</v>
      </c>
      <c r="P26" s="1474">
        <f>IFERROR(INDEX('[21]CN HĐ'!$J$10:$J$74,MATCH(B26,'[21]CN HĐ'!$H$10:$H$74,0)),"")</f>
        <v>23</v>
      </c>
      <c r="Q26" s="1475">
        <f>IFERROR(INDEX('[22]CN HĐ'!$J$10:$J$74,MATCH(B26,'[22]CN HĐ'!$H$10:$H$74,0)),"")</f>
        <v>27</v>
      </c>
      <c r="R26" s="1475">
        <f>VLOOKUP(B26,'[23]CN HĐ'!$H$10:$J$74,3,FALSE)</f>
        <v>24</v>
      </c>
      <c r="S26" s="1475">
        <v>24</v>
      </c>
      <c r="T26" s="1475">
        <v>24</v>
      </c>
      <c r="U26" s="1475"/>
      <c r="V26" s="1493">
        <f t="shared" si="1"/>
        <v>7504957</v>
      </c>
      <c r="W26" s="642">
        <f t="shared" si="6"/>
        <v>14</v>
      </c>
      <c r="X26" s="643" t="str">
        <f>VLOOKUP(B26,'[28]CN HĐ'!$G$10:$L$73,6,FALSE)</f>
        <v>Trừ 2 ngày nghỉ phép 19+29/5</v>
      </c>
      <c r="Y26" s="114"/>
      <c r="Z26" s="114"/>
      <c r="AA26" s="114"/>
      <c r="AB26" s="114"/>
      <c r="AC26" s="114"/>
      <c r="AD26" s="114"/>
      <c r="AE26" s="114"/>
      <c r="AF26" s="114"/>
      <c r="AG26" s="114"/>
      <c r="AH26" s="114"/>
      <c r="AI26" s="114"/>
      <c r="AJ26" s="114"/>
      <c r="AK26" s="114"/>
      <c r="AL26" s="114"/>
      <c r="AM26" s="114"/>
      <c r="AN26" s="114"/>
      <c r="AO26" s="114"/>
      <c r="AP26" s="114"/>
      <c r="AQ26" s="114"/>
      <c r="AR26" s="114"/>
      <c r="AS26" s="114"/>
    </row>
    <row r="27" spans="1:45" s="387" customFormat="1" ht="29.25" customHeight="1">
      <c r="A27" s="22">
        <f>_xlfn.AGGREGATE(4,7,A$12:A26)+1</f>
        <v>15</v>
      </c>
      <c r="B27" s="1476" t="s">
        <v>2059</v>
      </c>
      <c r="C27" s="1477"/>
      <c r="D27" s="383"/>
      <c r="E27" s="1487"/>
      <c r="F27" s="1487"/>
      <c r="G27" s="1487"/>
      <c r="H27" s="383" t="s">
        <v>2031</v>
      </c>
      <c r="I27" s="1471">
        <v>4960000</v>
      </c>
      <c r="J27" s="1472"/>
      <c r="K27" s="1473">
        <f t="shared" si="3"/>
        <v>0</v>
      </c>
      <c r="L27" s="1471">
        <f t="shared" si="4"/>
        <v>4960000</v>
      </c>
      <c r="M27" s="1473">
        <f t="shared" si="5"/>
        <v>3472000</v>
      </c>
      <c r="N27" s="1474" t="str">
        <f>VLOOKUP(B27,'[27]Gui chi Quynh'!$B$11:$E$388,4,FALSE)</f>
        <v>A3</v>
      </c>
      <c r="O27" s="1473">
        <f t="shared" si="0"/>
        <v>2083200</v>
      </c>
      <c r="P27" s="1474">
        <f>IFERROR(INDEX('[21]CN HĐ'!$J$10:$J$74,MATCH(B27,'[21]CN HĐ'!$H$10:$H$74,0)),"")</f>
        <v>23</v>
      </c>
      <c r="Q27" s="1475">
        <f>IFERROR(INDEX('[22]CN HĐ'!$J$10:$J$74,MATCH(B27,'[22]CN HĐ'!$H$10:$H$74,0)),"")</f>
        <v>29</v>
      </c>
      <c r="R27" s="1475">
        <f>VLOOKUP(B27,'[23]CN HĐ'!$H$10:$J$74,3,FALSE)</f>
        <v>23</v>
      </c>
      <c r="S27" s="1475">
        <v>24</v>
      </c>
      <c r="T27" s="1475">
        <v>24</v>
      </c>
      <c r="U27" s="1475"/>
      <c r="V27" s="1493">
        <f t="shared" si="1"/>
        <v>2083200</v>
      </c>
      <c r="W27" s="642">
        <f t="shared" si="6"/>
        <v>15</v>
      </c>
      <c r="X27" s="643" t="str">
        <f>VLOOKUP(B27,'[28]CN HĐ'!$G$10:$L$73,6,FALSE)</f>
        <v>Trừ 1 ngày nghỉ phép 17/5</v>
      </c>
    </row>
    <row r="28" spans="1:45" s="387" customFormat="1" ht="27" customHeight="1">
      <c r="A28" s="22">
        <f>_xlfn.AGGREGATE(4,7,A$12:A27)+1</f>
        <v>16</v>
      </c>
      <c r="B28" s="1476" t="s">
        <v>2060</v>
      </c>
      <c r="C28" s="1477"/>
      <c r="D28" s="383" t="s">
        <v>2061</v>
      </c>
      <c r="E28" s="1487" t="s">
        <v>1275</v>
      </c>
      <c r="F28" s="1487"/>
      <c r="G28" s="1487"/>
      <c r="H28" s="86" t="s">
        <v>2042</v>
      </c>
      <c r="I28" s="1471">
        <v>8522203</v>
      </c>
      <c r="J28" s="1472"/>
      <c r="K28" s="1473">
        <f t="shared" si="3"/>
        <v>0</v>
      </c>
      <c r="L28" s="1471">
        <f t="shared" si="4"/>
        <v>8522203</v>
      </c>
      <c r="M28" s="1473">
        <f t="shared" si="5"/>
        <v>11078863.9</v>
      </c>
      <c r="N28" s="1474" t="str">
        <f>VLOOKUP(B28,'[27]Gui chi Quynh'!$B$11:$E$388,4,FALSE)</f>
        <v>A3</v>
      </c>
      <c r="O28" s="1473">
        <f t="shared" si="0"/>
        <v>6647318</v>
      </c>
      <c r="P28" s="1474">
        <f>IFERROR(INDEX('[21]CN HĐ'!$J$10:$J$74,MATCH(B28,'[21]CN HĐ'!$H$10:$H$74,0)),"")</f>
        <v>25.5</v>
      </c>
      <c r="Q28" s="1475">
        <f>IFERROR(INDEX('[22]CN HĐ'!$J$10:$J$74,MATCH(B28,'[22]CN HĐ'!$H$10:$H$74,0)),"")</f>
        <v>26</v>
      </c>
      <c r="R28" s="1475">
        <f>VLOOKUP(B28,'[23]CN HĐ'!$H$10:$J$74,3,FALSE)</f>
        <v>21.5</v>
      </c>
      <c r="S28" s="1475">
        <v>24</v>
      </c>
      <c r="T28" s="1475">
        <v>23</v>
      </c>
      <c r="U28" s="1475"/>
      <c r="V28" s="1493">
        <f t="shared" si="1"/>
        <v>6370346.416666666</v>
      </c>
      <c r="W28" s="642">
        <f t="shared" si="6"/>
        <v>16</v>
      </c>
      <c r="X28" s="643" t="str">
        <f>VLOOKUP(B28,'[28]CN HĐ'!$G$10:$L$73,6,FALSE)</f>
        <v>Trừ 1 ngày nghỉ phép 8/5</v>
      </c>
      <c r="Y28" s="114"/>
      <c r="Z28" s="114"/>
      <c r="AA28" s="114"/>
      <c r="AB28" s="114"/>
      <c r="AC28" s="114"/>
      <c r="AD28" s="114"/>
      <c r="AE28" s="114"/>
      <c r="AF28" s="114"/>
      <c r="AG28" s="114"/>
      <c r="AH28" s="114"/>
      <c r="AI28" s="114"/>
      <c r="AJ28" s="114"/>
      <c r="AK28" s="114"/>
      <c r="AL28" s="114"/>
      <c r="AM28" s="114"/>
      <c r="AN28" s="114"/>
      <c r="AO28" s="114"/>
      <c r="AP28" s="114"/>
      <c r="AQ28" s="114"/>
      <c r="AR28" s="114"/>
      <c r="AS28" s="114"/>
    </row>
    <row r="29" spans="1:45" s="387" customFormat="1" ht="27" customHeight="1">
      <c r="A29" s="667">
        <f>_xlfn.AGGREGATE(4,7,A$12:A28)+1</f>
        <v>17</v>
      </c>
      <c r="B29" s="1476" t="s">
        <v>2062</v>
      </c>
      <c r="C29" s="1483" t="s">
        <v>874</v>
      </c>
      <c r="D29" s="1484" t="s">
        <v>2063</v>
      </c>
      <c r="E29" s="1487" t="s">
        <v>2064</v>
      </c>
      <c r="F29" s="1487"/>
      <c r="G29" s="1487"/>
      <c r="H29" s="383" t="s">
        <v>2042</v>
      </c>
      <c r="I29" s="1471">
        <v>7964676</v>
      </c>
      <c r="J29" s="1472"/>
      <c r="K29" s="1473">
        <f t="shared" si="3"/>
        <v>0</v>
      </c>
      <c r="L29" s="1471">
        <f t="shared" si="4"/>
        <v>7964676</v>
      </c>
      <c r="M29" s="1473">
        <f t="shared" si="5"/>
        <v>10354078.800000001</v>
      </c>
      <c r="N29" s="1474" t="str">
        <f>VLOOKUP(B29,'[27]Gui chi Quynh'!$B$11:$E$388,4,FALSE)</f>
        <v>A2</v>
      </c>
      <c r="O29" s="1473">
        <f t="shared" si="0"/>
        <v>7247855</v>
      </c>
      <c r="P29" s="1474">
        <f>IFERROR(INDEX('[21]CN HĐ'!$J$10:$J$74,MATCH(B29,'[21]CN HĐ'!$H$10:$H$74,0)),"")</f>
        <v>23</v>
      </c>
      <c r="Q29" s="1475">
        <f>IFERROR(INDEX('[22]CN HĐ'!$J$10:$J$74,MATCH(B29,'[22]CN HĐ'!$H$10:$H$74,0)),"")</f>
        <v>0</v>
      </c>
      <c r="R29" s="1475">
        <f>VLOOKUP(B29,'[23]CN HĐ'!$H$10:$J$74,3,FALSE)</f>
        <v>0</v>
      </c>
      <c r="S29" s="1475">
        <v>24</v>
      </c>
      <c r="T29" s="1475">
        <v>24</v>
      </c>
      <c r="U29" s="1475"/>
      <c r="V29" s="1493">
        <f t="shared" si="1"/>
        <v>7247855</v>
      </c>
      <c r="W29" s="642">
        <f t="shared" si="6"/>
        <v>17</v>
      </c>
      <c r="X29" s="643">
        <f>VLOOKUP(B29,'[28]CN HĐ'!$G$10:$L$73,6,FALSE)</f>
        <v>0</v>
      </c>
    </row>
    <row r="30" spans="1:45" s="387" customFormat="1" ht="27" customHeight="1">
      <c r="A30" s="22">
        <f>_xlfn.AGGREGATE(4,7,A$12:A29)+1</f>
        <v>18</v>
      </c>
      <c r="B30" s="1476" t="s">
        <v>2065</v>
      </c>
      <c r="C30" s="1483" t="s">
        <v>921</v>
      </c>
      <c r="D30" s="1484" t="s">
        <v>2066</v>
      </c>
      <c r="E30" s="1487">
        <v>1603205186060</v>
      </c>
      <c r="F30" s="1487"/>
      <c r="G30" s="1487"/>
      <c r="H30" s="383" t="s">
        <v>2038</v>
      </c>
      <c r="I30" s="1471">
        <v>7112156</v>
      </c>
      <c r="J30" s="1472"/>
      <c r="K30" s="1473">
        <f t="shared" si="3"/>
        <v>0</v>
      </c>
      <c r="L30" s="1471">
        <f t="shared" si="4"/>
        <v>7112156</v>
      </c>
      <c r="M30" s="1473">
        <f t="shared" si="5"/>
        <v>9245802.8000000007</v>
      </c>
      <c r="N30" s="1474" t="str">
        <f>VLOOKUP(B30,'[27]Gui chi Quynh'!$B$11:$E$388,4,FALSE)</f>
        <v>A2</v>
      </c>
      <c r="O30" s="1473">
        <f t="shared" si="0"/>
        <v>6472062</v>
      </c>
      <c r="P30" s="1474">
        <f>IFERROR(INDEX('[21]CN HĐ'!$J$10:$J$74,MATCH(B30,'[21]CN HĐ'!$H$10:$H$74,0)),"")</f>
        <v>24</v>
      </c>
      <c r="Q30" s="1475">
        <f>IFERROR(INDEX('[22]CN HĐ'!$J$10:$J$74,MATCH(B30,'[22]CN HĐ'!$H$10:$H$74,0)),"")</f>
        <v>26</v>
      </c>
      <c r="R30" s="1475">
        <f>VLOOKUP(B30,'[23]CN HĐ'!$H$10:$J$74,3,FALSE)</f>
        <v>23</v>
      </c>
      <c r="S30" s="1475">
        <v>24</v>
      </c>
      <c r="T30" s="1475">
        <v>24</v>
      </c>
      <c r="U30" s="1475"/>
      <c r="V30" s="1493">
        <f t="shared" si="1"/>
        <v>6472062</v>
      </c>
      <c r="W30" s="642">
        <f t="shared" si="6"/>
        <v>18</v>
      </c>
      <c r="X30" s="643">
        <f>VLOOKUP(B30,'[28]CN HĐ'!$G$10:$L$73,6,FALSE)</f>
        <v>0</v>
      </c>
      <c r="Y30" s="114"/>
      <c r="Z30" s="114"/>
      <c r="AA30" s="114"/>
      <c r="AB30" s="114"/>
      <c r="AC30" s="114"/>
      <c r="AD30" s="114"/>
      <c r="AE30" s="114"/>
      <c r="AF30" s="114"/>
      <c r="AG30" s="114"/>
      <c r="AH30" s="114"/>
      <c r="AI30" s="114"/>
      <c r="AJ30" s="114"/>
      <c r="AK30" s="114"/>
      <c r="AL30" s="114"/>
      <c r="AM30" s="114"/>
      <c r="AN30" s="114"/>
      <c r="AO30" s="114"/>
      <c r="AP30" s="114"/>
      <c r="AQ30" s="114"/>
      <c r="AR30" s="114"/>
      <c r="AS30" s="114"/>
    </row>
    <row r="31" spans="1:45" s="387" customFormat="1" ht="31.5" customHeight="1">
      <c r="A31" s="22">
        <f>_xlfn.AGGREGATE(4,7,A$12:A30)+1</f>
        <v>19</v>
      </c>
      <c r="B31" s="1476" t="s">
        <v>2067</v>
      </c>
      <c r="C31" s="1483" t="s">
        <v>882</v>
      </c>
      <c r="D31" s="1484" t="s">
        <v>2068</v>
      </c>
      <c r="E31" s="1487">
        <v>1603205327532</v>
      </c>
      <c r="F31" s="1487"/>
      <c r="G31" s="1487"/>
      <c r="H31" s="383" t="s">
        <v>2042</v>
      </c>
      <c r="I31" s="1471">
        <v>8522203</v>
      </c>
      <c r="J31" s="1472"/>
      <c r="K31" s="1473">
        <f t="shared" si="3"/>
        <v>0</v>
      </c>
      <c r="L31" s="1471">
        <f t="shared" si="4"/>
        <v>8522203</v>
      </c>
      <c r="M31" s="1473">
        <f t="shared" si="5"/>
        <v>11078863.9</v>
      </c>
      <c r="N31" s="1474" t="str">
        <f>VLOOKUP(B31,'[27]Gui chi Quynh'!$B$11:$E$388,4,FALSE)</f>
        <v>A2</v>
      </c>
      <c r="O31" s="1473">
        <f t="shared" si="0"/>
        <v>7755205</v>
      </c>
      <c r="P31" s="1474">
        <f>IFERROR(INDEX('[21]CN HĐ'!$J$10:$J$74,MATCH(B31,'[21]CN HĐ'!$H$10:$H$74,0)),"")</f>
        <v>25</v>
      </c>
      <c r="Q31" s="1475">
        <f>IFERROR(INDEX('[22]CN HĐ'!$J$10:$J$74,MATCH(B31,'[22]CN HĐ'!$H$10:$H$74,0)),"")</f>
        <v>27</v>
      </c>
      <c r="R31" s="1475">
        <f>VLOOKUP(B31,'[23]CN HĐ'!$H$10:$J$74,3,FALSE)</f>
        <v>24</v>
      </c>
      <c r="S31" s="1475">
        <v>24</v>
      </c>
      <c r="T31" s="1475">
        <v>24</v>
      </c>
      <c r="U31" s="1475"/>
      <c r="V31" s="1493">
        <f t="shared" si="1"/>
        <v>7755205</v>
      </c>
      <c r="W31" s="642">
        <f t="shared" si="6"/>
        <v>19</v>
      </c>
      <c r="X31" s="643">
        <f>VLOOKUP(B31,'[28]CN HĐ'!$G$10:$L$73,6,FALSE)</f>
        <v>0</v>
      </c>
      <c r="Y31" s="114"/>
      <c r="Z31" s="114"/>
      <c r="AA31" s="114"/>
      <c r="AB31" s="114"/>
      <c r="AC31" s="114"/>
      <c r="AD31" s="114"/>
      <c r="AE31" s="114"/>
      <c r="AF31" s="114"/>
      <c r="AG31" s="114"/>
      <c r="AH31" s="114"/>
      <c r="AI31" s="114"/>
      <c r="AJ31" s="114"/>
      <c r="AK31" s="114"/>
      <c r="AL31" s="114"/>
      <c r="AM31" s="114"/>
      <c r="AN31" s="114"/>
      <c r="AO31" s="114"/>
      <c r="AP31" s="114"/>
      <c r="AQ31" s="114"/>
      <c r="AR31" s="114"/>
      <c r="AS31" s="114"/>
    </row>
    <row r="32" spans="1:45" s="387" customFormat="1" ht="31.5" customHeight="1">
      <c r="A32" s="22">
        <f>_xlfn.AGGREGATE(4,7,A$12:A31)+1</f>
        <v>20</v>
      </c>
      <c r="B32" s="1476" t="s">
        <v>2069</v>
      </c>
      <c r="C32" s="1483" t="s">
        <v>2070</v>
      </c>
      <c r="D32" s="1484" t="s">
        <v>2071</v>
      </c>
      <c r="E32" s="1485" t="s">
        <v>2072</v>
      </c>
      <c r="F32" s="1485"/>
      <c r="G32" s="1485"/>
      <c r="H32" s="383" t="s">
        <v>2038</v>
      </c>
      <c r="I32" s="1471">
        <v>6143747</v>
      </c>
      <c r="J32" s="1472"/>
      <c r="K32" s="1473">
        <f t="shared" si="3"/>
        <v>0</v>
      </c>
      <c r="L32" s="1471">
        <f t="shared" si="4"/>
        <v>6143747</v>
      </c>
      <c r="M32" s="1473">
        <f t="shared" si="5"/>
        <v>7986871.1000000006</v>
      </c>
      <c r="N32" s="1474" t="str">
        <f>VLOOKUP(B32,'[27]Gui chi Quynh'!$B$11:$E$388,4,FALSE)</f>
        <v>A1</v>
      </c>
      <c r="O32" s="1473">
        <f t="shared" si="0"/>
        <v>6389497</v>
      </c>
      <c r="P32" s="1474">
        <f>IFERROR(INDEX('[21]CN HĐ'!$J$10:$J$74,MATCH(B32,'[21]CN HĐ'!$H$10:$H$74,0)),"")</f>
        <v>25</v>
      </c>
      <c r="Q32" s="1475">
        <f>IFERROR(INDEX('[22]CN HĐ'!$J$10:$J$74,MATCH(B32,'[22]CN HĐ'!$H$10:$H$74,0)),"")</f>
        <v>26</v>
      </c>
      <c r="R32" s="1475">
        <f>VLOOKUP(B32,'[23]CN HĐ'!$H$10:$J$74,3,FALSE)</f>
        <v>23</v>
      </c>
      <c r="S32" s="1475">
        <v>24</v>
      </c>
      <c r="T32" s="1475">
        <v>23</v>
      </c>
      <c r="U32" s="1475"/>
      <c r="V32" s="1493">
        <f t="shared" si="1"/>
        <v>6123267.958333334</v>
      </c>
      <c r="W32" s="642">
        <f t="shared" si="6"/>
        <v>20</v>
      </c>
      <c r="X32" s="643" t="str">
        <f>VLOOKUP(B32,'[28]CN HĐ'!$G$10:$L$73,6,FALSE)</f>
        <v>Trừ 1 ngày nghỉ phép 5/5</v>
      </c>
      <c r="Y32" s="114"/>
      <c r="Z32" s="114"/>
      <c r="AA32" s="114"/>
      <c r="AB32" s="114"/>
      <c r="AC32" s="114"/>
      <c r="AD32" s="114"/>
      <c r="AE32" s="114"/>
      <c r="AF32" s="114"/>
      <c r="AG32" s="114"/>
      <c r="AH32" s="114"/>
      <c r="AI32" s="114"/>
      <c r="AJ32" s="114"/>
      <c r="AK32" s="114"/>
      <c r="AL32" s="114"/>
      <c r="AM32" s="114"/>
      <c r="AN32" s="114"/>
      <c r="AO32" s="114"/>
      <c r="AP32" s="114"/>
      <c r="AQ32" s="114"/>
      <c r="AR32" s="114"/>
      <c r="AS32" s="114"/>
    </row>
    <row r="33" spans="1:62" s="387" customFormat="1" ht="31.5" customHeight="1">
      <c r="A33" s="22">
        <f>_xlfn.AGGREGATE(4,7,A$12:A32)+1</f>
        <v>21</v>
      </c>
      <c r="B33" s="1476" t="s">
        <v>2073</v>
      </c>
      <c r="C33" s="1477" t="s">
        <v>1171</v>
      </c>
      <c r="D33" s="383" t="s">
        <v>2074</v>
      </c>
      <c r="E33" s="651" t="s">
        <v>1266</v>
      </c>
      <c r="F33" s="651"/>
      <c r="G33" s="651"/>
      <c r="H33" s="383" t="s">
        <v>2038</v>
      </c>
      <c r="I33" s="1471">
        <v>6773482</v>
      </c>
      <c r="J33" s="1472"/>
      <c r="K33" s="1473">
        <f t="shared" si="3"/>
        <v>0</v>
      </c>
      <c r="L33" s="1471">
        <f t="shared" si="4"/>
        <v>6773482</v>
      </c>
      <c r="M33" s="1473">
        <f t="shared" si="5"/>
        <v>8805526.5999999996</v>
      </c>
      <c r="N33" s="1474" t="str">
        <f>VLOOKUP(B33,'[27]Gui chi Quynh'!$B$11:$E$388,4,FALSE)</f>
        <v>A2</v>
      </c>
      <c r="O33" s="1473">
        <f t="shared" si="0"/>
        <v>6163869</v>
      </c>
      <c r="P33" s="1474">
        <f>IFERROR(INDEX('[21]CN HĐ'!$J$10:$J$74,MATCH(B33,'[21]CN HĐ'!$H$10:$H$74,0)),"")</f>
        <v>24</v>
      </c>
      <c r="Q33" s="1475">
        <f>IFERROR(INDEX('[22]CN HĐ'!$J$10:$J$74,MATCH(B33,'[22]CN HĐ'!$H$10:$H$74,0)),"")</f>
        <v>26</v>
      </c>
      <c r="R33" s="1475">
        <f>VLOOKUP(B33,'[23]CN HĐ'!$H$10:$J$74,3,FALSE)</f>
        <v>23</v>
      </c>
      <c r="S33" s="1475">
        <v>24</v>
      </c>
      <c r="T33" s="1475">
        <v>24</v>
      </c>
      <c r="U33" s="1475"/>
      <c r="V33" s="1493">
        <f t="shared" si="1"/>
        <v>6163869</v>
      </c>
      <c r="W33" s="642">
        <f t="shared" si="6"/>
        <v>21</v>
      </c>
      <c r="X33" s="643">
        <f>VLOOKUP(B33,'[28]CN HĐ'!$G$10:$L$73,6,FALSE)</f>
        <v>0</v>
      </c>
      <c r="Y33" s="114"/>
      <c r="Z33" s="114"/>
      <c r="AA33" s="114"/>
      <c r="AB33" s="114"/>
      <c r="AC33" s="114"/>
      <c r="AD33" s="114"/>
      <c r="AE33" s="114"/>
      <c r="AF33" s="114"/>
      <c r="AG33" s="114"/>
      <c r="AH33" s="114"/>
      <c r="AI33" s="114"/>
      <c r="AJ33" s="114"/>
      <c r="AK33" s="114"/>
      <c r="AL33" s="114"/>
      <c r="AM33" s="114"/>
      <c r="AN33" s="114"/>
      <c r="AO33" s="114"/>
      <c r="AP33" s="114"/>
      <c r="AQ33" s="114"/>
      <c r="AR33" s="114"/>
      <c r="AS33" s="114"/>
    </row>
    <row r="34" spans="1:62" s="387" customFormat="1" ht="32.25" customHeight="1">
      <c r="A34" s="22">
        <f>_xlfn.AGGREGATE(4,7,A$12:A33)+1</f>
        <v>22</v>
      </c>
      <c r="B34" s="1476" t="s">
        <v>2075</v>
      </c>
      <c r="C34" s="1477"/>
      <c r="D34" s="383" t="s">
        <v>2076</v>
      </c>
      <c r="E34" s="1487">
        <v>1603205185856</v>
      </c>
      <c r="F34" s="1487"/>
      <c r="G34" s="1487"/>
      <c r="H34" s="383" t="s">
        <v>2031</v>
      </c>
      <c r="I34" s="1471">
        <v>8483283</v>
      </c>
      <c r="J34" s="1472"/>
      <c r="K34" s="1473">
        <f t="shared" si="3"/>
        <v>0</v>
      </c>
      <c r="L34" s="1471">
        <f t="shared" si="4"/>
        <v>8483283</v>
      </c>
      <c r="M34" s="1473">
        <f t="shared" si="5"/>
        <v>5938298.0999999996</v>
      </c>
      <c r="N34" s="1474" t="str">
        <f>VLOOKUP(B34,'[27]Gui chi Quynh'!$B$11:$E$388,4,FALSE)</f>
        <v>A2</v>
      </c>
      <c r="O34" s="1473">
        <f t="shared" si="0"/>
        <v>4156809</v>
      </c>
      <c r="P34" s="1474">
        <f>IFERROR(INDEX('[21]CN HĐ'!$J$10:$J$74,MATCH(B34,'[21]CN HĐ'!$H$10:$H$74,0)),"")</f>
        <v>23</v>
      </c>
      <c r="Q34" s="1475">
        <f>IFERROR(INDEX('[22]CN HĐ'!$J$10:$J$74,MATCH(B34,'[22]CN HĐ'!$H$10:$H$74,0)),"")</f>
        <v>26</v>
      </c>
      <c r="R34" s="1475">
        <f>VLOOKUP(B34,'[23]CN HĐ'!$H$10:$J$74,3,FALSE)</f>
        <v>23</v>
      </c>
      <c r="S34" s="1475">
        <v>24</v>
      </c>
      <c r="T34" s="1475">
        <v>24</v>
      </c>
      <c r="U34" s="1475"/>
      <c r="V34" s="1493">
        <f t="shared" si="1"/>
        <v>4156809</v>
      </c>
      <c r="W34" s="642">
        <f t="shared" si="6"/>
        <v>22</v>
      </c>
      <c r="X34" s="643">
        <f>VLOOKUP(B34,'[28]CN HĐ'!$G$10:$L$73,6,FALSE)</f>
        <v>0</v>
      </c>
      <c r="Y34" s="114"/>
      <c r="Z34" s="114"/>
      <c r="AA34" s="114"/>
      <c r="AB34" s="114"/>
      <c r="AC34" s="114"/>
      <c r="AD34" s="114"/>
      <c r="AE34" s="114"/>
      <c r="AF34" s="114"/>
      <c r="AG34" s="114"/>
      <c r="AH34" s="114"/>
      <c r="AI34" s="114"/>
      <c r="AJ34" s="114"/>
      <c r="AK34" s="114"/>
      <c r="AL34" s="114"/>
      <c r="AM34" s="114"/>
      <c r="AN34" s="114"/>
      <c r="AO34" s="114"/>
      <c r="AP34" s="114"/>
      <c r="AQ34" s="114"/>
      <c r="AR34" s="114"/>
      <c r="AS34" s="114"/>
    </row>
    <row r="35" spans="1:62" s="387" customFormat="1" ht="31.5" customHeight="1">
      <c r="A35" s="22">
        <f>_xlfn.AGGREGATE(4,7,A$12:A34)+1</f>
        <v>23</v>
      </c>
      <c r="B35" s="1476" t="s">
        <v>2077</v>
      </c>
      <c r="C35" s="1477"/>
      <c r="D35" s="383" t="s">
        <v>2078</v>
      </c>
      <c r="E35" s="1485" t="s">
        <v>2079</v>
      </c>
      <c r="F35" s="1485"/>
      <c r="G35" s="1485"/>
      <c r="H35" s="383" t="s">
        <v>2031</v>
      </c>
      <c r="I35" s="1471">
        <v>5468400</v>
      </c>
      <c r="J35" s="1472"/>
      <c r="K35" s="1473">
        <f t="shared" si="3"/>
        <v>0</v>
      </c>
      <c r="L35" s="1471">
        <f t="shared" si="4"/>
        <v>5468400</v>
      </c>
      <c r="M35" s="1473">
        <f t="shared" si="5"/>
        <v>3827879.9999999995</v>
      </c>
      <c r="N35" s="1474" t="str">
        <f>VLOOKUP(B35,'[27]Gui chi Quynh'!$B$11:$E$388,4,FALSE)</f>
        <v>A4</v>
      </c>
      <c r="O35" s="1473">
        <f t="shared" si="0"/>
        <v>1913940</v>
      </c>
      <c r="P35" s="1474">
        <f>IFERROR(INDEX('[21]CN HĐ'!$J$10:$J$74,MATCH(B35,'[21]CN HĐ'!$H$10:$H$74,0)),"")</f>
        <v>24</v>
      </c>
      <c r="Q35" s="1475">
        <f>IFERROR(INDEX('[22]CN HĐ'!$J$10:$J$74,MATCH(B35,'[22]CN HĐ'!$H$10:$H$74,0)),"")</f>
        <v>26</v>
      </c>
      <c r="R35" s="1475">
        <f>VLOOKUP(B35,'[23]CN HĐ'!$H$10:$J$74,3,FALSE)</f>
        <v>23</v>
      </c>
      <c r="S35" s="1475">
        <v>24</v>
      </c>
      <c r="T35" s="1475">
        <v>24</v>
      </c>
      <c r="U35" s="1475"/>
      <c r="V35" s="1493">
        <f t="shared" si="1"/>
        <v>1913940</v>
      </c>
      <c r="W35" s="642">
        <f t="shared" si="6"/>
        <v>23</v>
      </c>
      <c r="X35" s="643">
        <f>VLOOKUP(B35,'[28]CN HĐ'!$G$10:$L$73,6,FALSE)</f>
        <v>0</v>
      </c>
    </row>
    <row r="36" spans="1:62" s="387" customFormat="1" ht="28.5" customHeight="1">
      <c r="A36" s="22">
        <f>_xlfn.AGGREGATE(4,7,A$12:A35)+1</f>
        <v>24</v>
      </c>
      <c r="B36" s="1476" t="s">
        <v>2080</v>
      </c>
      <c r="C36" s="1477"/>
      <c r="D36" s="383"/>
      <c r="E36" s="1489" t="s">
        <v>2081</v>
      </c>
      <c r="F36" s="1489"/>
      <c r="G36" s="1489"/>
      <c r="H36" s="383" t="s">
        <v>2031</v>
      </c>
      <c r="I36" s="1471">
        <v>5468400</v>
      </c>
      <c r="J36" s="1472"/>
      <c r="K36" s="1473">
        <f t="shared" si="3"/>
        <v>0</v>
      </c>
      <c r="L36" s="1471">
        <f t="shared" si="4"/>
        <v>5468400</v>
      </c>
      <c r="M36" s="1473">
        <f t="shared" si="5"/>
        <v>3827879.9999999995</v>
      </c>
      <c r="N36" s="1474" t="str">
        <f>VLOOKUP(B36,'[27]Gui chi Quynh'!$B$11:$E$388,4,FALSE)</f>
        <v>A4</v>
      </c>
      <c r="O36" s="1473">
        <f t="shared" si="0"/>
        <v>1913940</v>
      </c>
      <c r="P36" s="1474">
        <f>IFERROR(INDEX('[21]CN HĐ'!$J$10:$J$74,MATCH(B36,'[21]CN HĐ'!$H$10:$H$74,0)),"")</f>
        <v>27</v>
      </c>
      <c r="Q36" s="1475">
        <f>IFERROR(INDEX('[22]CN HĐ'!$J$10:$J$74,MATCH(B36,'[22]CN HĐ'!$H$10:$H$74,0)),"")</f>
        <v>26</v>
      </c>
      <c r="R36" s="1475">
        <f>VLOOKUP(B36,'[23]CN HĐ'!$H$10:$J$74,3,FALSE)</f>
        <v>23</v>
      </c>
      <c r="S36" s="1475">
        <v>24</v>
      </c>
      <c r="T36" s="1475">
        <v>24</v>
      </c>
      <c r="U36" s="1475"/>
      <c r="V36" s="1493">
        <f t="shared" si="1"/>
        <v>1913940</v>
      </c>
      <c r="W36" s="642">
        <f t="shared" si="6"/>
        <v>24</v>
      </c>
      <c r="X36" s="643">
        <f>VLOOKUP(B36,'[28]CN HĐ'!$G$10:$L$73,6,FALSE)</f>
        <v>0</v>
      </c>
      <c r="Y36" s="114"/>
      <c r="Z36" s="114"/>
      <c r="AA36" s="114"/>
      <c r="AB36" s="114"/>
      <c r="AC36" s="114"/>
      <c r="AD36" s="114"/>
      <c r="AE36" s="114"/>
      <c r="AF36" s="114"/>
      <c r="AG36" s="114"/>
      <c r="AH36" s="114"/>
      <c r="AI36" s="114"/>
      <c r="AJ36" s="114"/>
      <c r="AK36" s="114"/>
      <c r="AL36" s="114"/>
      <c r="AM36" s="114"/>
      <c r="AN36" s="114"/>
      <c r="AO36" s="114"/>
      <c r="AP36" s="114"/>
      <c r="AQ36" s="114"/>
      <c r="AR36" s="114"/>
      <c r="AS36" s="114"/>
    </row>
    <row r="37" spans="1:62" s="387" customFormat="1" ht="42" customHeight="1">
      <c r="A37" s="22">
        <f>_xlfn.AGGREGATE(4,7,A$12:A36)+1</f>
        <v>25</v>
      </c>
      <c r="B37" s="1476" t="s">
        <v>2082</v>
      </c>
      <c r="C37" s="1477"/>
      <c r="D37" s="383"/>
      <c r="E37" s="1485" t="s">
        <v>2083</v>
      </c>
      <c r="F37" s="1485"/>
      <c r="G37" s="1485"/>
      <c r="H37" s="383" t="s">
        <v>2031</v>
      </c>
      <c r="I37" s="1471">
        <v>5468400</v>
      </c>
      <c r="J37" s="1472"/>
      <c r="K37" s="1473">
        <f t="shared" si="3"/>
        <v>0</v>
      </c>
      <c r="L37" s="1471">
        <f t="shared" si="4"/>
        <v>5468400</v>
      </c>
      <c r="M37" s="1473">
        <f t="shared" si="5"/>
        <v>3827879.9999999995</v>
      </c>
      <c r="N37" s="1474" t="str">
        <f>VLOOKUP(B37,'[27]Gui chi Quynh'!$B$11:$E$388,4,FALSE)</f>
        <v>A4</v>
      </c>
      <c r="O37" s="1473">
        <f t="shared" si="0"/>
        <v>1913940</v>
      </c>
      <c r="P37" s="1474">
        <f>IFERROR(INDEX('[21]CN HĐ'!$J$10:$J$74,MATCH(B37,'[21]CN HĐ'!$H$10:$H$74,0)),"")</f>
        <v>24</v>
      </c>
      <c r="Q37" s="1475">
        <f>IFERROR(INDEX('[22]CN HĐ'!$J$10:$J$74,MATCH(B37,'[22]CN HĐ'!$H$10:$H$74,0)),"")</f>
        <v>26</v>
      </c>
      <c r="R37" s="1475">
        <f>VLOOKUP(B37,'[23]CN HĐ'!$H$10:$J$74,3,FALSE)</f>
        <v>23</v>
      </c>
      <c r="S37" s="1475">
        <v>24</v>
      </c>
      <c r="T37" s="1475">
        <v>22</v>
      </c>
      <c r="U37" s="1475"/>
      <c r="V37" s="1493">
        <f t="shared" si="1"/>
        <v>1754445</v>
      </c>
      <c r="W37" s="642">
        <f t="shared" si="6"/>
        <v>25</v>
      </c>
      <c r="X37" s="643" t="str">
        <f>VLOOKUP(B37,'[28]CN HĐ'!$G$10:$L$73,6,FALSE)</f>
        <v>Trừ 2 ngày nghỉ phép 17+19/5</v>
      </c>
      <c r="Y37" s="114"/>
      <c r="Z37" s="114"/>
      <c r="AA37" s="114"/>
      <c r="AB37" s="114"/>
      <c r="AC37" s="114"/>
      <c r="AD37" s="114"/>
      <c r="AE37" s="114"/>
      <c r="AF37" s="114"/>
      <c r="AG37" s="114"/>
      <c r="AH37" s="114"/>
      <c r="AI37" s="114"/>
      <c r="AJ37" s="114"/>
      <c r="AK37" s="114"/>
      <c r="AL37" s="114"/>
      <c r="AM37" s="114"/>
      <c r="AN37" s="114"/>
      <c r="AO37" s="114"/>
      <c r="AP37" s="114"/>
      <c r="AQ37" s="114"/>
      <c r="AR37" s="114"/>
      <c r="AS37" s="114"/>
    </row>
    <row r="38" spans="1:62" s="387" customFormat="1" ht="43.5" customHeight="1">
      <c r="A38" s="22">
        <f>_xlfn.AGGREGATE(4,7,A$12:A37)+1</f>
        <v>26</v>
      </c>
      <c r="B38" s="1476" t="s">
        <v>2084</v>
      </c>
      <c r="C38" s="1477"/>
      <c r="D38" s="383"/>
      <c r="E38" s="1485" t="s">
        <v>2085</v>
      </c>
      <c r="F38" s="1485"/>
      <c r="G38" s="1485"/>
      <c r="H38" s="383" t="s">
        <v>2031</v>
      </c>
      <c r="I38" s="1471">
        <v>5468400</v>
      </c>
      <c r="J38" s="1472"/>
      <c r="K38" s="1473">
        <f t="shared" si="3"/>
        <v>0</v>
      </c>
      <c r="L38" s="1471">
        <f t="shared" si="4"/>
        <v>5468400</v>
      </c>
      <c r="M38" s="1473">
        <f t="shared" si="5"/>
        <v>3827879.9999999995</v>
      </c>
      <c r="N38" s="1474" t="str">
        <f>VLOOKUP(B38,'[27]Gui chi Quynh'!$B$11:$E$388,4,FALSE)</f>
        <v>A4</v>
      </c>
      <c r="O38" s="1473">
        <f t="shared" si="0"/>
        <v>1913940</v>
      </c>
      <c r="P38" s="1474">
        <f>IFERROR(INDEX('[21]CN HĐ'!$J$10:$J$74,MATCH(B38,'[21]CN HĐ'!$H$10:$H$74,0)),"")</f>
        <v>27</v>
      </c>
      <c r="Q38" s="1475">
        <f>IFERROR(INDEX('[22]CN HĐ'!$J$10:$J$74,MATCH(B38,'[22]CN HĐ'!$H$10:$H$74,0)),"")</f>
        <v>26</v>
      </c>
      <c r="R38" s="1475">
        <f>VLOOKUP(B38,'[23]CN HĐ'!$H$10:$J$74,3,FALSE)</f>
        <v>23</v>
      </c>
      <c r="S38" s="1475">
        <v>24</v>
      </c>
      <c r="T38" s="1475">
        <v>22</v>
      </c>
      <c r="U38" s="1475"/>
      <c r="V38" s="1493">
        <f t="shared" si="1"/>
        <v>1754445</v>
      </c>
      <c r="W38" s="642">
        <f t="shared" si="6"/>
        <v>26</v>
      </c>
      <c r="X38" s="643" t="str">
        <f>VLOOKUP(B38,'[28]CN HĐ'!$G$10:$L$73,6,FALSE)</f>
        <v>Trừ 2 ngày nghỉ phép 17+19/5</v>
      </c>
      <c r="Y38" s="114"/>
      <c r="Z38" s="114"/>
      <c r="AA38" s="114"/>
      <c r="AB38" s="114"/>
      <c r="AC38" s="114"/>
      <c r="AD38" s="114"/>
      <c r="AE38" s="114"/>
      <c r="AF38" s="114"/>
      <c r="AG38" s="114"/>
      <c r="AH38" s="114"/>
      <c r="AI38" s="114"/>
      <c r="AJ38" s="114"/>
      <c r="AK38" s="114"/>
      <c r="AL38" s="114"/>
      <c r="AM38" s="114"/>
      <c r="AN38" s="114"/>
      <c r="AO38" s="114"/>
      <c r="AP38" s="114"/>
      <c r="AQ38" s="114"/>
      <c r="AR38" s="114"/>
      <c r="AS38" s="114"/>
    </row>
    <row r="39" spans="1:62" s="387" customFormat="1" ht="28.5" customHeight="1">
      <c r="A39" s="22">
        <f>_xlfn.AGGREGATE(4,7,A$12:A38)+1</f>
        <v>27</v>
      </c>
      <c r="B39" s="1476" t="s">
        <v>2086</v>
      </c>
      <c r="C39" s="1477"/>
      <c r="D39" s="383"/>
      <c r="E39" s="1485"/>
      <c r="F39" s="1485"/>
      <c r="G39" s="1485"/>
      <c r="H39" s="383" t="s">
        <v>2031</v>
      </c>
      <c r="I39" s="1471">
        <v>5468400</v>
      </c>
      <c r="J39" s="1472"/>
      <c r="K39" s="1473">
        <f t="shared" si="3"/>
        <v>0</v>
      </c>
      <c r="L39" s="1471">
        <f t="shared" si="4"/>
        <v>5468400</v>
      </c>
      <c r="M39" s="1473">
        <f t="shared" si="5"/>
        <v>3827879.9999999995</v>
      </c>
      <c r="N39" s="1474" t="str">
        <f>VLOOKUP(B39,'[27]Gui chi Quynh'!$B$11:$E$388,4,FALSE)</f>
        <v>A3</v>
      </c>
      <c r="O39" s="1473">
        <f t="shared" si="0"/>
        <v>2296728</v>
      </c>
      <c r="P39" s="1474">
        <f>IFERROR(INDEX('[21]CN HĐ'!$J$10:$J$74,MATCH(B39,'[21]CN HĐ'!$H$10:$H$74,0)),"")</f>
        <v>27</v>
      </c>
      <c r="Q39" s="1475">
        <f>IFERROR(INDEX('[22]CN HĐ'!$J$10:$J$74,MATCH(B39,'[22]CN HĐ'!$H$10:$H$74,0)),"")</f>
        <v>26</v>
      </c>
      <c r="R39" s="1475">
        <f>VLOOKUP(B39,'[23]CN HĐ'!$H$10:$J$74,3,FALSE)</f>
        <v>23</v>
      </c>
      <c r="S39" s="1475">
        <v>24</v>
      </c>
      <c r="T39" s="1475">
        <v>24</v>
      </c>
      <c r="U39" s="1475"/>
      <c r="V39" s="1493">
        <f t="shared" si="1"/>
        <v>2296728</v>
      </c>
      <c r="W39" s="642">
        <f t="shared" si="6"/>
        <v>27</v>
      </c>
      <c r="X39" s="643">
        <f>VLOOKUP(B39,'[28]CN HĐ'!$G$10:$L$73,6,FALSE)</f>
        <v>0</v>
      </c>
      <c r="Y39" s="114"/>
      <c r="Z39" s="114"/>
      <c r="AA39" s="114"/>
      <c r="AB39" s="114"/>
      <c r="AC39" s="114"/>
      <c r="AD39" s="114"/>
      <c r="AE39" s="114"/>
      <c r="AF39" s="114"/>
      <c r="AG39" s="114"/>
      <c r="AH39" s="114"/>
      <c r="AI39" s="114"/>
      <c r="AJ39" s="114"/>
      <c r="AK39" s="114"/>
      <c r="AL39" s="114"/>
      <c r="AM39" s="114"/>
      <c r="AN39" s="114"/>
      <c r="AO39" s="114"/>
      <c r="AP39" s="114"/>
      <c r="AQ39" s="114"/>
      <c r="AR39" s="114"/>
      <c r="AS39" s="114"/>
    </row>
    <row r="40" spans="1:62" s="387" customFormat="1" ht="31.5" customHeight="1">
      <c r="A40" s="22">
        <f>_xlfn.AGGREGATE(4,7,A$12:A39)+1</f>
        <v>28</v>
      </c>
      <c r="B40" s="1476" t="s">
        <v>2087</v>
      </c>
      <c r="C40" s="1477"/>
      <c r="D40" s="383"/>
      <c r="E40" s="1485"/>
      <c r="F40" s="1485"/>
      <c r="G40" s="1485"/>
      <c r="H40" s="383" t="s">
        <v>2031</v>
      </c>
      <c r="I40" s="1471">
        <v>5468400</v>
      </c>
      <c r="J40" s="1472"/>
      <c r="K40" s="1473">
        <f t="shared" si="3"/>
        <v>0</v>
      </c>
      <c r="L40" s="1471">
        <f t="shared" si="4"/>
        <v>5468400</v>
      </c>
      <c r="M40" s="1473">
        <f t="shared" si="5"/>
        <v>3827879.9999999995</v>
      </c>
      <c r="N40" s="1474" t="str">
        <f>VLOOKUP(B40,'[27]Gui chi Quynh'!$B$11:$E$388,4,FALSE)</f>
        <v>A4</v>
      </c>
      <c r="O40" s="1473">
        <f t="shared" si="0"/>
        <v>1913940</v>
      </c>
      <c r="P40" s="1474">
        <f>IFERROR(INDEX('[21]CN HĐ'!$J$10:$J$74,MATCH(B40,'[21]CN HĐ'!$H$10:$H$74,0)),"")</f>
        <v>27</v>
      </c>
      <c r="Q40" s="1475">
        <f>IFERROR(INDEX('[22]CN HĐ'!$J$10:$J$74,MATCH(B40,'[22]CN HĐ'!$H$10:$H$74,0)),"")</f>
        <v>25</v>
      </c>
      <c r="R40" s="1475">
        <f>VLOOKUP(B40,'[23]CN HĐ'!$H$10:$J$74,3,FALSE)</f>
        <v>23</v>
      </c>
      <c r="S40" s="1475">
        <v>24</v>
      </c>
      <c r="T40" s="1475">
        <v>24</v>
      </c>
      <c r="U40" s="1475"/>
      <c r="V40" s="1493">
        <f t="shared" si="1"/>
        <v>1913940</v>
      </c>
      <c r="W40" s="642">
        <f t="shared" si="6"/>
        <v>28</v>
      </c>
      <c r="X40" s="643">
        <f>VLOOKUP(B40,'[28]CN HĐ'!$G$10:$L$73,6,FALSE)</f>
        <v>0</v>
      </c>
      <c r="Y40" s="114"/>
      <c r="Z40" s="114"/>
      <c r="AA40" s="114"/>
      <c r="AB40" s="114"/>
      <c r="AC40" s="114"/>
      <c r="AD40" s="114"/>
      <c r="AE40" s="114"/>
      <c r="AF40" s="114"/>
      <c r="AG40" s="114"/>
      <c r="AH40" s="114"/>
      <c r="AI40" s="114"/>
      <c r="AJ40" s="114"/>
      <c r="AK40" s="114"/>
      <c r="AL40" s="114"/>
      <c r="AM40" s="114"/>
      <c r="AN40" s="114"/>
      <c r="AO40" s="114"/>
      <c r="AP40" s="114"/>
      <c r="AQ40" s="114"/>
      <c r="AR40" s="114"/>
      <c r="AS40" s="114"/>
    </row>
    <row r="41" spans="1:62" s="387" customFormat="1" ht="33.75" customHeight="1">
      <c r="A41" s="22">
        <f>_xlfn.AGGREGATE(4,7,A$12:A40)+1</f>
        <v>29</v>
      </c>
      <c r="B41" s="1476" t="s">
        <v>2245</v>
      </c>
      <c r="C41" s="1477"/>
      <c r="D41" s="383"/>
      <c r="E41" s="1485"/>
      <c r="F41" s="1485"/>
      <c r="G41" s="1485"/>
      <c r="H41" s="383" t="s">
        <v>2038</v>
      </c>
      <c r="I41" s="1471">
        <v>5307200</v>
      </c>
      <c r="J41" s="1472"/>
      <c r="K41" s="1473">
        <f t="shared" si="3"/>
        <v>0</v>
      </c>
      <c r="L41" s="1471">
        <f t="shared" si="4"/>
        <v>5307200</v>
      </c>
      <c r="M41" s="1473">
        <f t="shared" si="5"/>
        <v>6899360</v>
      </c>
      <c r="N41" s="1474" t="str">
        <f>VLOOKUP(B41,'[27]Gui chi Quynh'!$B$11:$E$388,4,FALSE)</f>
        <v>A3</v>
      </c>
      <c r="O41" s="1473">
        <f t="shared" si="0"/>
        <v>4139616</v>
      </c>
      <c r="P41" s="1474">
        <f>IFERROR(INDEX('[21]CN HĐ'!$J$10:$J$74,MATCH(B41,'[21]CN HĐ'!$H$10:$H$74,0)),"")</f>
        <v>24</v>
      </c>
      <c r="Q41" s="1475">
        <f>IFERROR(INDEX('[22]CN HĐ'!$J$10:$J$74,MATCH(B41,'[22]CN HĐ'!$H$10:$H$74,0)),"")</f>
        <v>24</v>
      </c>
      <c r="R41" s="1475">
        <f>VLOOKUP(B41,'[23]CN HĐ'!$H$10:$J$74,3,FALSE)</f>
        <v>23</v>
      </c>
      <c r="S41" s="1475">
        <v>24</v>
      </c>
      <c r="T41" s="1475">
        <v>24</v>
      </c>
      <c r="U41" s="1475"/>
      <c r="V41" s="1493">
        <f t="shared" si="1"/>
        <v>4139616</v>
      </c>
      <c r="W41" s="642">
        <f t="shared" si="6"/>
        <v>29</v>
      </c>
      <c r="X41" s="643">
        <f>VLOOKUP(B41,'[28]CN HĐ'!$G$10:$L$73,6,FALSE)</f>
        <v>0</v>
      </c>
      <c r="Y41" s="114"/>
      <c r="Z41" s="114"/>
      <c r="AA41" s="114"/>
      <c r="AB41" s="114"/>
      <c r="AC41" s="114"/>
      <c r="AD41" s="114"/>
      <c r="AE41" s="114"/>
      <c r="AF41" s="114"/>
      <c r="AG41" s="114"/>
      <c r="AH41" s="114"/>
      <c r="AI41" s="114"/>
      <c r="AJ41" s="114"/>
      <c r="AK41" s="114"/>
      <c r="AL41" s="114"/>
      <c r="AM41" s="114"/>
      <c r="AN41" s="114"/>
      <c r="AO41" s="114"/>
      <c r="AP41" s="114"/>
      <c r="AQ41" s="114"/>
      <c r="AR41" s="114"/>
      <c r="AS41" s="114"/>
    </row>
    <row r="42" spans="1:62" s="387" customFormat="1" ht="31.5" customHeight="1">
      <c r="A42" s="22">
        <f>_xlfn.AGGREGATE(4,7,A$12:A41)+1</f>
        <v>30</v>
      </c>
      <c r="B42" s="1476" t="s">
        <v>2253</v>
      </c>
      <c r="C42" s="1477"/>
      <c r="D42" s="383"/>
      <c r="E42" s="1485"/>
      <c r="F42" s="1485"/>
      <c r="G42" s="1485"/>
      <c r="H42" s="383" t="s">
        <v>2038</v>
      </c>
      <c r="I42" s="1471">
        <v>5307200</v>
      </c>
      <c r="J42" s="1472"/>
      <c r="K42" s="1473">
        <f t="shared" si="3"/>
        <v>0</v>
      </c>
      <c r="L42" s="1471">
        <f t="shared" si="4"/>
        <v>5307200</v>
      </c>
      <c r="M42" s="1473">
        <f t="shared" si="5"/>
        <v>6899360</v>
      </c>
      <c r="N42" s="1474" t="str">
        <f>VLOOKUP(B42,'[27]Gui chi Quynh'!$B$11:$E$388,4,FALSE)</f>
        <v>A3</v>
      </c>
      <c r="O42" s="1473">
        <f t="shared" si="0"/>
        <v>4139616</v>
      </c>
      <c r="P42" s="1474">
        <f>IFERROR(INDEX('[21]CN HĐ'!$J$10:$J$74,MATCH(B42,'[21]CN HĐ'!$H$10:$H$74,0)),"")</f>
        <v>27</v>
      </c>
      <c r="Q42" s="1475">
        <f>IFERROR(INDEX('[22]CN HĐ'!$J$10:$J$74,MATCH(B42,'[22]CN HĐ'!$H$10:$H$74,0)),"")</f>
        <v>25</v>
      </c>
      <c r="R42" s="1475">
        <f>VLOOKUP(B42,'[23]CN HĐ'!$H$10:$J$74,3,FALSE)</f>
        <v>24</v>
      </c>
      <c r="S42" s="1475">
        <v>24</v>
      </c>
      <c r="T42" s="1475">
        <v>24</v>
      </c>
      <c r="U42" s="1475"/>
      <c r="V42" s="1493">
        <f t="shared" si="1"/>
        <v>4139616</v>
      </c>
      <c r="W42" s="642">
        <f t="shared" si="6"/>
        <v>30</v>
      </c>
      <c r="X42" s="643">
        <f>VLOOKUP(B42,'[28]CN HĐ'!$G$10:$L$73,6,FALSE)</f>
        <v>0</v>
      </c>
    </row>
    <row r="43" spans="1:62" s="387" customFormat="1" ht="31.5" customHeight="1">
      <c r="A43" s="22">
        <f>_xlfn.AGGREGATE(4,7,A$12:A42)+1</f>
        <v>31</v>
      </c>
      <c r="B43" s="1476" t="s">
        <v>2088</v>
      </c>
      <c r="C43" s="1477"/>
      <c r="D43" s="383"/>
      <c r="E43" s="1485"/>
      <c r="F43" s="1485"/>
      <c r="G43" s="1485"/>
      <c r="H43" s="383" t="s">
        <v>2031</v>
      </c>
      <c r="I43" s="1471">
        <v>5208000</v>
      </c>
      <c r="J43" s="1472"/>
      <c r="K43" s="1473">
        <f t="shared" si="3"/>
        <v>0</v>
      </c>
      <c r="L43" s="1471">
        <f t="shared" si="4"/>
        <v>5208000</v>
      </c>
      <c r="M43" s="1473">
        <f t="shared" si="5"/>
        <v>3645600</v>
      </c>
      <c r="N43" s="1474" t="str">
        <f>VLOOKUP(B43,'[27]Gui chi Quynh'!$B$11:$E$388,4,FALSE)</f>
        <v>A1</v>
      </c>
      <c r="O43" s="1473">
        <f t="shared" si="0"/>
        <v>2916480</v>
      </c>
      <c r="P43" s="1474">
        <f>IFERROR(INDEX('[21]CN HĐ'!$J$10:$J$74,MATCH(B43,'[21]CN HĐ'!$H$10:$H$74,0)),"")</f>
        <v>24</v>
      </c>
      <c r="Q43" s="1475">
        <f>IFERROR(INDEX('[22]CN HĐ'!$J$10:$J$74,MATCH(B43,'[22]CN HĐ'!$H$10:$H$74,0)),"")</f>
        <v>26</v>
      </c>
      <c r="R43" s="1475">
        <f>VLOOKUP(B43,'[23]CN HĐ'!$H$10:$J$74,3,FALSE)</f>
        <v>23</v>
      </c>
      <c r="S43" s="1475">
        <v>24</v>
      </c>
      <c r="T43" s="1475">
        <v>24</v>
      </c>
      <c r="U43" s="1475"/>
      <c r="V43" s="1493">
        <f t="shared" si="1"/>
        <v>2916480</v>
      </c>
      <c r="W43" s="642">
        <f t="shared" si="6"/>
        <v>31</v>
      </c>
      <c r="X43" s="643">
        <f>VLOOKUP(B43,'[28]CN HĐ'!$G$10:$L$73,6,FALSE)</f>
        <v>0</v>
      </c>
    </row>
    <row r="44" spans="1:62" s="387" customFormat="1" ht="26.25" customHeight="1">
      <c r="A44" s="22">
        <f>_xlfn.AGGREGATE(4,7,A$12:A43)+1</f>
        <v>32</v>
      </c>
      <c r="B44" s="1476" t="s">
        <v>2089</v>
      </c>
      <c r="C44" s="1483" t="s">
        <v>307</v>
      </c>
      <c r="D44" s="1484" t="s">
        <v>2090</v>
      </c>
      <c r="E44" s="1487">
        <v>1603205194204</v>
      </c>
      <c r="F44" s="1487"/>
      <c r="G44" s="1487"/>
      <c r="H44" s="383" t="s">
        <v>2038</v>
      </c>
      <c r="I44" s="1471">
        <v>7841152</v>
      </c>
      <c r="J44" s="1472"/>
      <c r="K44" s="1473">
        <f t="shared" si="3"/>
        <v>0</v>
      </c>
      <c r="L44" s="1471">
        <f t="shared" si="4"/>
        <v>7841152</v>
      </c>
      <c r="M44" s="1473">
        <f t="shared" si="5"/>
        <v>10193497.6</v>
      </c>
      <c r="N44" s="1474" t="str">
        <f>VLOOKUP(B44,'[27]Gui chi Quynh'!$B$11:$E$388,4,FALSE)</f>
        <v>A3</v>
      </c>
      <c r="O44" s="1473">
        <f t="shared" si="0"/>
        <v>6116099</v>
      </c>
      <c r="P44" s="1474">
        <f>IFERROR(INDEX('[21]CN HĐ'!$J$10:$J$74,MATCH(B44,'[21]CN HĐ'!$H$10:$H$74,0)),"")</f>
        <v>24</v>
      </c>
      <c r="Q44" s="1475">
        <f>IFERROR(INDEX('[22]CN HĐ'!$J$10:$J$74,MATCH(B44,'[22]CN HĐ'!$H$10:$H$74,0)),"")</f>
        <v>26</v>
      </c>
      <c r="R44" s="1475">
        <f>VLOOKUP(B44,'[23]CN HĐ'!$H$10:$J$74,3,FALSE)</f>
        <v>23</v>
      </c>
      <c r="S44" s="1475">
        <v>24</v>
      </c>
      <c r="T44" s="1475">
        <v>24</v>
      </c>
      <c r="U44" s="1475"/>
      <c r="V44" s="1493">
        <f t="shared" si="1"/>
        <v>6116099</v>
      </c>
      <c r="W44" s="642">
        <f t="shared" si="6"/>
        <v>32</v>
      </c>
      <c r="X44" s="643">
        <f>VLOOKUP(B44,'[28]CN HĐ'!$G$10:$L$73,6,FALSE)</f>
        <v>0</v>
      </c>
    </row>
    <row r="45" spans="1:62" s="387" customFormat="1" ht="31.5" customHeight="1">
      <c r="A45" s="22">
        <f>_xlfn.AGGREGATE(4,7,A$12:A44)+1</f>
        <v>33</v>
      </c>
      <c r="B45" s="1476" t="s">
        <v>2091</v>
      </c>
      <c r="C45" s="1483"/>
      <c r="D45" s="1484"/>
      <c r="E45" s="1487"/>
      <c r="F45" s="1487"/>
      <c r="G45" s="1487"/>
      <c r="H45" s="383" t="s">
        <v>2031</v>
      </c>
      <c r="I45" s="1471">
        <v>5208000</v>
      </c>
      <c r="J45" s="1472"/>
      <c r="K45" s="1473">
        <f t="shared" si="3"/>
        <v>0</v>
      </c>
      <c r="L45" s="1471">
        <f t="shared" si="4"/>
        <v>5208000</v>
      </c>
      <c r="M45" s="1473">
        <f t="shared" si="5"/>
        <v>3645600</v>
      </c>
      <c r="N45" s="1474" t="str">
        <f>VLOOKUP(B45,'[27]Gui chi Quynh'!$B$11:$E$388,4,FALSE)</f>
        <v>A4</v>
      </c>
      <c r="O45" s="1473">
        <f t="shared" ref="O45:O74" si="7">ROUND(IF(AND(N45="A1",M45*0.8),M45*0.8,IF(AND(N45="A2",M45*0.7),M45*0.7,IF(AND(N45="A3",M45*0.6),M45*0.6,IF(AND(N45="A4",M45*0.5),M45*0.5,IF(AND(N45="B1",M45*0.35),M45*0.35,IF(AND(N45="B2",M45*0.25),M45*0.25,IF(AND(N45="C1",M45*0.15),M45*0.15,IF(N45="C2",M45*0.1,0)))))))),)</f>
        <v>1822800</v>
      </c>
      <c r="P45" s="1474">
        <f>IFERROR(INDEX('[21]CN HĐ'!$J$10:$J$74,MATCH(B45,'[21]CN HĐ'!$H$10:$H$74,0)),"")</f>
        <v>27</v>
      </c>
      <c r="Q45" s="1475">
        <f>IFERROR(INDEX('[22]CN HĐ'!$J$10:$J$74,MATCH(B45,'[22]CN HĐ'!$H$10:$H$74,0)),"")</f>
        <v>24</v>
      </c>
      <c r="R45" s="1475">
        <f>VLOOKUP(B45,'[23]CN HĐ'!$H$10:$J$74,3,FALSE)</f>
        <v>23</v>
      </c>
      <c r="S45" s="1475">
        <v>24</v>
      </c>
      <c r="T45" s="1475">
        <v>24</v>
      </c>
      <c r="U45" s="1475"/>
      <c r="V45" s="1493">
        <f t="shared" ref="V45:V75" si="8">(O45/S45*T45)</f>
        <v>1822800</v>
      </c>
      <c r="W45" s="642">
        <f t="shared" si="6"/>
        <v>33</v>
      </c>
      <c r="X45" s="643">
        <f>VLOOKUP(B45,'[28]CN HĐ'!$G$10:$L$73,6,FALSE)</f>
        <v>0</v>
      </c>
      <c r="Y45" s="114"/>
      <c r="Z45" s="114"/>
      <c r="AA45" s="114"/>
      <c r="AB45" s="114"/>
      <c r="AC45" s="114"/>
      <c r="AD45" s="114"/>
      <c r="AE45" s="114"/>
      <c r="AF45" s="114"/>
      <c r="AG45" s="114"/>
      <c r="AH45" s="114"/>
      <c r="AI45" s="114"/>
      <c r="AJ45" s="114"/>
      <c r="AK45" s="114"/>
      <c r="AL45" s="114"/>
      <c r="AM45" s="114"/>
    </row>
    <row r="46" spans="1:62" s="387" customFormat="1" ht="31.5" customHeight="1">
      <c r="A46" s="22">
        <f>_xlfn.AGGREGATE(4,7,A$12:A45)+1</f>
        <v>34</v>
      </c>
      <c r="B46" s="1490" t="s">
        <v>2092</v>
      </c>
      <c r="C46" s="280"/>
      <c r="D46" s="1484"/>
      <c r="E46" s="1486" t="s">
        <v>2093</v>
      </c>
      <c r="F46" s="1486"/>
      <c r="G46" s="1486"/>
      <c r="H46" s="383" t="s">
        <v>2042</v>
      </c>
      <c r="I46" s="1471">
        <v>11952831</v>
      </c>
      <c r="J46" s="1472">
        <v>0.12</v>
      </c>
      <c r="K46" s="1473">
        <f t="shared" si="3"/>
        <v>1434339.72</v>
      </c>
      <c r="L46" s="1471">
        <f t="shared" si="4"/>
        <v>13387170.720000001</v>
      </c>
      <c r="M46" s="1473">
        <f t="shared" si="5"/>
        <v>17403321.936000001</v>
      </c>
      <c r="N46" s="1474" t="str">
        <f>VLOOKUP(B46,'[27]Gui chi Quynh'!$B$11:$E$388,4,FALSE)</f>
        <v>A1</v>
      </c>
      <c r="O46" s="1473">
        <f t="shared" si="7"/>
        <v>13922658</v>
      </c>
      <c r="P46" s="1474">
        <f>IFERROR(INDEX('[21]CN HĐ'!$J$10:$J$74,MATCH(B46,'[21]CN HĐ'!$H$10:$H$74,0)),"")</f>
        <v>31</v>
      </c>
      <c r="Q46" s="1475">
        <f>IFERROR(INDEX('[22]CN HĐ'!$J$10:$J$74,MATCH(B46,'[22]CN HĐ'!$H$10:$H$74,0)),"")</f>
        <v>30</v>
      </c>
      <c r="R46" s="1475">
        <f>VLOOKUP(B46,'[23]CN HĐ'!$H$10:$J$74,3,FALSE)</f>
        <v>27</v>
      </c>
      <c r="S46" s="1475">
        <v>24</v>
      </c>
      <c r="T46" s="1475">
        <v>24</v>
      </c>
      <c r="U46" s="1475"/>
      <c r="V46" s="1493">
        <f t="shared" si="8"/>
        <v>13922658</v>
      </c>
      <c r="W46" s="642">
        <f t="shared" si="6"/>
        <v>34</v>
      </c>
      <c r="X46" s="643">
        <f>VLOOKUP(B46,'[28]CN HĐ'!$G$10:$L$73,6,FALSE)</f>
        <v>0</v>
      </c>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row>
    <row r="47" spans="1:62" s="387" customFormat="1" ht="28.5" customHeight="1">
      <c r="A47" s="22">
        <f>_xlfn.AGGREGATE(4,7,A$12:A46)+1</f>
        <v>35</v>
      </c>
      <c r="B47" s="1476" t="s">
        <v>2094</v>
      </c>
      <c r="C47" s="1483" t="s">
        <v>1602</v>
      </c>
      <c r="D47" s="1484" t="s">
        <v>2095</v>
      </c>
      <c r="E47" s="1485">
        <v>1603205341982</v>
      </c>
      <c r="F47" s="1485"/>
      <c r="G47" s="1485"/>
      <c r="H47" s="383" t="s">
        <v>2042</v>
      </c>
      <c r="I47" s="1471">
        <v>7964676</v>
      </c>
      <c r="J47" s="1472"/>
      <c r="K47" s="1473">
        <f t="shared" si="3"/>
        <v>0</v>
      </c>
      <c r="L47" s="1471">
        <f t="shared" si="4"/>
        <v>7964676</v>
      </c>
      <c r="M47" s="1473">
        <f t="shared" si="5"/>
        <v>10354078.800000001</v>
      </c>
      <c r="N47" s="1474" t="str">
        <f>VLOOKUP(B47,'[27]Gui chi Quynh'!$B$11:$E$388,4,FALSE)</f>
        <v>A1</v>
      </c>
      <c r="O47" s="1473">
        <f t="shared" si="7"/>
        <v>8283263</v>
      </c>
      <c r="P47" s="1474">
        <f>IFERROR(INDEX('[21]CN HĐ'!$J$10:$J$74,MATCH(B47,'[21]CN HĐ'!$H$10:$H$74,0)),"")</f>
        <v>25</v>
      </c>
      <c r="Q47" s="1475">
        <f>IFERROR(INDEX('[22]CN HĐ'!$J$10:$J$74,MATCH(B47,'[22]CN HĐ'!$H$10:$H$74,0)),"")</f>
        <v>27</v>
      </c>
      <c r="R47" s="1475">
        <f>VLOOKUP(B47,'[23]CN HĐ'!$H$10:$J$74,3,FALSE)</f>
        <v>24</v>
      </c>
      <c r="S47" s="1475">
        <v>24</v>
      </c>
      <c r="T47" s="1475">
        <v>24</v>
      </c>
      <c r="U47" s="1475"/>
      <c r="V47" s="1493">
        <f t="shared" si="8"/>
        <v>8283263</v>
      </c>
      <c r="W47" s="642">
        <f t="shared" si="6"/>
        <v>35</v>
      </c>
      <c r="X47" s="643">
        <f>VLOOKUP(B47,'[28]CN HĐ'!$G$10:$L$73,6,FALSE)</f>
        <v>0</v>
      </c>
      <c r="Y47" s="114"/>
      <c r="Z47" s="114"/>
      <c r="AA47" s="114"/>
      <c r="AB47" s="114"/>
      <c r="AC47" s="114"/>
      <c r="AD47" s="114"/>
      <c r="AE47" s="114"/>
      <c r="AF47" s="114"/>
      <c r="AG47" s="114"/>
      <c r="AH47" s="114"/>
      <c r="AI47" s="114"/>
      <c r="AJ47" s="114"/>
      <c r="AK47" s="114"/>
      <c r="AL47" s="114"/>
      <c r="AM47" s="114"/>
      <c r="AN47" s="114"/>
      <c r="AO47" s="114"/>
      <c r="AP47" s="114"/>
      <c r="AQ47" s="114"/>
      <c r="AR47" s="114"/>
      <c r="AS47" s="114"/>
    </row>
    <row r="48" spans="1:62" s="387" customFormat="1" ht="27" customHeight="1">
      <c r="A48" s="22">
        <f>_xlfn.AGGREGATE(4,7,A$12:A47)+1</f>
        <v>36</v>
      </c>
      <c r="B48" s="1476" t="s">
        <v>2098</v>
      </c>
      <c r="C48" s="1483"/>
      <c r="D48" s="1484"/>
      <c r="E48" s="1487"/>
      <c r="F48" s="1487"/>
      <c r="G48" s="1487"/>
      <c r="H48" s="383" t="s">
        <v>2042</v>
      </c>
      <c r="I48" s="1471">
        <v>6076213</v>
      </c>
      <c r="J48" s="1472"/>
      <c r="K48" s="1473">
        <f t="shared" si="3"/>
        <v>0</v>
      </c>
      <c r="L48" s="1471">
        <f t="shared" si="4"/>
        <v>6076213</v>
      </c>
      <c r="M48" s="1473">
        <f t="shared" si="5"/>
        <v>7899076.9000000004</v>
      </c>
      <c r="N48" s="1474" t="str">
        <f>VLOOKUP(B48,'[27]Gui chi Quynh'!$B$11:$E$388,4,FALSE)</f>
        <v>A2</v>
      </c>
      <c r="O48" s="1473">
        <f t="shared" si="7"/>
        <v>5529354</v>
      </c>
      <c r="P48" s="1474">
        <f>IFERROR(INDEX('[21]CN HĐ'!$J$10:$J$74,MATCH(B48,'[21]CN HĐ'!$H$10:$H$74,0)),"")</f>
        <v>24</v>
      </c>
      <c r="Q48" s="1475">
        <f>IFERROR(INDEX('[22]CN HĐ'!$J$10:$J$74,MATCH(B48,'[22]CN HĐ'!$H$10:$H$74,0)),"")</f>
        <v>26</v>
      </c>
      <c r="R48" s="1475">
        <f>VLOOKUP(B48,'[23]CN HĐ'!$H$10:$J$74,3,FALSE)</f>
        <v>23</v>
      </c>
      <c r="S48" s="1475">
        <v>24</v>
      </c>
      <c r="T48" s="1475">
        <v>24</v>
      </c>
      <c r="U48" s="1475"/>
      <c r="V48" s="1493">
        <f t="shared" si="8"/>
        <v>5529354</v>
      </c>
      <c r="W48" s="642">
        <f t="shared" si="6"/>
        <v>36</v>
      </c>
      <c r="X48" s="643">
        <f>VLOOKUP(B48,'[28]CN HĐ'!$G$10:$L$73,6,FALSE)</f>
        <v>0</v>
      </c>
      <c r="Y48" s="114"/>
      <c r="Z48" s="114"/>
      <c r="AA48" s="114"/>
      <c r="AB48" s="114"/>
      <c r="AC48" s="114"/>
      <c r="AD48" s="114"/>
      <c r="AE48" s="114"/>
      <c r="AF48" s="114"/>
      <c r="AG48" s="114"/>
      <c r="AH48" s="114"/>
      <c r="AI48" s="114"/>
      <c r="AJ48" s="114"/>
      <c r="AK48" s="114"/>
      <c r="AL48" s="114"/>
      <c r="AM48" s="114"/>
      <c r="AN48" s="114"/>
      <c r="AO48" s="114"/>
      <c r="AP48" s="114"/>
      <c r="AQ48" s="114"/>
      <c r="AR48" s="114"/>
      <c r="AS48" s="114"/>
    </row>
    <row r="49" spans="1:45" s="387" customFormat="1" ht="29.25" customHeight="1">
      <c r="A49" s="22">
        <f>_xlfn.AGGREGATE(4,7,A$12:A48)+1</f>
        <v>37</v>
      </c>
      <c r="B49" s="1476" t="s">
        <v>2099</v>
      </c>
      <c r="C49" s="1483"/>
      <c r="D49" s="1484"/>
      <c r="E49" s="1487"/>
      <c r="F49" s="1487"/>
      <c r="G49" s="1487"/>
      <c r="H49" s="383" t="s">
        <v>2042</v>
      </c>
      <c r="I49" s="1471">
        <v>6076213</v>
      </c>
      <c r="J49" s="1472"/>
      <c r="K49" s="1473">
        <f t="shared" si="3"/>
        <v>0</v>
      </c>
      <c r="L49" s="1471">
        <f t="shared" si="4"/>
        <v>6076213</v>
      </c>
      <c r="M49" s="1473">
        <f t="shared" si="5"/>
        <v>7899076.9000000004</v>
      </c>
      <c r="N49" s="1474" t="str">
        <f>VLOOKUP(B49,'[27]Gui chi Quynh'!$B$11:$E$388,4,FALSE)</f>
        <v>A2</v>
      </c>
      <c r="O49" s="1473">
        <f t="shared" si="7"/>
        <v>5529354</v>
      </c>
      <c r="P49" s="1474">
        <f>IFERROR(INDEX('[21]CN HĐ'!$J$10:$J$74,MATCH(B49,'[21]CN HĐ'!$H$10:$H$74,0)),"")</f>
        <v>24</v>
      </c>
      <c r="Q49" s="1475">
        <f>IFERROR(INDEX('[22]CN HĐ'!$J$10:$J$74,MATCH(B49,'[22]CN HĐ'!$H$10:$H$74,0)),"")</f>
        <v>26</v>
      </c>
      <c r="R49" s="1475">
        <f>VLOOKUP(B49,'[23]CN HĐ'!$H$10:$J$74,3,FALSE)</f>
        <v>25</v>
      </c>
      <c r="S49" s="1475">
        <v>24</v>
      </c>
      <c r="T49" s="1475">
        <v>24</v>
      </c>
      <c r="U49" s="1475"/>
      <c r="V49" s="1493">
        <f t="shared" si="8"/>
        <v>5529354</v>
      </c>
      <c r="W49" s="642">
        <f t="shared" si="6"/>
        <v>37</v>
      </c>
      <c r="X49" s="643">
        <f>VLOOKUP(B49,'[28]CN HĐ'!$G$10:$L$73,6,FALSE)</f>
        <v>0</v>
      </c>
      <c r="Y49" s="114"/>
      <c r="Z49" s="114"/>
      <c r="AA49" s="114"/>
      <c r="AB49" s="114"/>
      <c r="AC49" s="114"/>
      <c r="AD49" s="114"/>
      <c r="AE49" s="114"/>
      <c r="AF49" s="114"/>
      <c r="AG49" s="114"/>
      <c r="AH49" s="114"/>
      <c r="AI49" s="114"/>
      <c r="AJ49" s="114"/>
      <c r="AK49" s="114"/>
      <c r="AL49" s="114"/>
      <c r="AM49" s="114"/>
    </row>
    <row r="50" spans="1:45" s="387" customFormat="1" ht="27.75" customHeight="1">
      <c r="A50" s="22">
        <f>_xlfn.AGGREGATE(4,7,A$12:A49)+1</f>
        <v>38</v>
      </c>
      <c r="B50" s="1476" t="s">
        <v>2100</v>
      </c>
      <c r="C50" s="1483" t="s">
        <v>1053</v>
      </c>
      <c r="D50" s="1484" t="s">
        <v>2101</v>
      </c>
      <c r="E50" s="1485">
        <v>1603205399011</v>
      </c>
      <c r="F50" s="1485"/>
      <c r="G50" s="1485"/>
      <c r="H50" s="383" t="s">
        <v>2042</v>
      </c>
      <c r="I50" s="1471">
        <v>9118758</v>
      </c>
      <c r="J50" s="1472"/>
      <c r="K50" s="1473">
        <f t="shared" si="3"/>
        <v>0</v>
      </c>
      <c r="L50" s="1471">
        <f t="shared" si="4"/>
        <v>9118758</v>
      </c>
      <c r="M50" s="1473">
        <f t="shared" si="5"/>
        <v>11854385.4</v>
      </c>
      <c r="N50" s="1474" t="str">
        <f>VLOOKUP(B50,'[27]Gui chi Quynh'!$B$11:$E$388,4,FALSE)</f>
        <v>A4</v>
      </c>
      <c r="O50" s="1473">
        <f t="shared" si="7"/>
        <v>5927193</v>
      </c>
      <c r="P50" s="1474">
        <f>IFERROR(INDEX('[21]CN HĐ'!$J$10:$J$74,MATCH(B50,'[21]CN HĐ'!$H$10:$H$74,0)),"")</f>
        <v>21</v>
      </c>
      <c r="Q50" s="1475">
        <f>IFERROR(INDEX('[22]CN HĐ'!$J$10:$J$74,MATCH(B50,'[22]CN HĐ'!$H$10:$H$74,0)),"")</f>
        <v>26</v>
      </c>
      <c r="R50" s="1475">
        <f>VLOOKUP(B50,'[23]CN HĐ'!$H$10:$J$74,3,FALSE)</f>
        <v>23</v>
      </c>
      <c r="S50" s="1475">
        <v>24</v>
      </c>
      <c r="T50" s="1475">
        <v>24</v>
      </c>
      <c r="U50" s="1475"/>
      <c r="V50" s="1493">
        <f t="shared" si="8"/>
        <v>5927193</v>
      </c>
      <c r="W50" s="642">
        <f t="shared" si="6"/>
        <v>38</v>
      </c>
      <c r="X50" s="643">
        <f>VLOOKUP(B50,'[28]CN HĐ'!$G$10:$L$73,6,FALSE)</f>
        <v>0</v>
      </c>
    </row>
    <row r="51" spans="1:45" s="387" customFormat="1" ht="29.25" customHeight="1">
      <c r="A51" s="22">
        <f>_xlfn.AGGREGATE(4,7,A$12:A50)+1</f>
        <v>39</v>
      </c>
      <c r="B51" s="1476" t="s">
        <v>2102</v>
      </c>
      <c r="C51" s="1483" t="s">
        <v>2103</v>
      </c>
      <c r="D51" s="1484" t="s">
        <v>2104</v>
      </c>
      <c r="E51" s="1485" t="s">
        <v>2105</v>
      </c>
      <c r="F51" s="1485"/>
      <c r="G51" s="1485"/>
      <c r="H51" s="383" t="s">
        <v>2038</v>
      </c>
      <c r="I51" s="1471">
        <v>6773482</v>
      </c>
      <c r="J51" s="1472"/>
      <c r="K51" s="1473">
        <f t="shared" si="3"/>
        <v>0</v>
      </c>
      <c r="L51" s="1471">
        <f t="shared" si="4"/>
        <v>6773482</v>
      </c>
      <c r="M51" s="1473">
        <f t="shared" si="5"/>
        <v>8805526.5999999996</v>
      </c>
      <c r="N51" s="1474" t="str">
        <f>VLOOKUP(B51,'[27]Gui chi Quynh'!$B$11:$E$388,4,FALSE)</f>
        <v>A4</v>
      </c>
      <c r="O51" s="1473">
        <f t="shared" si="7"/>
        <v>4402763</v>
      </c>
      <c r="P51" s="1474">
        <f>IFERROR(INDEX('[21]CN HĐ'!$J$10:$J$74,MATCH(B51,'[21]CN HĐ'!$H$10:$H$74,0)),"")</f>
        <v>23</v>
      </c>
      <c r="Q51" s="1475">
        <f>IFERROR(INDEX('[22]CN HĐ'!$J$10:$J$74,MATCH(B51,'[22]CN HĐ'!$H$10:$H$74,0)),"")</f>
        <v>26</v>
      </c>
      <c r="R51" s="1475">
        <f>VLOOKUP(B51,'[23]CN HĐ'!$H$10:$J$74,3,FALSE)</f>
        <v>23</v>
      </c>
      <c r="S51" s="1475">
        <v>24</v>
      </c>
      <c r="T51" s="1475">
        <v>24</v>
      </c>
      <c r="U51" s="1475"/>
      <c r="V51" s="1493">
        <f t="shared" si="8"/>
        <v>4402763</v>
      </c>
      <c r="W51" s="642">
        <f t="shared" si="6"/>
        <v>39</v>
      </c>
      <c r="X51" s="643">
        <f>VLOOKUP(B51,'[28]CN HĐ'!$G$10:$L$73,6,FALSE)</f>
        <v>0</v>
      </c>
      <c r="Y51" s="114"/>
      <c r="Z51" s="114"/>
      <c r="AA51" s="114"/>
      <c r="AB51" s="114"/>
      <c r="AC51" s="114"/>
      <c r="AD51" s="114"/>
      <c r="AE51" s="114"/>
      <c r="AF51" s="114"/>
      <c r="AG51" s="114"/>
      <c r="AH51" s="114"/>
      <c r="AI51" s="114"/>
      <c r="AJ51" s="114"/>
      <c r="AK51" s="114"/>
      <c r="AL51" s="114"/>
      <c r="AM51" s="114"/>
      <c r="AN51" s="114"/>
      <c r="AO51" s="114"/>
      <c r="AP51" s="114"/>
      <c r="AQ51" s="114"/>
      <c r="AR51" s="114"/>
      <c r="AS51" s="114"/>
    </row>
    <row r="52" spans="1:45" s="387" customFormat="1" ht="42" customHeight="1">
      <c r="A52" s="22">
        <f>_xlfn.AGGREGATE(4,7,A$12:A51)+1</f>
        <v>40</v>
      </c>
      <c r="B52" s="1476" t="s">
        <v>2106</v>
      </c>
      <c r="C52" s="1483" t="s">
        <v>891</v>
      </c>
      <c r="D52" s="1484" t="s">
        <v>2107</v>
      </c>
      <c r="E52" s="1487">
        <v>1603205192034</v>
      </c>
      <c r="F52" s="1487"/>
      <c r="G52" s="1487"/>
      <c r="H52" s="383" t="s">
        <v>2038</v>
      </c>
      <c r="I52" s="1471">
        <v>6773482</v>
      </c>
      <c r="J52" s="1472"/>
      <c r="K52" s="1473">
        <f t="shared" si="3"/>
        <v>0</v>
      </c>
      <c r="L52" s="1471">
        <f t="shared" si="4"/>
        <v>6773482</v>
      </c>
      <c r="M52" s="1473">
        <f t="shared" si="5"/>
        <v>8805526.5999999996</v>
      </c>
      <c r="N52" s="1474" t="str">
        <f>VLOOKUP(B52,'[27]Gui chi Quynh'!$B$11:$E$388,4,FALSE)</f>
        <v>A3</v>
      </c>
      <c r="O52" s="1473">
        <f t="shared" si="7"/>
        <v>5283316</v>
      </c>
      <c r="P52" s="1474">
        <f>IFERROR(INDEX('[21]CN HĐ'!$J$10:$J$74,MATCH(B52,'[21]CN HĐ'!$H$10:$H$74,0)),"")</f>
        <v>27</v>
      </c>
      <c r="Q52" s="1475">
        <f>IFERROR(INDEX('[22]CN HĐ'!$J$10:$J$74,MATCH(B52,'[22]CN HĐ'!$H$10:$H$74,0)),"")</f>
        <v>26</v>
      </c>
      <c r="R52" s="1475">
        <f>VLOOKUP(B52,'[23]CN HĐ'!$H$10:$J$74,3,FALSE)</f>
        <v>23</v>
      </c>
      <c r="S52" s="1475">
        <v>24</v>
      </c>
      <c r="T52" s="1475">
        <v>22</v>
      </c>
      <c r="U52" s="1475"/>
      <c r="V52" s="1493">
        <f t="shared" si="8"/>
        <v>4843039.666666666</v>
      </c>
      <c r="W52" s="642">
        <f t="shared" si="6"/>
        <v>40</v>
      </c>
      <c r="X52" s="643" t="str">
        <f>VLOOKUP(B52,'[28]CN HĐ'!$G$10:$L$73,6,FALSE)</f>
        <v>Trừ 2 ngày nghỉ phép 9+19/5</v>
      </c>
      <c r="Y52" s="114"/>
      <c r="Z52" s="114"/>
      <c r="AA52" s="114"/>
      <c r="AB52" s="114"/>
      <c r="AC52" s="114"/>
      <c r="AD52" s="114"/>
      <c r="AE52" s="114"/>
      <c r="AF52" s="114"/>
      <c r="AG52" s="114"/>
      <c r="AH52" s="114"/>
      <c r="AI52" s="114"/>
      <c r="AJ52" s="114"/>
      <c r="AK52" s="114"/>
      <c r="AL52" s="114"/>
      <c r="AM52" s="114"/>
      <c r="AN52" s="114"/>
      <c r="AO52" s="114"/>
      <c r="AP52" s="114"/>
      <c r="AQ52" s="114"/>
      <c r="AR52" s="114"/>
      <c r="AS52" s="114"/>
    </row>
    <row r="53" spans="1:45" s="387" customFormat="1" ht="40.5" customHeight="1">
      <c r="A53" s="22">
        <f>_xlfn.AGGREGATE(4,7,A$12:A52)+1</f>
        <v>41</v>
      </c>
      <c r="B53" s="1476" t="s">
        <v>2108</v>
      </c>
      <c r="C53" s="1483"/>
      <c r="D53" s="1484"/>
      <c r="E53" s="1487"/>
      <c r="F53" s="1487"/>
      <c r="G53" s="1487"/>
      <c r="H53" s="383" t="s">
        <v>2042</v>
      </c>
      <c r="I53" s="1471">
        <v>6076213</v>
      </c>
      <c r="J53" s="1472"/>
      <c r="K53" s="1473">
        <f t="shared" si="3"/>
        <v>0</v>
      </c>
      <c r="L53" s="1471">
        <f t="shared" si="4"/>
        <v>6076213</v>
      </c>
      <c r="M53" s="1473">
        <f t="shared" si="5"/>
        <v>7899076.9000000004</v>
      </c>
      <c r="N53" s="1474" t="str">
        <f>VLOOKUP(B53,'[27]Gui chi Quynh'!$B$11:$E$388,4,FALSE)</f>
        <v>A4</v>
      </c>
      <c r="O53" s="1473">
        <f t="shared" si="7"/>
        <v>3949538</v>
      </c>
      <c r="P53" s="1474">
        <f>IFERROR(INDEX('[21]CN HĐ'!$J$10:$J$74,MATCH(B53,'[21]CN HĐ'!$H$10:$H$74,0)),"")</f>
        <v>25</v>
      </c>
      <c r="Q53" s="1475">
        <f>IFERROR(INDEX('[22]CN HĐ'!$J$10:$J$74,MATCH(B53,'[22]CN HĐ'!$H$10:$H$74,0)),"")</f>
        <v>24</v>
      </c>
      <c r="R53" s="1475">
        <f>VLOOKUP(B53,'[23]CN HĐ'!$H$10:$J$74,3,FALSE)</f>
        <v>22</v>
      </c>
      <c r="S53" s="1475">
        <v>24</v>
      </c>
      <c r="T53" s="1475">
        <v>23</v>
      </c>
      <c r="U53" s="1475"/>
      <c r="V53" s="1493">
        <f t="shared" si="8"/>
        <v>3784973.916666667</v>
      </c>
      <c r="W53" s="642">
        <f t="shared" si="6"/>
        <v>41</v>
      </c>
      <c r="X53" s="643" t="str">
        <f>VLOOKUP(B53,'[28]CN HĐ'!$G$10:$L$73,6,FALSE)</f>
        <v>Trừ 1 ngày nghỉ phép 10/5</v>
      </c>
      <c r="Y53" s="114"/>
      <c r="Z53" s="114"/>
      <c r="AA53" s="114"/>
      <c r="AB53" s="114"/>
      <c r="AC53" s="114"/>
      <c r="AD53" s="114"/>
      <c r="AE53" s="114"/>
      <c r="AF53" s="114"/>
      <c r="AG53" s="114"/>
      <c r="AH53" s="114"/>
      <c r="AI53" s="114"/>
      <c r="AJ53" s="114"/>
      <c r="AK53" s="114"/>
      <c r="AL53" s="114"/>
      <c r="AM53" s="114"/>
      <c r="AN53" s="114"/>
      <c r="AO53" s="114"/>
      <c r="AP53" s="114"/>
      <c r="AQ53" s="114"/>
      <c r="AR53" s="114"/>
      <c r="AS53" s="114"/>
    </row>
    <row r="54" spans="1:45" s="387" customFormat="1" ht="55.5" customHeight="1">
      <c r="A54" s="1659">
        <f>_xlfn.AGGREGATE(4,7,A$12:A53)+1</f>
        <v>42</v>
      </c>
      <c r="B54" s="1478" t="s">
        <v>2109</v>
      </c>
      <c r="C54" s="1666"/>
      <c r="D54" s="1667"/>
      <c r="E54" s="1668"/>
      <c r="F54" s="1668"/>
      <c r="G54" s="1668"/>
      <c r="H54" s="490" t="s">
        <v>2038</v>
      </c>
      <c r="I54" s="1660">
        <v>5572560</v>
      </c>
      <c r="J54" s="1661"/>
      <c r="K54" s="1662">
        <f t="shared" si="3"/>
        <v>0</v>
      </c>
      <c r="L54" s="1660">
        <f t="shared" si="4"/>
        <v>5572560</v>
      </c>
      <c r="M54" s="1662">
        <f t="shared" si="5"/>
        <v>7244328</v>
      </c>
      <c r="N54" s="1474" t="str">
        <f>VLOOKUP(B54,'[27]Gui chi Quynh'!$B$11:$E$388,4,FALSE)</f>
        <v>A DN</v>
      </c>
      <c r="O54" s="1662">
        <f t="shared" si="7"/>
        <v>0</v>
      </c>
      <c r="P54" s="1663">
        <f>IFERROR(INDEX('[21]CN HĐ'!$J$10:$J$74,MATCH(B54,'[21]CN HĐ'!$H$10:$H$74,0)),"")</f>
        <v>26</v>
      </c>
      <c r="Q54" s="1664">
        <f>IFERROR(INDEX('[22]CN HĐ'!$J$10:$J$74,MATCH(B54,'[22]CN HĐ'!$H$10:$H$74,0)),"")</f>
        <v>25</v>
      </c>
      <c r="R54" s="1664">
        <f>VLOOKUP(B54,'[23]CN HĐ'!$H$10:$J$74,3,FALSE)</f>
        <v>23</v>
      </c>
      <c r="S54" s="1664">
        <v>24</v>
      </c>
      <c r="T54" s="1664">
        <v>0</v>
      </c>
      <c r="U54" s="1664"/>
      <c r="V54" s="1665">
        <f t="shared" si="8"/>
        <v>0</v>
      </c>
      <c r="W54" s="665">
        <f t="shared" si="6"/>
        <v>42</v>
      </c>
      <c r="X54" s="666" t="str">
        <f>VLOOKUP(B54,'[28]CN HĐ'!$G$10:$L$73,6,FALSE)</f>
        <v>Nghỉ hộ sản hưởng chế độ BHXH từ 29/4/2025</v>
      </c>
    </row>
    <row r="55" spans="1:45" s="387" customFormat="1" ht="39" customHeight="1">
      <c r="A55" s="22">
        <f>_xlfn.AGGREGATE(4,7,A$12:A54)+1</f>
        <v>43</v>
      </c>
      <c r="B55" s="1476" t="s">
        <v>2110</v>
      </c>
      <c r="C55" s="1483" t="s">
        <v>2111</v>
      </c>
      <c r="D55" s="1484" t="s">
        <v>2112</v>
      </c>
      <c r="E55" s="1487">
        <v>1603205355935</v>
      </c>
      <c r="F55" s="1487"/>
      <c r="G55" s="1487"/>
      <c r="H55" s="383" t="s">
        <v>2038</v>
      </c>
      <c r="I55" s="1471">
        <v>6143747</v>
      </c>
      <c r="J55" s="1472"/>
      <c r="K55" s="1473">
        <f t="shared" si="3"/>
        <v>0</v>
      </c>
      <c r="L55" s="1471">
        <f t="shared" si="4"/>
        <v>6143747</v>
      </c>
      <c r="M55" s="1473">
        <f t="shared" si="5"/>
        <v>7986871.1000000006</v>
      </c>
      <c r="N55" s="1474" t="str">
        <f>VLOOKUP(B55,'[27]Gui chi Quynh'!$B$11:$E$388,4,FALSE)</f>
        <v>A4</v>
      </c>
      <c r="O55" s="1473">
        <f t="shared" si="7"/>
        <v>3993436</v>
      </c>
      <c r="P55" s="1474">
        <f>IFERROR(INDEX('[21]CN HĐ'!$J$10:$J$74,MATCH(B55,'[21]CN HĐ'!$H$10:$H$74,0)),"")</f>
        <v>23</v>
      </c>
      <c r="Q55" s="1475">
        <f>IFERROR(INDEX('[22]CN HĐ'!$J$10:$J$74,MATCH(B55,'[22]CN HĐ'!$H$10:$H$74,0)),"")</f>
        <v>26</v>
      </c>
      <c r="R55" s="1475">
        <f>VLOOKUP(B55,'[23]CN HĐ'!$H$10:$J$74,3,FALSE)</f>
        <v>23</v>
      </c>
      <c r="S55" s="1475">
        <v>24</v>
      </c>
      <c r="T55" s="1475">
        <v>24</v>
      </c>
      <c r="U55" s="1475"/>
      <c r="V55" s="1493">
        <f t="shared" si="8"/>
        <v>3993436</v>
      </c>
      <c r="W55" s="642">
        <f t="shared" ref="W55:W75" si="9">A55</f>
        <v>43</v>
      </c>
      <c r="X55" s="643" t="str">
        <f>VLOOKUP(B55,'[28]CN HĐ'!$G$10:$L$73,6,FALSE)</f>
        <v>Trừ 1 ngày nghỉ phép 27/5</v>
      </c>
    </row>
    <row r="56" spans="1:45" s="387" customFormat="1" ht="27" customHeight="1">
      <c r="A56" s="22">
        <f>_xlfn.AGGREGATE(4,7,A$12:A55)+1</f>
        <v>44</v>
      </c>
      <c r="B56" s="1476" t="s">
        <v>2113</v>
      </c>
      <c r="C56" s="1483"/>
      <c r="D56" s="1484"/>
      <c r="E56" s="1485">
        <v>1603205639363</v>
      </c>
      <c r="F56" s="1485"/>
      <c r="G56" s="1485"/>
      <c r="H56" s="383" t="s">
        <v>2042</v>
      </c>
      <c r="I56" s="1471">
        <v>6076213</v>
      </c>
      <c r="J56" s="1472"/>
      <c r="K56" s="1473">
        <f t="shared" si="3"/>
        <v>0</v>
      </c>
      <c r="L56" s="1471">
        <f t="shared" si="4"/>
        <v>6076213</v>
      </c>
      <c r="M56" s="1473">
        <f t="shared" si="5"/>
        <v>7899076.9000000004</v>
      </c>
      <c r="N56" s="1474" t="str">
        <f>VLOOKUP(B56,'[27]Gui chi Quynh'!$B$11:$E$388,4,FALSE)</f>
        <v>A3</v>
      </c>
      <c r="O56" s="1473">
        <f t="shared" si="7"/>
        <v>4739446</v>
      </c>
      <c r="P56" s="1474">
        <f>IFERROR(INDEX('[21]CN HĐ'!$J$10:$J$74,MATCH(B56,'[21]CN HĐ'!$H$10:$H$74,0)),"")</f>
        <v>24</v>
      </c>
      <c r="Q56" s="1475">
        <f>IFERROR(INDEX('[22]CN HĐ'!$J$10:$J$74,MATCH(B56,'[22]CN HĐ'!$H$10:$H$74,0)),"")</f>
        <v>24</v>
      </c>
      <c r="R56" s="1475">
        <f>VLOOKUP(B56,'[23]CN HĐ'!$H$10:$J$74,3,FALSE)</f>
        <v>23</v>
      </c>
      <c r="S56" s="1475">
        <v>24</v>
      </c>
      <c r="T56" s="1475">
        <v>24</v>
      </c>
      <c r="U56" s="1475"/>
      <c r="V56" s="1493">
        <f t="shared" si="8"/>
        <v>4739446</v>
      </c>
      <c r="W56" s="642">
        <f t="shared" si="9"/>
        <v>44</v>
      </c>
      <c r="X56" s="643">
        <f>VLOOKUP(B56,'[28]CN HĐ'!$G$10:$L$73,6,FALSE)</f>
        <v>0</v>
      </c>
    </row>
    <row r="57" spans="1:45" s="387" customFormat="1" ht="42.75" customHeight="1">
      <c r="A57" s="22">
        <f>_xlfn.AGGREGATE(4,7,A$12:A56)+1</f>
        <v>45</v>
      </c>
      <c r="B57" s="1476" t="s">
        <v>2114</v>
      </c>
      <c r="C57" s="1483" t="s">
        <v>2115</v>
      </c>
      <c r="D57" s="1484" t="s">
        <v>2116</v>
      </c>
      <c r="E57" s="1485">
        <v>1603205324898</v>
      </c>
      <c r="F57" s="1485"/>
      <c r="G57" s="1485"/>
      <c r="H57" s="383" t="s">
        <v>2042</v>
      </c>
      <c r="I57" s="1471">
        <v>7964676</v>
      </c>
      <c r="J57" s="1472"/>
      <c r="K57" s="1473">
        <f t="shared" si="3"/>
        <v>0</v>
      </c>
      <c r="L57" s="1471">
        <f t="shared" si="4"/>
        <v>7964676</v>
      </c>
      <c r="M57" s="1473">
        <f t="shared" si="5"/>
        <v>10354078.800000001</v>
      </c>
      <c r="N57" s="1474" t="str">
        <f>VLOOKUP(B57,'[27]Gui chi Quynh'!$B$11:$E$388,4,FALSE)</f>
        <v>A1</v>
      </c>
      <c r="O57" s="1473">
        <f t="shared" si="7"/>
        <v>8283263</v>
      </c>
      <c r="P57" s="1474">
        <f>IFERROR(INDEX('[21]CN HĐ'!$J$10:$J$74,MATCH(B57,'[21]CN HĐ'!$H$10:$H$74,0)),"")</f>
        <v>27</v>
      </c>
      <c r="Q57" s="1475">
        <f>IFERROR(INDEX('[22]CN HĐ'!$J$10:$J$74,MATCH(B57,'[22]CN HĐ'!$H$10:$H$74,0)),"")</f>
        <v>25</v>
      </c>
      <c r="R57" s="1475">
        <f>VLOOKUP(B57,'[23]CN HĐ'!$H$10:$J$74,3,FALSE)</f>
        <v>23</v>
      </c>
      <c r="S57" s="1475">
        <v>24</v>
      </c>
      <c r="T57" s="1475">
        <v>22</v>
      </c>
      <c r="U57" s="1475"/>
      <c r="V57" s="1493">
        <f t="shared" si="8"/>
        <v>7592991.083333333</v>
      </c>
      <c r="W57" s="642">
        <f t="shared" si="9"/>
        <v>45</v>
      </c>
      <c r="X57" s="643" t="str">
        <f>VLOOKUP(B57,'[28]CN HĐ'!$G$10:$L$73,6,FALSE)</f>
        <v>Trừ 2 ngày nghỉ phép 16+17/5</v>
      </c>
    </row>
    <row r="58" spans="1:45" s="387" customFormat="1" ht="27" customHeight="1">
      <c r="A58" s="22">
        <f>_xlfn.AGGREGATE(4,7,A$12:A57)+1</f>
        <v>46</v>
      </c>
      <c r="B58" s="1476" t="s">
        <v>2117</v>
      </c>
      <c r="C58" s="1483"/>
      <c r="D58" s="1484"/>
      <c r="E58" s="1486" t="s">
        <v>2118</v>
      </c>
      <c r="F58" s="1486"/>
      <c r="G58" s="1486"/>
      <c r="H58" s="383" t="s">
        <v>2042</v>
      </c>
      <c r="I58" s="1471">
        <v>6076213</v>
      </c>
      <c r="J58" s="1472"/>
      <c r="K58" s="1473">
        <f t="shared" si="3"/>
        <v>0</v>
      </c>
      <c r="L58" s="1471">
        <f t="shared" si="4"/>
        <v>6076213</v>
      </c>
      <c r="M58" s="1473">
        <f t="shared" si="5"/>
        <v>7899076.9000000004</v>
      </c>
      <c r="N58" s="1474" t="str">
        <f>VLOOKUP(B58,'[27]Gui chi Quynh'!$B$11:$E$388,4,FALSE)</f>
        <v>A3</v>
      </c>
      <c r="O58" s="1473">
        <f t="shared" si="7"/>
        <v>4739446</v>
      </c>
      <c r="P58" s="1474">
        <f>IFERROR(INDEX('[21]CN HĐ'!$J$10:$J$74,MATCH(B58,'[21]CN HĐ'!$H$10:$H$74,0)),"")</f>
        <v>27</v>
      </c>
      <c r="Q58" s="1475">
        <f>IFERROR(INDEX('[22]CN HĐ'!$J$10:$J$74,MATCH(B58,'[22]CN HĐ'!$H$10:$H$74,0)),"")</f>
        <v>26</v>
      </c>
      <c r="R58" s="1475">
        <f>VLOOKUP(B58,'[23]CN HĐ'!$H$10:$J$74,3,FALSE)</f>
        <v>22</v>
      </c>
      <c r="S58" s="1475">
        <v>24</v>
      </c>
      <c r="T58" s="1475">
        <v>24</v>
      </c>
      <c r="U58" s="1475"/>
      <c r="V58" s="1493">
        <f t="shared" si="8"/>
        <v>4739446</v>
      </c>
      <c r="W58" s="642">
        <f t="shared" si="9"/>
        <v>46</v>
      </c>
      <c r="X58" s="643">
        <f>VLOOKUP(B58,'[28]CN HĐ'!$G$10:$L$73,6,FALSE)</f>
        <v>0</v>
      </c>
      <c r="Y58" s="114"/>
      <c r="Z58" s="114"/>
      <c r="AA58" s="114"/>
      <c r="AB58" s="114"/>
      <c r="AC58" s="114"/>
      <c r="AD58" s="114"/>
      <c r="AE58" s="114"/>
      <c r="AF58" s="114"/>
      <c r="AG58" s="114"/>
      <c r="AH58" s="114"/>
      <c r="AI58" s="114"/>
      <c r="AJ58" s="114"/>
      <c r="AK58" s="114"/>
      <c r="AL58" s="114"/>
      <c r="AM58" s="114"/>
      <c r="AN58" s="114"/>
      <c r="AO58" s="114"/>
      <c r="AP58" s="114"/>
      <c r="AQ58" s="114"/>
      <c r="AR58" s="114"/>
      <c r="AS58" s="114"/>
    </row>
    <row r="59" spans="1:45" s="387" customFormat="1" ht="27" customHeight="1">
      <c r="A59" s="22">
        <f>_xlfn.AGGREGATE(4,7,A$12:A58)+1</f>
        <v>47</v>
      </c>
      <c r="B59" s="1476" t="s">
        <v>2119</v>
      </c>
      <c r="C59" s="1483" t="s">
        <v>2120</v>
      </c>
      <c r="D59" s="1484" t="s">
        <v>2121</v>
      </c>
      <c r="E59" s="1485" t="s">
        <v>2122</v>
      </c>
      <c r="F59" s="1485"/>
      <c r="G59" s="1485"/>
      <c r="H59" s="86" t="s">
        <v>2042</v>
      </c>
      <c r="I59" s="1471">
        <v>6076213</v>
      </c>
      <c r="J59" s="1472"/>
      <c r="K59" s="1473">
        <f t="shared" si="3"/>
        <v>0</v>
      </c>
      <c r="L59" s="1471">
        <f t="shared" si="4"/>
        <v>6076213</v>
      </c>
      <c r="M59" s="1473">
        <f t="shared" si="5"/>
        <v>7899076.9000000004</v>
      </c>
      <c r="N59" s="1474" t="str">
        <f>VLOOKUP(B59,'[27]Gui chi Quynh'!$B$11:$E$388,4,FALSE)</f>
        <v>A2</v>
      </c>
      <c r="O59" s="1473">
        <f t="shared" si="7"/>
        <v>5529354</v>
      </c>
      <c r="P59" s="1474">
        <f>IFERROR(INDEX('[21]CN HĐ'!$J$10:$J$74,MATCH(B59,'[21]CN HĐ'!$H$10:$H$74,0)),"")</f>
        <v>27</v>
      </c>
      <c r="Q59" s="1475">
        <f>IFERROR(INDEX('[22]CN HĐ'!$J$10:$J$74,MATCH(B59,'[22]CN HĐ'!$H$10:$H$74,0)),"")</f>
        <v>26</v>
      </c>
      <c r="R59" s="1475">
        <f>VLOOKUP(B59,'[23]CN HĐ'!$H$10:$J$74,3,FALSE)</f>
        <v>23</v>
      </c>
      <c r="S59" s="1475">
        <v>24</v>
      </c>
      <c r="T59" s="1475">
        <v>24</v>
      </c>
      <c r="U59" s="1475"/>
      <c r="V59" s="1493">
        <f t="shared" si="8"/>
        <v>5529354</v>
      </c>
      <c r="W59" s="642">
        <f t="shared" si="9"/>
        <v>47</v>
      </c>
      <c r="X59" s="643">
        <f>VLOOKUP(B59,'[28]CN HĐ'!$G$10:$L$73,6,FALSE)</f>
        <v>0</v>
      </c>
      <c r="Y59" s="114"/>
      <c r="Z59" s="114"/>
      <c r="AA59" s="114"/>
      <c r="AB59" s="114"/>
      <c r="AC59" s="114"/>
      <c r="AD59" s="114"/>
      <c r="AE59" s="114"/>
      <c r="AF59" s="114"/>
      <c r="AG59" s="114"/>
      <c r="AH59" s="114"/>
      <c r="AI59" s="114"/>
      <c r="AJ59" s="114"/>
      <c r="AK59" s="114"/>
      <c r="AL59" s="114"/>
      <c r="AM59" s="114"/>
      <c r="AN59" s="114"/>
      <c r="AO59" s="114"/>
      <c r="AP59" s="114"/>
      <c r="AQ59" s="114"/>
      <c r="AR59" s="114"/>
      <c r="AS59" s="114"/>
    </row>
    <row r="60" spans="1:45" s="387" customFormat="1" ht="27" customHeight="1">
      <c r="A60" s="22">
        <f>_xlfn.AGGREGATE(4,7,A$12:A59)+1</f>
        <v>48</v>
      </c>
      <c r="B60" s="1476" t="s">
        <v>2123</v>
      </c>
      <c r="C60" s="1483" t="s">
        <v>1103</v>
      </c>
      <c r="D60" s="1484" t="s">
        <v>2124</v>
      </c>
      <c r="E60" s="1485">
        <v>1603205327079</v>
      </c>
      <c r="F60" s="1485"/>
      <c r="G60" s="1485"/>
      <c r="H60" s="383" t="s">
        <v>2038</v>
      </c>
      <c r="I60" s="1471">
        <v>6773482</v>
      </c>
      <c r="J60" s="1472"/>
      <c r="K60" s="1473">
        <f t="shared" si="3"/>
        <v>0</v>
      </c>
      <c r="L60" s="1471">
        <f t="shared" si="4"/>
        <v>6773482</v>
      </c>
      <c r="M60" s="1473">
        <f t="shared" si="5"/>
        <v>8805526.5999999996</v>
      </c>
      <c r="N60" s="1474" t="str">
        <f>VLOOKUP(B60,'[27]Gui chi Quynh'!$B$11:$E$388,4,FALSE)</f>
        <v>A4</v>
      </c>
      <c r="O60" s="1473">
        <f t="shared" si="7"/>
        <v>4402763</v>
      </c>
      <c r="P60" s="1474">
        <f>IFERROR(INDEX('[21]CN HĐ'!$J$10:$J$74,MATCH(B60,'[21]CN HĐ'!$H$10:$H$74,0)),"")</f>
        <v>23</v>
      </c>
      <c r="Q60" s="1475">
        <f>IFERROR(INDEX('[22]CN HĐ'!$J$10:$J$74,MATCH(B60,'[22]CN HĐ'!$H$10:$H$74,0)),"")</f>
        <v>26</v>
      </c>
      <c r="R60" s="1475">
        <f>VLOOKUP(B60,'[23]CN HĐ'!$H$10:$J$74,3,FALSE)</f>
        <v>22</v>
      </c>
      <c r="S60" s="1475">
        <v>24</v>
      </c>
      <c r="T60" s="1475">
        <v>24</v>
      </c>
      <c r="U60" s="1475"/>
      <c r="V60" s="1493">
        <f t="shared" si="8"/>
        <v>4402763</v>
      </c>
      <c r="W60" s="642">
        <f t="shared" si="9"/>
        <v>48</v>
      </c>
      <c r="X60" s="643">
        <f>VLOOKUP(B60,'[28]CN HĐ'!$G$10:$L$73,6,FALSE)</f>
        <v>0</v>
      </c>
    </row>
    <row r="61" spans="1:45" s="387" customFormat="1" ht="27" customHeight="1">
      <c r="A61" s="22">
        <f>_xlfn.AGGREGATE(4,7,A$12:A60)+1</f>
        <v>49</v>
      </c>
      <c r="B61" s="1476" t="s">
        <v>2125</v>
      </c>
      <c r="C61" s="1483" t="s">
        <v>1431</v>
      </c>
      <c r="D61" s="1484" t="s">
        <v>2126</v>
      </c>
      <c r="E61" s="1485" t="s">
        <v>2127</v>
      </c>
      <c r="F61" s="1485"/>
      <c r="G61" s="1485"/>
      <c r="H61" s="383" t="s">
        <v>2042</v>
      </c>
      <c r="I61" s="1471">
        <v>7443623</v>
      </c>
      <c r="J61" s="1472"/>
      <c r="K61" s="1473">
        <f t="shared" si="3"/>
        <v>0</v>
      </c>
      <c r="L61" s="1471">
        <f t="shared" si="4"/>
        <v>7443623</v>
      </c>
      <c r="M61" s="1473">
        <f t="shared" si="5"/>
        <v>9676709.9000000004</v>
      </c>
      <c r="N61" s="1474" t="str">
        <f>VLOOKUP(B61,'[27]Gui chi Quynh'!$B$11:$E$388,4,FALSE)</f>
        <v>A1</v>
      </c>
      <c r="O61" s="1473">
        <f t="shared" si="7"/>
        <v>7741368</v>
      </c>
      <c r="P61" s="1474">
        <f>IFERROR(INDEX('[21]CN HĐ'!$J$10:$J$74,MATCH(B61,'[21]CN HĐ'!$H$10:$H$74,0)),"")</f>
        <v>23.5</v>
      </c>
      <c r="Q61" s="1475">
        <f>IFERROR(INDEX('[22]CN HĐ'!$J$10:$J$74,MATCH(B61,'[22]CN HĐ'!$H$10:$H$74,0)),"")</f>
        <v>26</v>
      </c>
      <c r="R61" s="1475">
        <f>VLOOKUP(B61,'[23]CN HĐ'!$H$10:$J$74,3,FALSE)</f>
        <v>22</v>
      </c>
      <c r="S61" s="1475">
        <v>24</v>
      </c>
      <c r="T61" s="1475">
        <v>24</v>
      </c>
      <c r="U61" s="1475"/>
      <c r="V61" s="1493">
        <f t="shared" si="8"/>
        <v>7741368</v>
      </c>
      <c r="W61" s="642">
        <f t="shared" si="9"/>
        <v>49</v>
      </c>
      <c r="X61" s="643">
        <f>VLOOKUP(B61,'[28]CN HĐ'!$G$10:$L$73,6,FALSE)</f>
        <v>0</v>
      </c>
      <c r="Y61" s="114"/>
      <c r="Z61" s="114"/>
      <c r="AA61" s="114"/>
      <c r="AB61" s="114"/>
      <c r="AC61" s="114"/>
      <c r="AD61" s="114"/>
      <c r="AE61" s="114"/>
      <c r="AF61" s="114"/>
      <c r="AG61" s="114"/>
      <c r="AH61" s="114"/>
      <c r="AI61" s="114"/>
      <c r="AJ61" s="114"/>
      <c r="AK61" s="114"/>
      <c r="AL61" s="114"/>
      <c r="AM61" s="114"/>
      <c r="AN61" s="114"/>
      <c r="AO61" s="114"/>
      <c r="AP61" s="114"/>
      <c r="AQ61" s="114"/>
      <c r="AR61" s="114"/>
      <c r="AS61" s="114"/>
    </row>
    <row r="62" spans="1:45" s="387" customFormat="1" ht="35.25" customHeight="1">
      <c r="A62" s="22">
        <f>_xlfn.AGGREGATE(4,7,A$12:A61)+1</f>
        <v>50</v>
      </c>
      <c r="B62" s="1476" t="s">
        <v>2128</v>
      </c>
      <c r="C62" s="1483" t="s">
        <v>1064</v>
      </c>
      <c r="D62" s="1484" t="s">
        <v>2129</v>
      </c>
      <c r="E62" s="1485" t="s">
        <v>2130</v>
      </c>
      <c r="F62" s="1485"/>
      <c r="G62" s="1485"/>
      <c r="H62" s="383" t="s">
        <v>2042</v>
      </c>
      <c r="I62" s="1471">
        <v>6076213</v>
      </c>
      <c r="J62" s="1472"/>
      <c r="K62" s="1473">
        <f t="shared" si="3"/>
        <v>0</v>
      </c>
      <c r="L62" s="1471">
        <f t="shared" si="4"/>
        <v>6076213</v>
      </c>
      <c r="M62" s="1473">
        <f t="shared" si="5"/>
        <v>7899076.9000000004</v>
      </c>
      <c r="N62" s="1474" t="str">
        <f>VLOOKUP(B62,'[27]Gui chi Quynh'!$B$11:$E$388,4,FALSE)</f>
        <v>A1</v>
      </c>
      <c r="O62" s="1473">
        <f t="shared" si="7"/>
        <v>6319262</v>
      </c>
      <c r="P62" s="1474">
        <f>IFERROR(INDEX('[21]CN HĐ'!$J$10:$J$74,MATCH(B62,'[21]CN HĐ'!$H$10:$H$74,0)),"")</f>
        <v>28</v>
      </c>
      <c r="Q62" s="1475">
        <f>IFERROR(INDEX('[22]CN HĐ'!$J$10:$J$74,MATCH(B62,'[22]CN HĐ'!$H$10:$H$74,0)),"")</f>
        <v>25</v>
      </c>
      <c r="R62" s="1475">
        <f>VLOOKUP(B62,'[23]CN HĐ'!$H$10:$J$74,3,FALSE)</f>
        <v>23</v>
      </c>
      <c r="S62" s="1475">
        <v>24</v>
      </c>
      <c r="T62" s="1475">
        <v>24</v>
      </c>
      <c r="U62" s="1475"/>
      <c r="V62" s="1493">
        <f t="shared" si="8"/>
        <v>6319262</v>
      </c>
      <c r="W62" s="642">
        <f t="shared" si="9"/>
        <v>50</v>
      </c>
      <c r="X62" s="643">
        <f>VLOOKUP(B62,'[28]CN HĐ'!$G$10:$L$73,6,FALSE)</f>
        <v>0</v>
      </c>
      <c r="Y62" s="114"/>
      <c r="Z62" s="114"/>
      <c r="AA62" s="114"/>
      <c r="AB62" s="114"/>
      <c r="AC62" s="114"/>
      <c r="AD62" s="114"/>
      <c r="AE62" s="114"/>
      <c r="AF62" s="114"/>
      <c r="AG62" s="114"/>
      <c r="AH62" s="114"/>
      <c r="AI62" s="114"/>
      <c r="AJ62" s="114"/>
      <c r="AK62" s="114"/>
      <c r="AL62" s="114"/>
      <c r="AM62" s="114"/>
      <c r="AN62" s="114"/>
      <c r="AO62" s="114"/>
      <c r="AP62" s="114"/>
      <c r="AQ62" s="114"/>
      <c r="AR62" s="114"/>
      <c r="AS62" s="114"/>
    </row>
    <row r="63" spans="1:45" s="387" customFormat="1" ht="31.5" customHeight="1">
      <c r="A63" s="22">
        <f>_xlfn.AGGREGATE(4,7,A$12:A62)+1</f>
        <v>51</v>
      </c>
      <c r="B63" s="1476" t="s">
        <v>2131</v>
      </c>
      <c r="C63" s="1483"/>
      <c r="D63" s="1484" t="s">
        <v>2132</v>
      </c>
      <c r="E63" s="1485" t="s">
        <v>2133</v>
      </c>
      <c r="F63" s="1485"/>
      <c r="G63" s="1485"/>
      <c r="H63" s="383" t="s">
        <v>2042</v>
      </c>
      <c r="I63" s="1471">
        <v>7964676</v>
      </c>
      <c r="J63" s="1472"/>
      <c r="K63" s="1473">
        <f t="shared" si="3"/>
        <v>0</v>
      </c>
      <c r="L63" s="1471">
        <f t="shared" si="4"/>
        <v>7964676</v>
      </c>
      <c r="M63" s="1473">
        <f t="shared" si="5"/>
        <v>10354078.800000001</v>
      </c>
      <c r="N63" s="1474" t="str">
        <f>VLOOKUP(B63,'[27]Gui chi Quynh'!$B$11:$E$388,4,FALSE)</f>
        <v>A1</v>
      </c>
      <c r="O63" s="1473">
        <f t="shared" si="7"/>
        <v>8283263</v>
      </c>
      <c r="P63" s="1474">
        <f>IFERROR(INDEX('[21]CN HĐ'!$J$10:$J$74,MATCH(B63,'[21]CN HĐ'!$H$10:$H$74,0)),"")</f>
        <v>24</v>
      </c>
      <c r="Q63" s="1475">
        <f>IFERROR(INDEX('[22]CN HĐ'!$J$10:$J$74,MATCH(B63,'[22]CN HĐ'!$H$10:$H$74,0)),"")</f>
        <v>27</v>
      </c>
      <c r="R63" s="1475">
        <f>VLOOKUP(B63,'[23]CN HĐ'!$H$10:$J$74,3,FALSE)</f>
        <v>23</v>
      </c>
      <c r="S63" s="1475">
        <v>24</v>
      </c>
      <c r="T63" s="1475">
        <v>24</v>
      </c>
      <c r="U63" s="1475"/>
      <c r="V63" s="1493">
        <f t="shared" si="8"/>
        <v>8283263</v>
      </c>
      <c r="W63" s="642">
        <f t="shared" si="9"/>
        <v>51</v>
      </c>
      <c r="X63" s="643">
        <f>VLOOKUP(B63,'[28]CN HĐ'!$G$10:$L$73,6,FALSE)</f>
        <v>0</v>
      </c>
      <c r="Y63" s="114"/>
      <c r="Z63" s="114"/>
      <c r="AA63" s="114"/>
      <c r="AB63" s="114"/>
      <c r="AC63" s="114"/>
      <c r="AD63" s="114"/>
      <c r="AE63" s="114"/>
      <c r="AF63" s="114"/>
      <c r="AG63" s="114"/>
      <c r="AH63" s="114"/>
      <c r="AI63" s="114"/>
      <c r="AJ63" s="114"/>
      <c r="AK63" s="114"/>
      <c r="AL63" s="114"/>
      <c r="AM63" s="114"/>
      <c r="AN63" s="114"/>
      <c r="AO63" s="114"/>
      <c r="AP63" s="114"/>
      <c r="AQ63" s="114"/>
      <c r="AR63" s="114"/>
      <c r="AS63" s="114"/>
    </row>
    <row r="64" spans="1:45" s="387" customFormat="1" ht="31.5" customHeight="1">
      <c r="A64" s="22">
        <f>_xlfn.AGGREGATE(4,7,A$12:A63)+1</f>
        <v>52</v>
      </c>
      <c r="B64" s="1476" t="s">
        <v>2134</v>
      </c>
      <c r="C64" s="1483" t="s">
        <v>1043</v>
      </c>
      <c r="D64" s="1484" t="s">
        <v>2135</v>
      </c>
      <c r="E64" s="1485" t="s">
        <v>2136</v>
      </c>
      <c r="F64" s="1485"/>
      <c r="G64" s="1485"/>
      <c r="H64" s="383" t="s">
        <v>2042</v>
      </c>
      <c r="I64" s="1471">
        <v>9118756</v>
      </c>
      <c r="J64" s="1472"/>
      <c r="K64" s="1473">
        <f t="shared" si="3"/>
        <v>0</v>
      </c>
      <c r="L64" s="1471">
        <f t="shared" si="4"/>
        <v>9118756</v>
      </c>
      <c r="M64" s="1473">
        <f t="shared" si="5"/>
        <v>11854382.800000001</v>
      </c>
      <c r="N64" s="1474" t="str">
        <f>VLOOKUP(B64,'[27]Gui chi Quynh'!$B$11:$E$388,4,FALSE)</f>
        <v>A1</v>
      </c>
      <c r="O64" s="1473">
        <f t="shared" si="7"/>
        <v>9483506</v>
      </c>
      <c r="P64" s="1474">
        <f>IFERROR(INDEX('[21]CN HĐ'!$J$10:$J$74,MATCH(B64,'[21]CN HĐ'!$H$10:$H$74,0)),"")</f>
        <v>26.5</v>
      </c>
      <c r="Q64" s="1475">
        <f>IFERROR(INDEX('[22]CN HĐ'!$J$10:$J$74,MATCH(B64,'[22]CN HĐ'!$H$10:$H$74,0)),"")</f>
        <v>26</v>
      </c>
      <c r="R64" s="1475">
        <f>VLOOKUP(B64,'[23]CN HĐ'!$H$10:$J$74,3,FALSE)</f>
        <v>24</v>
      </c>
      <c r="S64" s="1475">
        <v>24</v>
      </c>
      <c r="T64" s="1475">
        <v>24</v>
      </c>
      <c r="U64" s="1475"/>
      <c r="V64" s="1493">
        <f t="shared" si="8"/>
        <v>9483506</v>
      </c>
      <c r="W64" s="642">
        <f t="shared" si="9"/>
        <v>52</v>
      </c>
      <c r="X64" s="643">
        <f>VLOOKUP(B64,'[28]CN HĐ'!$G$10:$L$73,6,FALSE)</f>
        <v>0</v>
      </c>
      <c r="Y64" s="114"/>
      <c r="Z64" s="114"/>
      <c r="AA64" s="114"/>
      <c r="AB64" s="114"/>
      <c r="AC64" s="114"/>
      <c r="AD64" s="114"/>
      <c r="AE64" s="114"/>
      <c r="AF64" s="114"/>
      <c r="AG64" s="114"/>
      <c r="AH64" s="114"/>
      <c r="AI64" s="114"/>
      <c r="AJ64" s="114"/>
      <c r="AK64" s="114"/>
      <c r="AL64" s="114"/>
      <c r="AM64" s="114"/>
      <c r="AN64" s="114"/>
      <c r="AO64" s="114"/>
      <c r="AP64" s="114"/>
      <c r="AQ64" s="114"/>
      <c r="AR64" s="114"/>
      <c r="AS64" s="114"/>
    </row>
    <row r="65" spans="1:45" s="387" customFormat="1" ht="39" customHeight="1">
      <c r="A65" s="22">
        <f>_xlfn.AGGREGATE(4,7,A$12:A64)+1</f>
        <v>53</v>
      </c>
      <c r="B65" s="1476" t="s">
        <v>2137</v>
      </c>
      <c r="C65" s="1483"/>
      <c r="D65" s="1484"/>
      <c r="E65" s="1485"/>
      <c r="F65" s="1485"/>
      <c r="G65" s="1485"/>
      <c r="H65" s="383" t="s">
        <v>2042</v>
      </c>
      <c r="I65" s="1471">
        <v>5678704</v>
      </c>
      <c r="J65" s="1472"/>
      <c r="K65" s="1473">
        <f t="shared" si="3"/>
        <v>0</v>
      </c>
      <c r="L65" s="1471">
        <f t="shared" si="4"/>
        <v>5678704</v>
      </c>
      <c r="M65" s="1473">
        <f t="shared" si="5"/>
        <v>7382315.2000000002</v>
      </c>
      <c r="N65" s="1474" t="str">
        <f>VLOOKUP(B65,'[27]Gui chi Quynh'!$B$11:$E$388,4,FALSE)</f>
        <v>A1</v>
      </c>
      <c r="O65" s="1473">
        <f t="shared" si="7"/>
        <v>5905852</v>
      </c>
      <c r="P65" s="1474">
        <f>IFERROR(INDEX('[21]CN HĐ'!$J$10:$J$74,MATCH(B65,'[21]CN HĐ'!$H$10:$H$74,0)),"")</f>
        <v>24</v>
      </c>
      <c r="Q65" s="1475">
        <f>IFERROR(INDEX('[22]CN HĐ'!$J$10:$J$74,MATCH(B65,'[22]CN HĐ'!$H$10:$H$74,0)),"")</f>
        <v>24</v>
      </c>
      <c r="R65" s="1475">
        <f>VLOOKUP(B65,'[23]CN HĐ'!$H$10:$J$74,3,FALSE)</f>
        <v>23</v>
      </c>
      <c r="S65" s="1475">
        <v>24</v>
      </c>
      <c r="T65" s="1475">
        <v>22</v>
      </c>
      <c r="U65" s="1475"/>
      <c r="V65" s="1493">
        <f t="shared" si="8"/>
        <v>5413697.666666666</v>
      </c>
      <c r="W65" s="642">
        <f t="shared" si="9"/>
        <v>53</v>
      </c>
      <c r="X65" s="643" t="str">
        <f>VLOOKUP(B65,'[28]CN HĐ'!$G$10:$L$73,6,FALSE)</f>
        <v>Trừ 2 ngày nghỉ phép 12+13/5</v>
      </c>
    </row>
    <row r="66" spans="1:45" s="387" customFormat="1" ht="31.5" customHeight="1">
      <c r="A66" s="22">
        <f>_xlfn.AGGREGATE(4,7,A$12:A65)+1</f>
        <v>54</v>
      </c>
      <c r="B66" s="1476" t="s">
        <v>2353</v>
      </c>
      <c r="C66" s="1483"/>
      <c r="D66" s="1484"/>
      <c r="E66" s="1485"/>
      <c r="F66" s="1485"/>
      <c r="G66" s="1485"/>
      <c r="H66" s="383" t="s">
        <v>2038</v>
      </c>
      <c r="I66" s="1471">
        <v>5307200</v>
      </c>
      <c r="J66" s="1472"/>
      <c r="K66" s="1473">
        <f t="shared" si="3"/>
        <v>0</v>
      </c>
      <c r="L66" s="1471">
        <f t="shared" si="4"/>
        <v>5307200</v>
      </c>
      <c r="M66" s="1473">
        <f t="shared" si="5"/>
        <v>6899360</v>
      </c>
      <c r="N66" s="1474" t="str">
        <f>VLOOKUP(B66,'[27]Gui chi Quynh'!$B$11:$E$388,4,FALSE)</f>
        <v>A1</v>
      </c>
      <c r="O66" s="1473">
        <f t="shared" si="7"/>
        <v>5519488</v>
      </c>
      <c r="P66" s="1474">
        <f>IFERROR(INDEX('[21]CN HĐ'!$J$10:$J$74,MATCH(B66,'[21]CN HĐ'!$H$10:$H$74,0)),"")</f>
        <v>17</v>
      </c>
      <c r="Q66" s="1475">
        <f>IFERROR(INDEX('[22]CN HĐ'!$J$10:$J$74,MATCH(B66,'[22]CN HĐ'!$H$10:$H$74,0)),"")</f>
        <v>25</v>
      </c>
      <c r="R66" s="1475">
        <f>VLOOKUP(B66,'[23]CN HĐ'!$H$10:$J$74,3,FALSE)</f>
        <v>22</v>
      </c>
      <c r="S66" s="1475">
        <v>24</v>
      </c>
      <c r="T66" s="1475">
        <v>24</v>
      </c>
      <c r="U66" s="1475"/>
      <c r="V66" s="1493">
        <f t="shared" si="8"/>
        <v>5519488</v>
      </c>
      <c r="W66" s="642">
        <f t="shared" si="9"/>
        <v>54</v>
      </c>
      <c r="X66" s="643">
        <f>VLOOKUP(B66,'[28]CN HĐ'!$G$10:$L$73,6,FALSE)</f>
        <v>0</v>
      </c>
    </row>
    <row r="67" spans="1:45" s="387" customFormat="1" ht="46.5" customHeight="1">
      <c r="A67" s="1659">
        <f>_xlfn.AGGREGATE(4,7,A$12:A66)+1</f>
        <v>55</v>
      </c>
      <c r="B67" s="1478" t="s">
        <v>2138</v>
      </c>
      <c r="C67" s="1666" t="s">
        <v>2139</v>
      </c>
      <c r="D67" s="1667" t="s">
        <v>2140</v>
      </c>
      <c r="E67" s="1659" t="s">
        <v>2141</v>
      </c>
      <c r="F67" s="1659"/>
      <c r="G67" s="1659"/>
      <c r="H67" s="490" t="s">
        <v>2031</v>
      </c>
      <c r="I67" s="1660">
        <v>6028911</v>
      </c>
      <c r="J67" s="1661"/>
      <c r="K67" s="1662">
        <f t="shared" si="3"/>
        <v>0</v>
      </c>
      <c r="L67" s="1660">
        <f t="shared" si="4"/>
        <v>6028911</v>
      </c>
      <c r="M67" s="1662">
        <f t="shared" si="5"/>
        <v>4220237.7</v>
      </c>
      <c r="N67" s="1663" t="str">
        <f>VLOOKUP(B67,'[27]Gui chi Quynh'!$B$11:$E$388,4,FALSE)</f>
        <v>B1</v>
      </c>
      <c r="O67" s="1662">
        <f t="shared" si="7"/>
        <v>1477083</v>
      </c>
      <c r="P67" s="1663">
        <f>IFERROR(INDEX('[21]CN HĐ'!$J$10:$J$74,MATCH(B67,'[21]CN HĐ'!$H$10:$H$74,0)),"")</f>
        <v>27</v>
      </c>
      <c r="Q67" s="1664">
        <f>IFERROR(INDEX('[22]CN HĐ'!$J$10:$J$74,MATCH(B67,'[22]CN HĐ'!$H$10:$H$74,0)),"")</f>
        <v>23</v>
      </c>
      <c r="R67" s="1664">
        <f>VLOOKUP(B67,'[23]CN HĐ'!$H$10:$J$74,3,FALSE)</f>
        <v>20</v>
      </c>
      <c r="S67" s="1664">
        <v>24</v>
      </c>
      <c r="T67" s="1664">
        <v>16</v>
      </c>
      <c r="U67" s="1664"/>
      <c r="V67" s="1665">
        <f t="shared" si="8"/>
        <v>984722</v>
      </c>
      <c r="W67" s="665">
        <f t="shared" si="9"/>
        <v>55</v>
      </c>
      <c r="X67" s="666" t="str">
        <f>VLOOKUP(B67,'[28]CN HĐ'!$G$10:$L$73,6,FALSE)</f>
        <v xml:space="preserve">Trừ 8 ngày nghỉ không hưởng lương </v>
      </c>
    </row>
    <row r="68" spans="1:45" s="387" customFormat="1" ht="30" customHeight="1">
      <c r="A68" s="22">
        <f>_xlfn.AGGREGATE(4,7,A$12:A67)+1</f>
        <v>56</v>
      </c>
      <c r="B68" s="1476" t="s">
        <v>2142</v>
      </c>
      <c r="C68" s="1483"/>
      <c r="D68" s="1484"/>
      <c r="E68" s="1485"/>
      <c r="F68" s="1485"/>
      <c r="G68" s="1485"/>
      <c r="H68" s="383" t="s">
        <v>2038</v>
      </c>
      <c r="I68" s="1471">
        <v>5572560</v>
      </c>
      <c r="J68" s="1472"/>
      <c r="K68" s="1473">
        <f t="shared" si="3"/>
        <v>0</v>
      </c>
      <c r="L68" s="1471">
        <f t="shared" si="4"/>
        <v>5572560</v>
      </c>
      <c r="M68" s="1473">
        <f t="shared" si="5"/>
        <v>7244328</v>
      </c>
      <c r="N68" s="1474" t="str">
        <f>VLOOKUP(B68,'[27]Gui chi Quynh'!$B$11:$E$388,4,FALSE)</f>
        <v>A3</v>
      </c>
      <c r="O68" s="1473">
        <f t="shared" si="7"/>
        <v>4346597</v>
      </c>
      <c r="P68" s="1474">
        <f>IFERROR(INDEX('[21]CN HĐ'!$J$10:$J$74,MATCH(B68,'[21]CN HĐ'!$H$10:$H$74,0)),"")</f>
        <v>24</v>
      </c>
      <c r="Q68" s="1475">
        <f>IFERROR(INDEX('[22]CN HĐ'!$J$10:$J$74,MATCH(B68,'[22]CN HĐ'!$H$10:$H$74,0)),"")</f>
        <v>27</v>
      </c>
      <c r="R68" s="1475">
        <f>VLOOKUP(B68,'[23]CN HĐ'!$H$10:$J$74,3,FALSE)</f>
        <v>23</v>
      </c>
      <c r="S68" s="1475">
        <v>24</v>
      </c>
      <c r="T68" s="1475">
        <v>24</v>
      </c>
      <c r="U68" s="1475"/>
      <c r="V68" s="1493">
        <f t="shared" si="8"/>
        <v>4346597</v>
      </c>
      <c r="W68" s="642">
        <f t="shared" si="9"/>
        <v>56</v>
      </c>
      <c r="X68" s="643">
        <f>VLOOKUP(B68,'[28]CN HĐ'!$G$10:$L$73,6,FALSE)</f>
        <v>0</v>
      </c>
      <c r="Y68" s="114"/>
      <c r="Z68" s="114"/>
      <c r="AA68" s="114"/>
      <c r="AB68" s="114"/>
      <c r="AC68" s="114"/>
      <c r="AD68" s="114"/>
      <c r="AE68" s="114"/>
      <c r="AF68" s="114"/>
      <c r="AG68" s="114"/>
      <c r="AH68" s="114"/>
      <c r="AI68" s="114"/>
      <c r="AJ68" s="114"/>
      <c r="AK68" s="114"/>
      <c r="AL68" s="114"/>
      <c r="AM68" s="114"/>
    </row>
    <row r="69" spans="1:45" s="387" customFormat="1" ht="30" customHeight="1">
      <c r="A69" s="667">
        <f>_xlfn.AGGREGATE(4,7,A$12:A68)+1</f>
        <v>57</v>
      </c>
      <c r="B69" s="1476" t="s">
        <v>2144</v>
      </c>
      <c r="C69" s="1483" t="s">
        <v>2145</v>
      </c>
      <c r="D69" s="1484" t="s">
        <v>2146</v>
      </c>
      <c r="E69" s="1485">
        <v>1603205351493</v>
      </c>
      <c r="F69" s="1485"/>
      <c r="G69" s="1485"/>
      <c r="H69" s="383" t="s">
        <v>2042</v>
      </c>
      <c r="I69" s="1471">
        <v>7964676</v>
      </c>
      <c r="J69" s="1472"/>
      <c r="K69" s="1473">
        <f t="shared" si="3"/>
        <v>0</v>
      </c>
      <c r="L69" s="1471">
        <f t="shared" si="4"/>
        <v>7964676</v>
      </c>
      <c r="M69" s="1473">
        <f t="shared" si="5"/>
        <v>10354078.800000001</v>
      </c>
      <c r="N69" s="1474" t="str">
        <f>VLOOKUP(B69,'[27]Gui chi Quynh'!$B$11:$E$388,4,FALSE)</f>
        <v>A3</v>
      </c>
      <c r="O69" s="1473">
        <f t="shared" si="7"/>
        <v>6212447</v>
      </c>
      <c r="P69" s="1474">
        <f>IFERROR(INDEX('[21]CN HĐ'!$J$10:$J$74,MATCH(B69,'[21]CN HĐ'!$H$10:$H$74,0)),"")</f>
        <v>25</v>
      </c>
      <c r="Q69" s="1475">
        <f>IFERROR(INDEX('[22]CN HĐ'!$J$10:$J$74,MATCH(B69,'[22]CN HĐ'!$H$10:$H$74,0)),"")</f>
        <v>26</v>
      </c>
      <c r="R69" s="1475">
        <f>VLOOKUP(B69,'[23]CN HĐ'!$H$10:$J$74,3,FALSE)</f>
        <v>4</v>
      </c>
      <c r="S69" s="1475">
        <v>24</v>
      </c>
      <c r="T69" s="1475">
        <v>24</v>
      </c>
      <c r="U69" s="1475"/>
      <c r="V69" s="1493">
        <f t="shared" si="8"/>
        <v>6212447</v>
      </c>
      <c r="W69" s="642">
        <f t="shared" si="9"/>
        <v>57</v>
      </c>
      <c r="X69" s="643">
        <f>VLOOKUP(B69,'[28]CN HĐ'!$G$10:$L$73,6,FALSE)</f>
        <v>0</v>
      </c>
    </row>
    <row r="70" spans="1:45" s="387" customFormat="1" ht="30.75" customHeight="1">
      <c r="A70" s="22">
        <f>_xlfn.AGGREGATE(4,7,A$12:A69)+1</f>
        <v>58</v>
      </c>
      <c r="B70" s="1476" t="s">
        <v>2147</v>
      </c>
      <c r="C70" s="1483"/>
      <c r="D70" s="1484"/>
      <c r="E70" s="22" t="s">
        <v>2148</v>
      </c>
      <c r="F70" s="22"/>
      <c r="G70" s="22"/>
      <c r="H70" s="383" t="s">
        <v>2042</v>
      </c>
      <c r="I70" s="1471">
        <v>11170870</v>
      </c>
      <c r="J70" s="1472"/>
      <c r="K70" s="1473">
        <f t="shared" si="3"/>
        <v>0</v>
      </c>
      <c r="L70" s="1471">
        <f t="shared" si="4"/>
        <v>11170870</v>
      </c>
      <c r="M70" s="1473">
        <f t="shared" si="5"/>
        <v>14522131</v>
      </c>
      <c r="N70" s="1474" t="str">
        <f>VLOOKUP(B70,'[27]Gui chi Quynh'!$B$11:$E$388,4,FALSE)</f>
        <v>A3</v>
      </c>
      <c r="O70" s="1473">
        <f t="shared" si="7"/>
        <v>8713279</v>
      </c>
      <c r="P70" s="1474">
        <f>IFERROR(INDEX('[21]CN HĐ'!$J$10:$J$74,MATCH(B70,'[21]CN HĐ'!$H$10:$H$74,0)),"")</f>
        <v>25</v>
      </c>
      <c r="Q70" s="1475">
        <f>IFERROR(INDEX('[22]CN HĐ'!$J$10:$J$74,MATCH(B70,'[22]CN HĐ'!$H$10:$H$74,0)),"")</f>
        <v>26</v>
      </c>
      <c r="R70" s="1475">
        <f>VLOOKUP(B70,'[23]CN HĐ'!$H$10:$J$74,3,FALSE)</f>
        <v>23</v>
      </c>
      <c r="S70" s="1475">
        <v>24</v>
      </c>
      <c r="T70" s="1475">
        <v>24</v>
      </c>
      <c r="U70" s="1475"/>
      <c r="V70" s="1493">
        <f t="shared" si="8"/>
        <v>8713279</v>
      </c>
      <c r="W70" s="642">
        <f t="shared" si="9"/>
        <v>58</v>
      </c>
      <c r="X70" s="643">
        <f>VLOOKUP(B70,'[28]CN HĐ'!$G$10:$L$73,6,FALSE)</f>
        <v>0</v>
      </c>
      <c r="Y70" s="114"/>
      <c r="Z70" s="114"/>
      <c r="AA70" s="114"/>
      <c r="AB70" s="114"/>
      <c r="AC70" s="114"/>
      <c r="AD70" s="114"/>
      <c r="AE70" s="114"/>
      <c r="AF70" s="114"/>
      <c r="AG70" s="114"/>
      <c r="AH70" s="114"/>
      <c r="AI70" s="114"/>
      <c r="AJ70" s="114"/>
      <c r="AK70" s="114"/>
      <c r="AL70" s="114"/>
      <c r="AM70" s="114"/>
      <c r="AN70" s="114"/>
      <c r="AO70" s="114"/>
      <c r="AP70" s="114"/>
      <c r="AQ70" s="114"/>
      <c r="AR70" s="114"/>
      <c r="AS70" s="114"/>
    </row>
    <row r="71" spans="1:45" s="387" customFormat="1" ht="28.5" customHeight="1">
      <c r="A71" s="22">
        <f>_xlfn.AGGREGATE(4,7,A$12:A70)+1</f>
        <v>59</v>
      </c>
      <c r="B71" s="1476" t="s">
        <v>2149</v>
      </c>
      <c r="C71" s="1483"/>
      <c r="D71" s="1484" t="s">
        <v>2150</v>
      </c>
      <c r="E71" s="22" t="s">
        <v>11</v>
      </c>
      <c r="F71" s="22"/>
      <c r="G71" s="22"/>
      <c r="H71" s="383" t="s">
        <v>2038</v>
      </c>
      <c r="I71" s="1471">
        <v>6450935</v>
      </c>
      <c r="J71" s="1472"/>
      <c r="K71" s="1473">
        <f t="shared" si="3"/>
        <v>0</v>
      </c>
      <c r="L71" s="1471">
        <f t="shared" si="4"/>
        <v>6450935</v>
      </c>
      <c r="M71" s="1473">
        <f t="shared" si="5"/>
        <v>8386215.5</v>
      </c>
      <c r="N71" s="1474" t="str">
        <f>VLOOKUP(B71,'[27]Gui chi Quynh'!$B$11:$E$388,4,FALSE)</f>
        <v>A3</v>
      </c>
      <c r="O71" s="1473">
        <f t="shared" si="7"/>
        <v>5031729</v>
      </c>
      <c r="P71" s="1474">
        <f>IFERROR(INDEX('[21]CN HĐ'!$J$10:$J$74,MATCH(B71,'[21]CN HĐ'!$H$10:$H$74,0)),"")</f>
        <v>29</v>
      </c>
      <c r="Q71" s="1475">
        <f>IFERROR(INDEX('[22]CN HĐ'!$J$10:$J$74,MATCH(B71,'[22]CN HĐ'!$H$10:$H$74,0)),"")</f>
        <v>26</v>
      </c>
      <c r="R71" s="1475">
        <f>VLOOKUP(B71,'[23]CN HĐ'!$H$10:$J$74,3,FALSE)</f>
        <v>24</v>
      </c>
      <c r="S71" s="1475">
        <v>24</v>
      </c>
      <c r="T71" s="1475">
        <v>24</v>
      </c>
      <c r="U71" s="1475"/>
      <c r="V71" s="1493">
        <f t="shared" si="8"/>
        <v>5031729</v>
      </c>
      <c r="W71" s="642">
        <f t="shared" si="9"/>
        <v>59</v>
      </c>
      <c r="X71" s="643">
        <f>VLOOKUP(B71,'[28]CN HĐ'!$G$10:$L$73,6,FALSE)</f>
        <v>0</v>
      </c>
      <c r="Y71" s="114"/>
      <c r="Z71" s="114"/>
      <c r="AA71" s="114"/>
      <c r="AB71" s="114"/>
      <c r="AC71" s="114"/>
      <c r="AD71" s="114"/>
      <c r="AE71" s="114"/>
      <c r="AF71" s="114"/>
      <c r="AG71" s="114"/>
      <c r="AH71" s="114"/>
      <c r="AI71" s="114"/>
      <c r="AJ71" s="114"/>
      <c r="AK71" s="114"/>
      <c r="AL71" s="114"/>
      <c r="AM71" s="114"/>
      <c r="AN71" s="114"/>
      <c r="AO71" s="114"/>
      <c r="AP71" s="114"/>
      <c r="AQ71" s="114"/>
      <c r="AR71" s="114"/>
      <c r="AS71" s="114"/>
    </row>
    <row r="72" spans="1:45" s="387" customFormat="1" ht="28.5" customHeight="1">
      <c r="A72" s="22">
        <f>_xlfn.AGGREGATE(4,7,A$12:A71)+1</f>
        <v>60</v>
      </c>
      <c r="B72" s="1476" t="s">
        <v>2151</v>
      </c>
      <c r="C72" s="1483"/>
      <c r="D72" s="1484"/>
      <c r="E72" s="667"/>
      <c r="F72" s="667"/>
      <c r="G72" s="667"/>
      <c r="H72" s="383" t="s">
        <v>2031</v>
      </c>
      <c r="I72" s="1471">
        <v>4960000</v>
      </c>
      <c r="J72" s="1472"/>
      <c r="K72" s="1473">
        <f t="shared" si="3"/>
        <v>0</v>
      </c>
      <c r="L72" s="1471">
        <f t="shared" si="4"/>
        <v>4960000</v>
      </c>
      <c r="M72" s="1473">
        <f t="shared" si="5"/>
        <v>3472000</v>
      </c>
      <c r="N72" s="1474" t="str">
        <f>VLOOKUP(B72,'[27]Gui chi Quynh'!$B$11:$E$388,4,FALSE)</f>
        <v>A3</v>
      </c>
      <c r="O72" s="1473">
        <f t="shared" si="7"/>
        <v>2083200</v>
      </c>
      <c r="P72" s="1474">
        <f>IFERROR(INDEX('[21]CN HĐ'!$J$10:$J$74,MATCH(B72,'[21]CN HĐ'!$H$10:$H$74,0)),"")</f>
        <v>24</v>
      </c>
      <c r="Q72" s="1475">
        <f>IFERROR(INDEX('[22]CN HĐ'!$J$10:$J$74,MATCH(B72,'[22]CN HĐ'!$H$10:$H$74,0)),"")</f>
        <v>26</v>
      </c>
      <c r="R72" s="1475">
        <f>VLOOKUP(B72,'[23]CN HĐ'!$H$10:$J$74,3,FALSE)</f>
        <v>24</v>
      </c>
      <c r="S72" s="1475">
        <v>24</v>
      </c>
      <c r="T72" s="1475">
        <v>23</v>
      </c>
      <c r="U72" s="1475"/>
      <c r="V72" s="1493">
        <f t="shared" si="8"/>
        <v>1996400</v>
      </c>
      <c r="W72" s="642">
        <f t="shared" si="9"/>
        <v>60</v>
      </c>
      <c r="X72" s="643">
        <f>VLOOKUP(B72,'[28]CN HĐ'!$G$10:$L$73,6,FALSE)</f>
        <v>0</v>
      </c>
    </row>
    <row r="73" spans="1:45" s="387" customFormat="1" ht="39.75" customHeight="1">
      <c r="A73" s="22">
        <f>_xlfn.AGGREGATE(4,7,A$12:A72)+1</f>
        <v>61</v>
      </c>
      <c r="B73" s="1476" t="s">
        <v>2152</v>
      </c>
      <c r="C73" s="1483" t="s">
        <v>960</v>
      </c>
      <c r="D73" s="1484" t="s">
        <v>2153</v>
      </c>
      <c r="E73" s="1485" t="s">
        <v>2154</v>
      </c>
      <c r="F73" s="1485"/>
      <c r="G73" s="1485"/>
      <c r="H73" s="383" t="s">
        <v>2042</v>
      </c>
      <c r="I73" s="1471">
        <v>6956657</v>
      </c>
      <c r="J73" s="1472"/>
      <c r="K73" s="1473">
        <f t="shared" si="3"/>
        <v>0</v>
      </c>
      <c r="L73" s="1471">
        <f t="shared" si="4"/>
        <v>6956657</v>
      </c>
      <c r="M73" s="1473">
        <f t="shared" si="5"/>
        <v>9043654.0999999996</v>
      </c>
      <c r="N73" s="1474" t="str">
        <f>VLOOKUP(B73,'[27]Gui chi Quynh'!$B$11:$E$388,4,FALSE)</f>
        <v>A3</v>
      </c>
      <c r="O73" s="1473">
        <f t="shared" si="7"/>
        <v>5426192</v>
      </c>
      <c r="P73" s="1474">
        <f>IFERROR(INDEX('[21]CN HĐ'!$J$10:$J$74,MATCH(B73,'[21]CN HĐ'!$H$10:$H$74,0)),"")</f>
        <v>23</v>
      </c>
      <c r="Q73" s="1475">
        <f>IFERROR(INDEX('[22]CN HĐ'!$J$10:$J$74,MATCH(B73,'[22]CN HĐ'!$H$10:$H$74,0)),"")</f>
        <v>26</v>
      </c>
      <c r="R73" s="1475">
        <f>VLOOKUP(B73,'[23]CN HĐ'!$H$10:$J$74,3,FALSE)</f>
        <v>23</v>
      </c>
      <c r="S73" s="1475">
        <v>24</v>
      </c>
      <c r="T73" s="1475">
        <v>23.5</v>
      </c>
      <c r="U73" s="1475"/>
      <c r="V73" s="1493">
        <f t="shared" si="8"/>
        <v>5313146.333333334</v>
      </c>
      <c r="W73" s="642">
        <f t="shared" si="9"/>
        <v>61</v>
      </c>
      <c r="X73" s="643" t="str">
        <f>VLOOKUP(B73,'[28]CN HĐ'!$G$10:$L$73,6,FALSE)</f>
        <v>Trừ 1/2 ngày nghỉ phép</v>
      </c>
      <c r="Y73" s="114"/>
      <c r="Z73" s="114"/>
      <c r="AA73" s="114"/>
      <c r="AB73" s="114"/>
      <c r="AC73" s="114"/>
      <c r="AD73" s="114"/>
      <c r="AE73" s="114"/>
      <c r="AF73" s="114"/>
      <c r="AG73" s="114"/>
      <c r="AH73" s="114"/>
      <c r="AI73" s="114"/>
      <c r="AJ73" s="114"/>
      <c r="AK73" s="114"/>
      <c r="AL73" s="114"/>
      <c r="AM73" s="114"/>
      <c r="AN73" s="114"/>
      <c r="AO73" s="114"/>
      <c r="AP73" s="114"/>
      <c r="AQ73" s="114"/>
      <c r="AR73" s="114"/>
      <c r="AS73" s="114"/>
    </row>
    <row r="74" spans="1:45" s="387" customFormat="1" ht="42" customHeight="1">
      <c r="A74" s="22">
        <f>_xlfn.AGGREGATE(4,7,A$12:A73)+1</f>
        <v>62</v>
      </c>
      <c r="B74" s="1476" t="s">
        <v>2155</v>
      </c>
      <c r="C74" s="1483"/>
      <c r="D74" s="1484"/>
      <c r="E74" s="1485"/>
      <c r="F74" s="1485"/>
      <c r="G74" s="1485"/>
      <c r="H74" s="383" t="s">
        <v>2038</v>
      </c>
      <c r="I74" s="1471">
        <v>5851188</v>
      </c>
      <c r="J74" s="1472"/>
      <c r="K74" s="1473">
        <f t="shared" si="3"/>
        <v>0</v>
      </c>
      <c r="L74" s="1471">
        <f t="shared" si="4"/>
        <v>5851188</v>
      </c>
      <c r="M74" s="1473">
        <f t="shared" si="5"/>
        <v>7606544.4000000004</v>
      </c>
      <c r="N74" s="1474" t="str">
        <f>VLOOKUP(B74,'[27]Gui chi Quynh'!$B$11:$E$388,4,FALSE)</f>
        <v>A3</v>
      </c>
      <c r="O74" s="1473">
        <f t="shared" si="7"/>
        <v>4563927</v>
      </c>
      <c r="P74" s="1474">
        <f>IFERROR(INDEX('[21]CN HĐ'!$J$10:$J$74,MATCH(B74,'[21]CN HĐ'!$H$10:$H$74,0)),"")</f>
        <v>24</v>
      </c>
      <c r="Q74" s="1475">
        <f>IFERROR(INDEX('[22]CN HĐ'!$J$10:$J$74,MATCH(B74,'[22]CN HĐ'!$H$10:$H$74,0)),"")</f>
        <v>26</v>
      </c>
      <c r="R74" s="1475">
        <f>VLOOKUP(B74,'[23]CN HĐ'!$H$10:$J$74,3,FALSE)</f>
        <v>22.5</v>
      </c>
      <c r="S74" s="1475">
        <v>24</v>
      </c>
      <c r="T74" s="1475">
        <v>23</v>
      </c>
      <c r="U74" s="1475"/>
      <c r="V74" s="1493">
        <f t="shared" si="8"/>
        <v>4373763.375</v>
      </c>
      <c r="W74" s="642">
        <f t="shared" si="9"/>
        <v>62</v>
      </c>
      <c r="X74" s="643" t="str">
        <f>VLOOKUP(B74,'[28]CN HĐ'!$G$10:$L$73,6,FALSE)</f>
        <v>Trừ 1 ngày nghỉ phép 12/5</v>
      </c>
      <c r="Y74" s="114"/>
      <c r="Z74" s="114"/>
      <c r="AA74" s="114"/>
      <c r="AB74" s="114"/>
      <c r="AC74" s="114"/>
      <c r="AD74" s="114"/>
      <c r="AE74" s="114"/>
      <c r="AF74" s="114"/>
      <c r="AG74" s="114"/>
      <c r="AH74" s="114"/>
      <c r="AI74" s="114"/>
      <c r="AJ74" s="114"/>
      <c r="AK74" s="114"/>
      <c r="AL74" s="114"/>
      <c r="AM74" s="114"/>
      <c r="AN74" s="114"/>
      <c r="AO74" s="114"/>
      <c r="AP74" s="114"/>
      <c r="AQ74" s="114"/>
      <c r="AR74" s="114"/>
      <c r="AS74" s="114"/>
    </row>
    <row r="75" spans="1:45" s="387" customFormat="1" ht="30.75" customHeight="1">
      <c r="A75" s="22">
        <f>_xlfn.AGGREGATE(4,7,A$12:A74)+1</f>
        <v>63</v>
      </c>
      <c r="B75" s="1476" t="s">
        <v>2156</v>
      </c>
      <c r="C75" s="1483" t="s">
        <v>920</v>
      </c>
      <c r="D75" s="1484" t="s">
        <v>2157</v>
      </c>
      <c r="E75" s="1491" t="s">
        <v>2158</v>
      </c>
      <c r="F75" s="1492"/>
      <c r="G75" s="1492"/>
      <c r="H75" s="86" t="s">
        <v>2042</v>
      </c>
      <c r="I75" s="1471">
        <v>6956657</v>
      </c>
      <c r="J75" s="1472"/>
      <c r="K75" s="1473">
        <f t="shared" si="3"/>
        <v>0</v>
      </c>
      <c r="L75" s="1471">
        <f t="shared" si="4"/>
        <v>6956657</v>
      </c>
      <c r="M75" s="1473">
        <f t="shared" si="5"/>
        <v>9043654.0999999996</v>
      </c>
      <c r="N75" s="1474" t="str">
        <f>VLOOKUP(B75,'[27]Gui chi Quynh'!$B$11:$E$388,4,FALSE)</f>
        <v>A3</v>
      </c>
      <c r="O75" s="1473">
        <f t="shared" ref="O75" si="10">ROUND(IF(AND(N75="A1",M75*0.8),M75*0.8,IF(AND(N75="A2",M75*0.7),M75*0.7,IF(AND(N75="A3",M75*0.6),M75*0.6,IF(AND(N75="A4",M75*0.5),M75*0.5,IF(AND(N75="B1",M75*0.35),M75*0.35,IF(AND(N75="B2",M75*0.25),M75*0.25,IF(AND(N75="C1",M75*0.15),M75*0.15,IF(N75="C2",M75*0.1,0)))))))),)</f>
        <v>5426192</v>
      </c>
      <c r="P75" s="1474">
        <f>IFERROR(INDEX('[21]CN HĐ'!$J$10:$J$74,MATCH(B75,'[21]CN HĐ'!$H$10:$H$74,0)),"")</f>
        <v>23.5</v>
      </c>
      <c r="Q75" s="1475">
        <f>IFERROR(INDEX('[22]CN HĐ'!$J$10:$J$74,MATCH(B75,'[22]CN HĐ'!$H$10:$H$74,0)),"")</f>
        <v>25.5</v>
      </c>
      <c r="R75" s="1475">
        <f>VLOOKUP(B75,'[23]CN HĐ'!$H$10:$J$74,3,FALSE)</f>
        <v>23</v>
      </c>
      <c r="S75" s="1475">
        <v>24</v>
      </c>
      <c r="T75" s="1475">
        <v>24</v>
      </c>
      <c r="U75" s="1475"/>
      <c r="V75" s="1493">
        <f t="shared" si="8"/>
        <v>5426192</v>
      </c>
      <c r="W75" s="642">
        <f t="shared" si="9"/>
        <v>63</v>
      </c>
      <c r="X75" s="643">
        <f>VLOOKUP(B75,'[28]CN HĐ'!$G$10:$L$73,6,FALSE)</f>
        <v>0</v>
      </c>
      <c r="Y75" s="114"/>
      <c r="Z75" s="114"/>
      <c r="AA75" s="114"/>
      <c r="AB75" s="114"/>
      <c r="AC75" s="114"/>
      <c r="AD75" s="114"/>
      <c r="AE75" s="114"/>
      <c r="AF75" s="114"/>
      <c r="AG75" s="114"/>
      <c r="AH75" s="114"/>
      <c r="AI75" s="114"/>
      <c r="AJ75" s="114"/>
      <c r="AK75" s="114"/>
      <c r="AL75" s="114"/>
      <c r="AM75" s="114"/>
      <c r="AN75" s="114"/>
      <c r="AO75" s="114"/>
      <c r="AP75" s="114"/>
      <c r="AQ75" s="114"/>
      <c r="AR75" s="114"/>
      <c r="AS75" s="114"/>
    </row>
    <row r="76" spans="1:45" s="130" customFormat="1" ht="25.5" customHeight="1">
      <c r="A76" s="1479"/>
      <c r="B76" s="1480" t="s">
        <v>1109</v>
      </c>
      <c r="C76" s="1481"/>
      <c r="D76" s="1480"/>
      <c r="E76" s="1481"/>
      <c r="F76" s="1481"/>
      <c r="G76" s="1481"/>
      <c r="H76" s="1369"/>
      <c r="I76" s="1482">
        <f t="shared" ref="I76:V76" si="11">SUM(I13:I75)</f>
        <v>419161728</v>
      </c>
      <c r="J76" s="1482">
        <f t="shared" si="11"/>
        <v>0.18</v>
      </c>
      <c r="K76" s="1482">
        <f t="shared" si="11"/>
        <v>1978966.5</v>
      </c>
      <c r="L76" s="1482">
        <f t="shared" si="11"/>
        <v>421140694.5</v>
      </c>
      <c r="M76" s="1482">
        <f t="shared" si="11"/>
        <v>472319645.85000002</v>
      </c>
      <c r="N76" s="1482">
        <f t="shared" si="11"/>
        <v>0</v>
      </c>
      <c r="O76" s="1482">
        <f t="shared" si="11"/>
        <v>298101527</v>
      </c>
      <c r="P76" s="1482">
        <f t="shared" si="11"/>
        <v>1556</v>
      </c>
      <c r="Q76" s="1482">
        <f t="shared" si="11"/>
        <v>1577.5</v>
      </c>
      <c r="R76" s="1482">
        <f t="shared" si="11"/>
        <v>1390</v>
      </c>
      <c r="S76" s="1482">
        <f t="shared" si="11"/>
        <v>1512</v>
      </c>
      <c r="T76" s="1482"/>
      <c r="U76" s="1482">
        <f t="shared" si="11"/>
        <v>0</v>
      </c>
      <c r="V76" s="1482">
        <f>SUM(V13:V75)-1</f>
        <v>294220737.54166663</v>
      </c>
      <c r="W76" s="670"/>
      <c r="X76" s="672"/>
    </row>
    <row r="77" spans="1:45" ht="6" customHeight="1">
      <c r="N77" s="1"/>
      <c r="O77" s="1"/>
      <c r="P77" s="1"/>
      <c r="Q77" s="629"/>
      <c r="R77" s="629"/>
      <c r="S77" s="629"/>
      <c r="T77" s="629"/>
      <c r="U77" s="629"/>
      <c r="V77" s="3"/>
      <c r="X77" s="673"/>
    </row>
    <row r="78" spans="1:45" s="16" customFormat="1" ht="16.5" customHeight="1">
      <c r="B78" s="674" t="s">
        <v>2429</v>
      </c>
      <c r="C78" s="19"/>
      <c r="D78" s="524"/>
      <c r="E78" s="19"/>
      <c r="F78" s="19"/>
      <c r="G78" s="19"/>
      <c r="H78" s="15"/>
      <c r="I78" s="85"/>
      <c r="J78" s="85"/>
      <c r="K78" s="85"/>
      <c r="L78" s="85"/>
      <c r="M78" s="85"/>
      <c r="N78" s="1260"/>
      <c r="O78" s="1260"/>
      <c r="P78" s="605"/>
      <c r="Q78" s="623"/>
      <c r="R78" s="623"/>
      <c r="S78" s="623"/>
      <c r="T78" s="623"/>
      <c r="U78" s="623"/>
      <c r="V78" s="48"/>
      <c r="W78" s="605"/>
      <c r="X78" s="675"/>
    </row>
    <row r="79" spans="1:45" s="16" customFormat="1" ht="3.75" customHeight="1">
      <c r="B79" s="41"/>
      <c r="C79" s="19"/>
      <c r="D79" s="524"/>
      <c r="E79" s="19"/>
      <c r="F79" s="19"/>
      <c r="G79" s="19"/>
      <c r="H79" s="15"/>
      <c r="I79" s="85"/>
      <c r="J79" s="85"/>
      <c r="K79" s="85"/>
      <c r="L79" s="85"/>
      <c r="M79" s="85"/>
      <c r="N79" s="1260"/>
      <c r="O79" s="1260"/>
      <c r="P79" s="605"/>
      <c r="Q79" s="623"/>
      <c r="R79" s="623"/>
      <c r="S79" s="623"/>
      <c r="T79" s="623"/>
      <c r="U79" s="623"/>
      <c r="V79" s="48"/>
      <c r="W79" s="605"/>
      <c r="X79" s="102"/>
    </row>
    <row r="80" spans="1:45" ht="21.75" customHeight="1">
      <c r="N80" s="1762" t="s">
        <v>2449</v>
      </c>
      <c r="O80" s="1762"/>
      <c r="P80" s="1762"/>
      <c r="Q80" s="1762"/>
      <c r="R80" s="1762"/>
      <c r="S80" s="1762"/>
      <c r="T80" s="1762"/>
      <c r="U80" s="1762"/>
      <c r="V80" s="1762"/>
      <c r="W80" s="1762"/>
      <c r="X80" s="1762"/>
    </row>
    <row r="81" spans="1:24" ht="17.25" customHeight="1">
      <c r="N81" s="19"/>
      <c r="O81" s="19"/>
      <c r="P81" s="19"/>
      <c r="Q81" s="19"/>
      <c r="R81" s="19"/>
      <c r="S81" s="1678" t="s">
        <v>2303</v>
      </c>
      <c r="T81" s="1678"/>
      <c r="U81" s="1678"/>
      <c r="V81" s="1678"/>
      <c r="W81" s="1678"/>
      <c r="X81" s="1678"/>
    </row>
    <row r="82" spans="1:24" s="521" customFormat="1" ht="18" customHeight="1">
      <c r="A82" s="1763" t="s">
        <v>859</v>
      </c>
      <c r="B82" s="1763"/>
      <c r="C82" s="1763"/>
      <c r="D82" s="1763"/>
      <c r="E82" s="1763"/>
      <c r="F82" s="1763"/>
      <c r="G82" s="1763"/>
      <c r="H82" s="1763"/>
      <c r="I82" s="1764" t="s">
        <v>1446</v>
      </c>
      <c r="J82" s="1764"/>
      <c r="K82" s="1764"/>
      <c r="L82" s="1764"/>
      <c r="M82" s="1763" t="s">
        <v>1191</v>
      </c>
      <c r="N82" s="1763"/>
      <c r="O82" s="1763"/>
      <c r="P82" s="1496"/>
      <c r="Q82" s="1496"/>
      <c r="R82" s="1496"/>
      <c r="S82" s="1764" t="s">
        <v>2304</v>
      </c>
      <c r="T82" s="1764"/>
      <c r="U82" s="1764"/>
      <c r="V82" s="1764"/>
      <c r="W82" s="1764"/>
      <c r="X82" s="1764"/>
    </row>
    <row r="83" spans="1:24" s="16" customFormat="1" ht="15">
      <c r="A83" s="604"/>
      <c r="B83" s="604"/>
      <c r="C83" s="19"/>
      <c r="D83" s="524"/>
      <c r="E83" s="19"/>
      <c r="F83" s="19"/>
      <c r="G83" s="19"/>
      <c r="H83" s="604"/>
      <c r="I83" s="235"/>
      <c r="J83" s="235"/>
      <c r="K83" s="235"/>
      <c r="L83" s="235"/>
      <c r="M83" s="235"/>
      <c r="N83" s="558">
        <f>COUNTIF($N$13:$N$75,"A1")</f>
        <v>12</v>
      </c>
      <c r="O83" s="558"/>
      <c r="P83" s="604"/>
      <c r="Q83" s="622"/>
      <c r="R83" s="622"/>
      <c r="S83" s="1678"/>
      <c r="T83" s="1678"/>
      <c r="U83" s="1678"/>
      <c r="V83" s="1678"/>
      <c r="W83" s="1678"/>
      <c r="X83" s="1678"/>
    </row>
    <row r="84" spans="1:24" s="16" customFormat="1" ht="10.5" customHeight="1">
      <c r="D84" s="526"/>
      <c r="I84" s="235"/>
      <c r="J84" s="235"/>
      <c r="K84" s="235"/>
      <c r="L84" s="235"/>
      <c r="M84" s="235"/>
      <c r="N84" s="558">
        <f>COUNTIF($N$13:$N$75,"A2")</f>
        <v>8</v>
      </c>
      <c r="O84" s="558"/>
      <c r="P84" s="605"/>
      <c r="Q84" s="623"/>
      <c r="R84" s="623"/>
      <c r="S84" s="1655"/>
      <c r="T84" s="1655"/>
      <c r="U84" s="1655"/>
      <c r="V84" s="1655"/>
      <c r="W84" s="1655"/>
      <c r="X84" s="101"/>
    </row>
    <row r="85" spans="1:24" s="16" customFormat="1" ht="15.75">
      <c r="D85" s="526"/>
      <c r="I85" s="235"/>
      <c r="J85" s="235"/>
      <c r="K85" s="235"/>
      <c r="L85" s="235"/>
      <c r="M85" s="235"/>
      <c r="N85" s="558">
        <f>COUNTIF($N$13:$N$75,"A3")</f>
        <v>26</v>
      </c>
      <c r="O85" s="558"/>
      <c r="P85" s="605"/>
      <c r="Q85" s="623"/>
      <c r="R85" s="623"/>
      <c r="S85" s="1655"/>
      <c r="T85" s="1655"/>
      <c r="U85" s="1655"/>
      <c r="V85" s="410"/>
      <c r="W85" s="1655"/>
      <c r="X85" s="101"/>
    </row>
    <row r="86" spans="1:24" s="16" customFormat="1" ht="15">
      <c r="D86" s="526"/>
      <c r="I86" s="235"/>
      <c r="J86" s="235"/>
      <c r="K86" s="235"/>
      <c r="L86" s="235"/>
      <c r="M86" s="235"/>
      <c r="N86" s="558">
        <f>COUNTIF($N$13:$N$75,"A4")</f>
        <v>15</v>
      </c>
      <c r="O86" s="558"/>
      <c r="P86" s="605"/>
      <c r="Q86" s="623"/>
      <c r="R86" s="623"/>
      <c r="S86" s="1655"/>
      <c r="T86" s="1655"/>
      <c r="U86" s="1655"/>
      <c r="V86" s="49"/>
      <c r="W86" s="1655"/>
      <c r="X86" s="101"/>
    </row>
    <row r="87" spans="1:24" s="16" customFormat="1" ht="15">
      <c r="D87" s="526"/>
      <c r="H87" s="605"/>
      <c r="I87" s="1263"/>
      <c r="J87" s="1263"/>
      <c r="K87" s="1263"/>
      <c r="L87" s="1261"/>
      <c r="M87" s="1361"/>
      <c r="N87" s="558"/>
      <c r="O87" s="558"/>
      <c r="P87" s="605"/>
      <c r="Q87" s="623"/>
      <c r="R87" s="623"/>
      <c r="S87" s="1655"/>
      <c r="T87" s="1655"/>
      <c r="U87" s="1655"/>
      <c r="V87" s="1655"/>
      <c r="W87" s="1655"/>
      <c r="X87" s="101"/>
    </row>
    <row r="88" spans="1:24" s="16" customFormat="1" ht="15">
      <c r="D88" s="526"/>
      <c r="H88" s="605"/>
      <c r="I88" s="1263"/>
      <c r="J88" s="1263"/>
      <c r="K88" s="1263"/>
      <c r="L88" s="1261"/>
      <c r="M88" s="1361"/>
      <c r="N88" s="14"/>
      <c r="O88" s="558"/>
      <c r="P88" s="605"/>
      <c r="Q88" s="623"/>
      <c r="R88" s="623"/>
      <c r="S88" s="1655"/>
      <c r="T88" s="1655"/>
      <c r="U88" s="1655"/>
      <c r="V88" s="1655"/>
      <c r="W88" s="1655"/>
      <c r="X88" s="101"/>
    </row>
    <row r="89" spans="1:24" s="16" customFormat="1" ht="15">
      <c r="A89" s="1678" t="s">
        <v>1827</v>
      </c>
      <c r="B89" s="1678"/>
      <c r="C89" s="1678"/>
      <c r="D89" s="1678"/>
      <c r="E89" s="1678"/>
      <c r="F89" s="1678"/>
      <c r="G89" s="1678"/>
      <c r="H89" s="1678"/>
      <c r="I89" s="1681"/>
      <c r="J89" s="1681"/>
      <c r="K89" s="1681"/>
      <c r="L89" s="1681"/>
      <c r="M89" s="1678" t="s">
        <v>1445</v>
      </c>
      <c r="N89" s="1678"/>
      <c r="O89" s="1678"/>
      <c r="P89" s="185"/>
      <c r="Q89" s="185"/>
      <c r="R89" s="185"/>
      <c r="S89" s="1681" t="s">
        <v>1447</v>
      </c>
      <c r="T89" s="1681"/>
      <c r="U89" s="1681"/>
      <c r="V89" s="1681"/>
      <c r="W89" s="1681"/>
      <c r="X89" s="1681"/>
    </row>
    <row r="90" spans="1:24" ht="15.75">
      <c r="A90" s="6"/>
      <c r="I90" s="253"/>
      <c r="J90" s="253"/>
      <c r="K90" s="253"/>
      <c r="L90" s="253"/>
      <c r="M90" s="253"/>
      <c r="N90" s="7"/>
      <c r="O90" s="7"/>
      <c r="S90" s="2"/>
      <c r="T90" s="2"/>
      <c r="U90" s="2"/>
    </row>
    <row r="91" spans="1:24" ht="15.75" customHeight="1">
      <c r="A91" s="6"/>
      <c r="B91" s="678"/>
      <c r="C91" s="678"/>
      <c r="D91" s="678"/>
      <c r="E91" s="678"/>
      <c r="F91" s="678"/>
      <c r="G91" s="678"/>
      <c r="H91" s="678"/>
      <c r="I91" s="678"/>
      <c r="J91" s="678"/>
      <c r="K91" s="678"/>
      <c r="L91" s="678"/>
      <c r="M91" s="678"/>
      <c r="N91" s="678"/>
      <c r="O91" s="678"/>
      <c r="P91" s="678"/>
      <c r="Q91" s="678"/>
      <c r="R91" s="678"/>
      <c r="S91" s="678"/>
      <c r="T91" s="678"/>
      <c r="U91" s="678"/>
      <c r="V91" s="678"/>
    </row>
    <row r="94" spans="1:24">
      <c r="C94" s="84"/>
    </row>
    <row r="147" ht="15.75" customHeight="1"/>
  </sheetData>
  <mergeCells count="31">
    <mergeCell ref="A5:X5"/>
    <mergeCell ref="A6:X6"/>
    <mergeCell ref="A7:X7"/>
    <mergeCell ref="B10:C11"/>
    <mergeCell ref="H10:H11"/>
    <mergeCell ref="I10:M10"/>
    <mergeCell ref="N8:O8"/>
    <mergeCell ref="A10:A11"/>
    <mergeCell ref="N10:O10"/>
    <mergeCell ref="U10:U11"/>
    <mergeCell ref="V10:V11"/>
    <mergeCell ref="W10:X11"/>
    <mergeCell ref="S10:T10"/>
    <mergeCell ref="N1:X1"/>
    <mergeCell ref="N2:X2"/>
    <mergeCell ref="A1:K1"/>
    <mergeCell ref="A2:K2"/>
    <mergeCell ref="A3:K3"/>
    <mergeCell ref="W12:X12"/>
    <mergeCell ref="N80:X80"/>
    <mergeCell ref="A82:H82"/>
    <mergeCell ref="A89:H89"/>
    <mergeCell ref="S82:X82"/>
    <mergeCell ref="S83:X83"/>
    <mergeCell ref="I82:L82"/>
    <mergeCell ref="I89:L89"/>
    <mergeCell ref="M82:O82"/>
    <mergeCell ref="M89:O89"/>
    <mergeCell ref="S81:X81"/>
    <mergeCell ref="S89:X89"/>
    <mergeCell ref="B12:C12"/>
  </mergeCells>
  <conditionalFormatting sqref="A82 A89 D29 D14:D15 D46 D70:D72 D44:G45 E57:G57 D47:G47 E59:G59 D73:G75 E53:G55 D30:G32 D60:H61 B33:C43 H53:H59 D13:H13 A10:B10 N10 U10:W10 P10:S10 D10:I10 D11:G11 A1:A3 A8:M8 A80:M81 D48:D59 H29:H47 E48:H52 L1:M2 A83:S83 M82 M89 D62:G69 H62:H75 V13:W75 A13:A75 B16:C28 H14:H27 I13:P75 P8:X8 A79:X79 A77:W78 A84:X88 A9:X9 A76:X76 A4:X7 L3:X3 I11:T11 A12:W12 Y1:IR89 A90:XFD65539">
    <cfRule type="cellIs" dxfId="206" priority="88" stopIfTrue="1" operator="equal">
      <formula>"KXL"</formula>
    </cfRule>
    <cfRule type="cellIs" dxfId="205" priority="89" stopIfTrue="1" operator="equal">
      <formula>"A DN"</formula>
    </cfRule>
    <cfRule type="cellIs" dxfId="204" priority="90" stopIfTrue="1" operator="equal">
      <formula>"C"</formula>
    </cfRule>
    <cfRule type="cellIs" dxfId="203" priority="91" stopIfTrue="1" operator="equal">
      <formula>"B"</formula>
    </cfRule>
  </conditionalFormatting>
  <conditionalFormatting sqref="N13:O75">
    <cfRule type="cellIs" dxfId="202" priority="87" stopIfTrue="1" operator="equal">
      <formula>"D"</formula>
    </cfRule>
  </conditionalFormatting>
  <conditionalFormatting sqref="E33:G33">
    <cfRule type="cellIs" dxfId="201" priority="79" stopIfTrue="1" operator="equal">
      <formula>"KXL"</formula>
    </cfRule>
    <cfRule type="cellIs" dxfId="200" priority="80" stopIfTrue="1" operator="equal">
      <formula>"A DN"</formula>
    </cfRule>
    <cfRule type="cellIs" dxfId="199" priority="81" stopIfTrue="1" operator="equal">
      <formula>"C"</formula>
    </cfRule>
    <cfRule type="cellIs" dxfId="198" priority="82" stopIfTrue="1" operator="equal">
      <formula>"B"</formula>
    </cfRule>
  </conditionalFormatting>
  <conditionalFormatting sqref="E70:G72">
    <cfRule type="cellIs" dxfId="197" priority="43" stopIfTrue="1" operator="equal">
      <formula>"KXL"</formula>
    </cfRule>
    <cfRule type="cellIs" dxfId="196" priority="44" stopIfTrue="1" operator="equal">
      <formula>"A DN"</formula>
    </cfRule>
    <cfRule type="cellIs" dxfId="195" priority="45" stopIfTrue="1" operator="equal">
      <formula>"C"</formula>
    </cfRule>
    <cfRule type="cellIs" dxfId="194" priority="46" stopIfTrue="1" operator="equal">
      <formula>"B"</formula>
    </cfRule>
  </conditionalFormatting>
  <conditionalFormatting sqref="E29:G29">
    <cfRule type="cellIs" dxfId="193" priority="71" stopIfTrue="1" operator="equal">
      <formula>"KXL"</formula>
    </cfRule>
    <cfRule type="cellIs" dxfId="192" priority="72" stopIfTrue="1" operator="equal">
      <formula>"A DN"</formula>
    </cfRule>
    <cfRule type="cellIs" dxfId="191" priority="73" stopIfTrue="1" operator="equal">
      <formula>"C"</formula>
    </cfRule>
    <cfRule type="cellIs" dxfId="190" priority="74" stopIfTrue="1" operator="equal">
      <formula>"B"</formula>
    </cfRule>
  </conditionalFormatting>
  <conditionalFormatting sqref="E23:G28">
    <cfRule type="cellIs" dxfId="189" priority="67" stopIfTrue="1" operator="equal">
      <formula>"KXL"</formula>
    </cfRule>
    <cfRule type="cellIs" dxfId="188" priority="68" stopIfTrue="1" operator="equal">
      <formula>"A DN"</formula>
    </cfRule>
    <cfRule type="cellIs" dxfId="187" priority="69" stopIfTrue="1" operator="equal">
      <formula>"C"</formula>
    </cfRule>
    <cfRule type="cellIs" dxfId="186" priority="70" stopIfTrue="1" operator="equal">
      <formula>"B"</formula>
    </cfRule>
  </conditionalFormatting>
  <conditionalFormatting sqref="E36:G36">
    <cfRule type="cellIs" dxfId="185" priority="63" stopIfTrue="1" operator="equal">
      <formula>"KXL"</formula>
    </cfRule>
    <cfRule type="cellIs" dxfId="184" priority="64" stopIfTrue="1" operator="equal">
      <formula>"A DN"</formula>
    </cfRule>
    <cfRule type="cellIs" dxfId="183" priority="65" stopIfTrue="1" operator="equal">
      <formula>"C"</formula>
    </cfRule>
    <cfRule type="cellIs" dxfId="182" priority="66" stopIfTrue="1" operator="equal">
      <formula>"B"</formula>
    </cfRule>
  </conditionalFormatting>
  <conditionalFormatting sqref="E46:G46">
    <cfRule type="cellIs" dxfId="181" priority="59" stopIfTrue="1" operator="equal">
      <formula>"KXL"</formula>
    </cfRule>
    <cfRule type="cellIs" dxfId="180" priority="60" stopIfTrue="1" operator="equal">
      <formula>"A DN"</formula>
    </cfRule>
    <cfRule type="cellIs" dxfId="179" priority="61" stopIfTrue="1" operator="equal">
      <formula>"C"</formula>
    </cfRule>
    <cfRule type="cellIs" dxfId="178" priority="62" stopIfTrue="1" operator="equal">
      <formula>"B"</formula>
    </cfRule>
  </conditionalFormatting>
  <conditionalFormatting sqref="E56:G56">
    <cfRule type="cellIs" dxfId="177" priority="51" stopIfTrue="1" operator="equal">
      <formula>"KXL"</formula>
    </cfRule>
    <cfRule type="cellIs" dxfId="176" priority="52" stopIfTrue="1" operator="equal">
      <formula>"A DN"</formula>
    </cfRule>
    <cfRule type="cellIs" dxfId="175" priority="53" stopIfTrue="1" operator="equal">
      <formula>"C"</formula>
    </cfRule>
    <cfRule type="cellIs" dxfId="174" priority="54" stopIfTrue="1" operator="equal">
      <formula>"B"</formula>
    </cfRule>
  </conditionalFormatting>
  <conditionalFormatting sqref="E58:G58">
    <cfRule type="cellIs" dxfId="173" priority="47" stopIfTrue="1" operator="equal">
      <formula>"KXL"</formula>
    </cfRule>
    <cfRule type="cellIs" dxfId="172" priority="48" stopIfTrue="1" operator="equal">
      <formula>"A DN"</formula>
    </cfRule>
    <cfRule type="cellIs" dxfId="171" priority="49" stopIfTrue="1" operator="equal">
      <formula>"C"</formula>
    </cfRule>
    <cfRule type="cellIs" dxfId="170" priority="50" stopIfTrue="1" operator="equal">
      <formula>"B"</formula>
    </cfRule>
  </conditionalFormatting>
  <conditionalFormatting sqref="H28">
    <cfRule type="cellIs" dxfId="169" priority="39" stopIfTrue="1" operator="equal">
      <formula>"KXL"</formula>
    </cfRule>
    <cfRule type="cellIs" dxfId="168" priority="40" stopIfTrue="1" operator="equal">
      <formula>"A DN"</formula>
    </cfRule>
    <cfRule type="cellIs" dxfId="167" priority="41" stopIfTrue="1" operator="equal">
      <formula>"C"</formula>
    </cfRule>
    <cfRule type="cellIs" dxfId="166" priority="42" stopIfTrue="1" operator="equal">
      <formula>"B"</formula>
    </cfRule>
  </conditionalFormatting>
  <conditionalFormatting sqref="N3:O7 N9:O9 N11:O75">
    <cfRule type="cellIs" dxfId="165" priority="92" operator="equal">
      <formula>"A DN"</formula>
    </cfRule>
    <cfRule type="cellIs" dxfId="164" priority="93" operator="equal">
      <formula>"D"</formula>
    </cfRule>
    <cfRule type="cellIs" dxfId="163" priority="94" operator="equal">
      <formula>"C2"</formula>
    </cfRule>
    <cfRule type="cellIs" dxfId="162" priority="95" operator="equal">
      <formula>"C1"</formula>
    </cfRule>
    <cfRule type="cellIs" dxfId="161" priority="96" operator="equal">
      <formula>"C"</formula>
    </cfRule>
    <cfRule type="cellIs" dxfId="160" priority="97" operator="equal">
      <formula>"B2"</formula>
    </cfRule>
    <cfRule type="cellIs" dxfId="159" priority="98" operator="equal">
      <formula>"B1"</formula>
    </cfRule>
    <cfRule type="cellIs" dxfId="158" priority="99" operator="equal">
      <formula>"B"</formula>
    </cfRule>
    <cfRule type="cellIs" dxfId="157" priority="100" operator="equal">
      <formula>"B1"</formula>
    </cfRule>
    <cfRule type="cellIs" dxfId="156" priority="101" operator="greaterThan">
      <formula>B</formula>
    </cfRule>
    <cfRule type="expression" dxfId="155" priority="102">
      <formula>#REF!</formula>
    </cfRule>
    <cfRule type="cellIs" dxfId="154" priority="103" operator="equal">
      <formula>#REF!</formula>
    </cfRule>
  </conditionalFormatting>
  <conditionalFormatting sqref="N10">
    <cfRule type="cellIs" dxfId="153" priority="4464" operator="equal">
      <formula>"A DN"</formula>
    </cfRule>
    <cfRule type="cellIs" dxfId="152" priority="4465" operator="equal">
      <formula>"D"</formula>
    </cfRule>
    <cfRule type="cellIs" dxfId="151" priority="4466" operator="equal">
      <formula>"C2"</formula>
    </cfRule>
    <cfRule type="cellIs" dxfId="150" priority="4467" operator="equal">
      <formula>"C1"</formula>
    </cfRule>
    <cfRule type="cellIs" dxfId="149" priority="4468" operator="equal">
      <formula>"C"</formula>
    </cfRule>
    <cfRule type="cellIs" dxfId="148" priority="4469" operator="equal">
      <formula>"B2"</formula>
    </cfRule>
    <cfRule type="cellIs" dxfId="147" priority="4470" operator="equal">
      <formula>"B1"</formula>
    </cfRule>
    <cfRule type="cellIs" dxfId="146" priority="4471" operator="equal">
      <formula>"B"</formula>
    </cfRule>
    <cfRule type="cellIs" dxfId="145" priority="4472" operator="equal">
      <formula>"B1"</formula>
    </cfRule>
    <cfRule type="cellIs" dxfId="144" priority="4473" operator="greaterThan">
      <formula>B</formula>
    </cfRule>
    <cfRule type="expression" dxfId="143" priority="4474">
      <formula>#REF!</formula>
    </cfRule>
    <cfRule type="cellIs" dxfId="142" priority="4475" operator="equal">
      <formula>#REF!</formula>
    </cfRule>
  </conditionalFormatting>
  <conditionalFormatting sqref="N83:O88 N90:O1048576 N48:N75 N23:O42">
    <cfRule type="cellIs" dxfId="141" priority="4782" operator="equal">
      <formula>"A DN"</formula>
    </cfRule>
    <cfRule type="cellIs" dxfId="140" priority="4783" operator="equal">
      <formula>"D"</formula>
    </cfRule>
    <cfRule type="cellIs" dxfId="139" priority="4784" operator="equal">
      <formula>"C2"</formula>
    </cfRule>
    <cfRule type="cellIs" dxfId="138" priority="4785" operator="equal">
      <formula>"C1"</formula>
    </cfRule>
    <cfRule type="cellIs" dxfId="137" priority="4786" operator="equal">
      <formula>"C"</formula>
    </cfRule>
    <cfRule type="cellIs" dxfId="136" priority="4787" operator="equal">
      <formula>"B2"</formula>
    </cfRule>
    <cfRule type="cellIs" dxfId="135" priority="4788" operator="equal">
      <formula>"B1"</formula>
    </cfRule>
    <cfRule type="cellIs" dxfId="134" priority="4789" operator="equal">
      <formula>"B"</formula>
    </cfRule>
    <cfRule type="cellIs" dxfId="133" priority="4790" operator="equal">
      <formula>"B1"</formula>
    </cfRule>
    <cfRule type="cellIs" dxfId="132" priority="4791" operator="greaterThan">
      <formula>B</formula>
    </cfRule>
    <cfRule type="expression" dxfId="131" priority="4792">
      <formula>C17</formula>
    </cfRule>
    <cfRule type="cellIs" dxfId="130" priority="4793" operator="equal">
      <formula>C17</formula>
    </cfRule>
  </conditionalFormatting>
  <conditionalFormatting sqref="N48:O75">
    <cfRule type="cellIs" dxfId="129" priority="4806" operator="equal">
      <formula>"A DN"</formula>
    </cfRule>
    <cfRule type="cellIs" dxfId="128" priority="4807" operator="equal">
      <formula>"D"</formula>
    </cfRule>
    <cfRule type="cellIs" dxfId="127" priority="4808" operator="equal">
      <formula>"C2"</formula>
    </cfRule>
    <cfRule type="cellIs" dxfId="126" priority="4809" operator="equal">
      <formula>"C1"</formula>
    </cfRule>
    <cfRule type="cellIs" dxfId="125" priority="4810" operator="equal">
      <formula>"C"</formula>
    </cfRule>
    <cfRule type="cellIs" dxfId="124" priority="4811" operator="equal">
      <formula>"B2"</formula>
    </cfRule>
    <cfRule type="cellIs" dxfId="123" priority="4812" operator="equal">
      <formula>"B1"</formula>
    </cfRule>
    <cfRule type="cellIs" dxfId="122" priority="4813" operator="equal">
      <formula>"B"</formula>
    </cfRule>
    <cfRule type="cellIs" dxfId="121" priority="4814" operator="equal">
      <formula>"B1"</formula>
    </cfRule>
    <cfRule type="cellIs" dxfId="120" priority="4815" operator="greaterThan">
      <formula>B</formula>
    </cfRule>
    <cfRule type="expression" dxfId="119" priority="4816">
      <formula>C43</formula>
    </cfRule>
    <cfRule type="cellIs" dxfId="118" priority="4817" operator="equal">
      <formula>C43</formula>
    </cfRule>
  </conditionalFormatting>
  <conditionalFormatting sqref="N48:N68 N67:O75 N28:O56">
    <cfRule type="cellIs" dxfId="117" priority="4854" operator="equal">
      <formula>"A DN"</formula>
    </cfRule>
    <cfRule type="cellIs" dxfId="116" priority="4855" operator="equal">
      <formula>"D"</formula>
    </cfRule>
    <cfRule type="cellIs" dxfId="115" priority="4856" operator="equal">
      <formula>"C2"</formula>
    </cfRule>
    <cfRule type="cellIs" dxfId="114" priority="4857" operator="equal">
      <formula>"C1"</formula>
    </cfRule>
    <cfRule type="cellIs" dxfId="113" priority="4858" operator="equal">
      <formula>"C"</formula>
    </cfRule>
    <cfRule type="cellIs" dxfId="112" priority="4859" operator="equal">
      <formula>"B2"</formula>
    </cfRule>
    <cfRule type="cellIs" dxfId="111" priority="4860" operator="equal">
      <formula>"B1"</formula>
    </cfRule>
    <cfRule type="cellIs" dxfId="110" priority="4861" operator="equal">
      <formula>"B"</formula>
    </cfRule>
    <cfRule type="cellIs" dxfId="109" priority="4862" operator="equal">
      <formula>"B1"</formula>
    </cfRule>
    <cfRule type="cellIs" dxfId="108" priority="4863" operator="greaterThan">
      <formula>B</formula>
    </cfRule>
    <cfRule type="expression" dxfId="107" priority="4864">
      <formula>C21</formula>
    </cfRule>
    <cfRule type="cellIs" dxfId="106" priority="4865" operator="equal">
      <formula>C21</formula>
    </cfRule>
  </conditionalFormatting>
  <conditionalFormatting sqref="N43:O47 N69:O79 N48:N68">
    <cfRule type="cellIs" dxfId="105" priority="4902" operator="equal">
      <formula>"A DN"</formula>
    </cfRule>
    <cfRule type="cellIs" dxfId="104" priority="4903" operator="equal">
      <formula>"D"</formula>
    </cfRule>
    <cfRule type="cellIs" dxfId="103" priority="4904" operator="equal">
      <formula>"C2"</formula>
    </cfRule>
    <cfRule type="cellIs" dxfId="102" priority="4905" operator="equal">
      <formula>"C1"</formula>
    </cfRule>
    <cfRule type="cellIs" dxfId="101" priority="4906" operator="equal">
      <formula>"C"</formula>
    </cfRule>
    <cfRule type="cellIs" dxfId="100" priority="4907" operator="equal">
      <formula>"B2"</formula>
    </cfRule>
    <cfRule type="cellIs" dxfId="99" priority="4908" operator="equal">
      <formula>"B1"</formula>
    </cfRule>
    <cfRule type="cellIs" dxfId="98" priority="4909" operator="equal">
      <formula>"B"</formula>
    </cfRule>
    <cfRule type="cellIs" dxfId="97" priority="4910" operator="equal">
      <formula>"B1"</formula>
    </cfRule>
    <cfRule type="cellIs" dxfId="96" priority="4911" operator="greaterThan">
      <formula>B</formula>
    </cfRule>
    <cfRule type="expression" dxfId="95" priority="4912">
      <formula>C39</formula>
    </cfRule>
    <cfRule type="cellIs" dxfId="94" priority="4913" operator="equal">
      <formula>C39</formula>
    </cfRule>
  </conditionalFormatting>
  <conditionalFormatting sqref="N43:O43">
    <cfRule type="cellIs" dxfId="93" priority="4926" operator="equal">
      <formula>"A DN"</formula>
    </cfRule>
    <cfRule type="cellIs" dxfId="92" priority="4927" operator="equal">
      <formula>"D"</formula>
    </cfRule>
    <cfRule type="cellIs" dxfId="91" priority="4928" operator="equal">
      <formula>"C2"</formula>
    </cfRule>
    <cfRule type="cellIs" dxfId="90" priority="4929" operator="equal">
      <formula>"C1"</formula>
    </cfRule>
    <cfRule type="cellIs" dxfId="89" priority="4930" operator="equal">
      <formula>"C"</formula>
    </cfRule>
    <cfRule type="cellIs" dxfId="88" priority="4931" operator="equal">
      <formula>"B2"</formula>
    </cfRule>
    <cfRule type="cellIs" dxfId="87" priority="4932" operator="equal">
      <formula>"B1"</formula>
    </cfRule>
    <cfRule type="cellIs" dxfId="86" priority="4933" operator="equal">
      <formula>"B"</formula>
    </cfRule>
    <cfRule type="cellIs" dxfId="85" priority="4934" operator="equal">
      <formula>"B1"</formula>
    </cfRule>
    <cfRule type="cellIs" dxfId="84" priority="4935" operator="greaterThan">
      <formula>B</formula>
    </cfRule>
    <cfRule type="expression" dxfId="83" priority="4936">
      <formula>C35</formula>
    </cfRule>
    <cfRule type="cellIs" dxfId="82" priority="4937" operator="equal">
      <formula>C35</formula>
    </cfRule>
  </conditionalFormatting>
  <conditionalFormatting sqref="N43:O43 N69:N75">
    <cfRule type="cellIs" dxfId="81" priority="4950" operator="equal">
      <formula>"A DN"</formula>
    </cfRule>
    <cfRule type="cellIs" dxfId="80" priority="4951" operator="equal">
      <formula>"D"</formula>
    </cfRule>
    <cfRule type="cellIs" dxfId="79" priority="4952" operator="equal">
      <formula>"C2"</formula>
    </cfRule>
    <cfRule type="cellIs" dxfId="78" priority="4953" operator="equal">
      <formula>"C1"</formula>
    </cfRule>
    <cfRule type="cellIs" dxfId="77" priority="4954" operator="equal">
      <formula>"C"</formula>
    </cfRule>
    <cfRule type="cellIs" dxfId="76" priority="4955" operator="equal">
      <formula>"B2"</formula>
    </cfRule>
    <cfRule type="cellIs" dxfId="75" priority="4956" operator="equal">
      <formula>"B1"</formula>
    </cfRule>
    <cfRule type="cellIs" dxfId="74" priority="4957" operator="equal">
      <formula>"B"</formula>
    </cfRule>
    <cfRule type="cellIs" dxfId="73" priority="4958" operator="equal">
      <formula>"B1"</formula>
    </cfRule>
    <cfRule type="cellIs" dxfId="72" priority="4959" operator="greaterThan">
      <formula>B</formula>
    </cfRule>
    <cfRule type="expression" dxfId="71" priority="4960">
      <formula>C41</formula>
    </cfRule>
    <cfRule type="cellIs" dxfId="70" priority="4961" operator="equal">
      <formula>C41</formula>
    </cfRule>
  </conditionalFormatting>
  <conditionalFormatting sqref="N48:O66 N50:N75">
    <cfRule type="cellIs" dxfId="69" priority="5491" operator="equal">
      <formula>"A DN"</formula>
    </cfRule>
    <cfRule type="cellIs" dxfId="68" priority="5492" operator="equal">
      <formula>"D"</formula>
    </cfRule>
    <cfRule type="cellIs" dxfId="67" priority="5493" operator="equal">
      <formula>"C2"</formula>
    </cfRule>
    <cfRule type="cellIs" dxfId="66" priority="5494" operator="equal">
      <formula>"C1"</formula>
    </cfRule>
    <cfRule type="cellIs" dxfId="65" priority="5495" operator="equal">
      <formula>"C"</formula>
    </cfRule>
    <cfRule type="cellIs" dxfId="64" priority="5496" operator="equal">
      <formula>"B2"</formula>
    </cfRule>
    <cfRule type="cellIs" dxfId="63" priority="5497" operator="equal">
      <formula>"B1"</formula>
    </cfRule>
    <cfRule type="cellIs" dxfId="62" priority="5498" operator="equal">
      <formula>"B"</formula>
    </cfRule>
    <cfRule type="cellIs" dxfId="61" priority="5499" operator="equal">
      <formula>"B1"</formula>
    </cfRule>
    <cfRule type="cellIs" dxfId="60" priority="5500" operator="greaterThan">
      <formula>B</formula>
    </cfRule>
    <cfRule type="expression" dxfId="59" priority="5501">
      <formula>C45</formula>
    </cfRule>
    <cfRule type="cellIs" dxfId="58" priority="5502" operator="equal">
      <formula>C45</formula>
    </cfRule>
  </conditionalFormatting>
  <pageMargins left="0.27559055118110237" right="0.15748031496062992" top="0.33" bottom="0.28000000000000003" header="0.11811023622047245" footer="0.16"/>
  <pageSetup paperSize="9" scale="9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NOT(ISERROR(SEARCH(B,N3)))</xm:f>
            <xm:f>B</xm:f>
            <x14:dxf>
              <fill>
                <patternFill>
                  <bgColor theme="9" tint="0.59996337778862885"/>
                </patternFill>
              </fill>
            </x14:dxf>
          </x14:cfRule>
          <xm:sqref>N10 N3:O7 N9:O9 N83:O88 N90:O1048576 N11:O79</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46"/>
  <sheetViews>
    <sheetView zoomScaleNormal="100" workbookViewId="0">
      <selection activeCell="L15" sqref="L15"/>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7.140625" style="1272" hidden="1" customWidth="1"/>
    <col min="7" max="7" width="12.42578125" style="1272" customWidth="1"/>
    <col min="8" max="8" width="13.85546875" style="1272" customWidth="1"/>
    <col min="9" max="9" width="14.85546875" style="1272" customWidth="1"/>
    <col min="10" max="10" width="3.85546875" style="1272" customWidth="1"/>
    <col min="11" max="11" width="17.42578125" style="1124" customWidth="1"/>
    <col min="12" max="16384" width="9.140625" style="1272"/>
  </cols>
  <sheetData>
    <row r="1" spans="1:18">
      <c r="A1" s="1703" t="s">
        <v>492</v>
      </c>
      <c r="B1" s="1703"/>
      <c r="C1" s="1703"/>
      <c r="D1" s="1703"/>
      <c r="E1" s="1703"/>
      <c r="F1" s="1704"/>
      <c r="G1" s="1704"/>
      <c r="H1" s="1704"/>
      <c r="I1" s="1704"/>
      <c r="J1" s="1704"/>
      <c r="K1" s="1704"/>
    </row>
    <row r="2" spans="1:18" ht="15" customHeight="1">
      <c r="A2" s="1704" t="s">
        <v>1563</v>
      </c>
      <c r="B2" s="1704"/>
      <c r="C2" s="1704"/>
      <c r="D2" s="1704"/>
      <c r="E2" s="1704"/>
      <c r="F2" s="1704"/>
      <c r="G2" s="1704"/>
      <c r="H2" s="1704"/>
      <c r="I2" s="1704"/>
      <c r="J2" s="1704"/>
      <c r="K2" s="1704"/>
    </row>
    <row r="3" spans="1:18" ht="16.5" customHeight="1">
      <c r="A3" s="1704" t="s">
        <v>1564</v>
      </c>
      <c r="B3" s="1704"/>
      <c r="C3" s="1704"/>
      <c r="D3" s="1704"/>
      <c r="E3" s="1704"/>
      <c r="F3" s="1388"/>
      <c r="G3" s="1388"/>
      <c r="H3" s="1388"/>
      <c r="I3" s="1388"/>
      <c r="J3" s="1120"/>
    </row>
    <row r="4" spans="1:18" ht="9" customHeight="1">
      <c r="A4" s="1389"/>
      <c r="B4" s="1389"/>
      <c r="C4" s="1389"/>
      <c r="D4" s="1389"/>
      <c r="E4" s="1389"/>
      <c r="F4" s="1388"/>
      <c r="G4" s="1388"/>
      <c r="H4" s="1388"/>
      <c r="I4" s="1388"/>
      <c r="J4" s="1120"/>
    </row>
    <row r="5" spans="1:18" ht="18.75" customHeight="1">
      <c r="A5" s="1690" t="s">
        <v>2183</v>
      </c>
      <c r="B5" s="1690"/>
      <c r="C5" s="1690"/>
      <c r="D5" s="1690"/>
      <c r="E5" s="1690"/>
      <c r="F5" s="1690"/>
      <c r="G5" s="1690"/>
      <c r="H5" s="1690"/>
      <c r="I5" s="1690"/>
      <c r="J5" s="1690"/>
      <c r="K5" s="1690"/>
    </row>
    <row r="6" spans="1:18" ht="18.75" customHeight="1">
      <c r="A6" s="1706" t="s">
        <v>2448</v>
      </c>
      <c r="B6" s="1706"/>
      <c r="C6" s="1706"/>
      <c r="D6" s="1706"/>
      <c r="E6" s="1706"/>
      <c r="F6" s="1706"/>
      <c r="G6" s="1706"/>
      <c r="H6" s="1706"/>
      <c r="I6" s="1706"/>
      <c r="J6" s="1706"/>
      <c r="K6" s="1706"/>
    </row>
    <row r="7" spans="1:18" ht="17.25" customHeight="1">
      <c r="A7" s="1124"/>
      <c r="B7" s="1119"/>
      <c r="C7" s="1119"/>
      <c r="D7" s="1121"/>
      <c r="E7" s="1121"/>
      <c r="F7" s="1464">
        <v>2340000</v>
      </c>
      <c r="G7" s="1464"/>
      <c r="H7" s="1464"/>
      <c r="I7" s="1464"/>
      <c r="J7" s="1124"/>
    </row>
    <row r="8" spans="1:18" s="1384" customFormat="1" ht="27.75" customHeight="1">
      <c r="A8" s="1710" t="s">
        <v>853</v>
      </c>
      <c r="B8" s="1710" t="s">
        <v>854</v>
      </c>
      <c r="C8" s="1380" t="s">
        <v>1598</v>
      </c>
      <c r="D8" s="1381" t="s">
        <v>50</v>
      </c>
      <c r="E8" s="1710" t="s">
        <v>2176</v>
      </c>
      <c r="F8" s="1710" t="s">
        <v>1100</v>
      </c>
      <c r="G8" s="1710" t="s">
        <v>2399</v>
      </c>
      <c r="H8" s="1710" t="s">
        <v>2400</v>
      </c>
      <c r="I8" s="1710" t="s">
        <v>1100</v>
      </c>
      <c r="J8" s="1719" t="s">
        <v>40</v>
      </c>
      <c r="K8" s="1720"/>
    </row>
    <row r="9" spans="1:18" s="1384" customFormat="1" ht="23.25" customHeight="1">
      <c r="A9" s="1711"/>
      <c r="B9" s="1711"/>
      <c r="C9" s="1380"/>
      <c r="D9" s="1381"/>
      <c r="E9" s="1711"/>
      <c r="F9" s="1711"/>
      <c r="G9" s="1718"/>
      <c r="H9" s="1718"/>
      <c r="I9" s="1718"/>
      <c r="J9" s="1721"/>
      <c r="K9" s="1722"/>
    </row>
    <row r="10" spans="1:18" s="1130" customFormat="1" ht="15" customHeight="1">
      <c r="A10" s="1128" t="s">
        <v>1110</v>
      </c>
      <c r="B10" s="1128" t="s">
        <v>1111</v>
      </c>
      <c r="C10" s="1128" t="s">
        <v>1112</v>
      </c>
      <c r="D10" s="1128" t="s">
        <v>1113</v>
      </c>
      <c r="E10" s="1128" t="s">
        <v>1112</v>
      </c>
      <c r="F10" s="1128" t="s">
        <v>1122</v>
      </c>
      <c r="G10" s="1671" t="s">
        <v>1113</v>
      </c>
      <c r="H10" s="1671" t="s">
        <v>1114</v>
      </c>
      <c r="I10" s="1671" t="s">
        <v>1115</v>
      </c>
      <c r="J10" s="1723" t="s">
        <v>1116</v>
      </c>
      <c r="K10" s="1724"/>
    </row>
    <row r="11" spans="1:18" s="1148" customFormat="1" ht="27.75" customHeight="1">
      <c r="A11" s="1132">
        <f>_xlfn.AGGREGATE(4,7,A$10:A10)+1</f>
        <v>1</v>
      </c>
      <c r="B11" s="1133" t="s">
        <v>1447</v>
      </c>
      <c r="C11" s="1149" t="s">
        <v>1614</v>
      </c>
      <c r="D11" s="1150" t="s">
        <v>1442</v>
      </c>
      <c r="E11" s="1058" t="str">
        <f>VLOOKUP(B11,TH.Q2!B19:E350,4,FALSE)</f>
        <v>Phó Hiệu trưởng</v>
      </c>
      <c r="F11" s="1141">
        <v>11752416.000000002</v>
      </c>
      <c r="G11" s="1676">
        <f>F11/H11</f>
        <v>5.0224000000000011</v>
      </c>
      <c r="H11" s="1654">
        <v>2340000</v>
      </c>
      <c r="I11" s="1141">
        <f>G11*H11</f>
        <v>11752416.000000002</v>
      </c>
      <c r="J11" s="1142">
        <f>A11</f>
        <v>1</v>
      </c>
      <c r="K11" s="1143">
        <f>VLOOKUP(B11,'[28]CN BC'!$F$10:$K$270,6,FALSE)</f>
        <v>0</v>
      </c>
      <c r="L11" s="1146"/>
      <c r="M11" s="1146"/>
      <c r="N11" s="1146"/>
      <c r="O11" s="1146"/>
      <c r="P11" s="1146"/>
      <c r="Q11" s="1146"/>
      <c r="R11" s="1146"/>
    </row>
    <row r="12" spans="1:18" s="1148" customFormat="1" ht="27" customHeight="1">
      <c r="A12" s="1132">
        <f>_xlfn.AGGREGATE(4,7,A$10:A11)+1</f>
        <v>2</v>
      </c>
      <c r="B12" s="1133" t="s">
        <v>1845</v>
      </c>
      <c r="C12" s="1153" t="s">
        <v>1615</v>
      </c>
      <c r="D12" s="1154" t="s">
        <v>1255</v>
      </c>
      <c r="E12" s="383" t="str">
        <f>VLOOKUP(B12,TH.Q2!B20:E351,4,FALSE)</f>
        <v>Phó Hiệu trưởng</v>
      </c>
      <c r="F12" s="1141">
        <v>12093120</v>
      </c>
      <c r="G12" s="1676">
        <f t="shared" ref="G12:G75" si="0">F12/H12</f>
        <v>5.1680000000000001</v>
      </c>
      <c r="H12" s="1654">
        <v>2340000</v>
      </c>
      <c r="I12" s="1141">
        <f>G12*H12</f>
        <v>12093120</v>
      </c>
      <c r="J12" s="1142">
        <f>A12</f>
        <v>2</v>
      </c>
      <c r="K12" s="1143">
        <f>VLOOKUP(B12,'[28]CN BC'!$F$10:$K$270,6,FALSE)</f>
        <v>0</v>
      </c>
    </row>
    <row r="13" spans="1:18" s="1148" customFormat="1" ht="24.75" customHeight="1">
      <c r="A13" s="1132">
        <f>_xlfn.AGGREGATE(4,7,A$10:A12)+1</f>
        <v>3</v>
      </c>
      <c r="B13" s="1133" t="s">
        <v>1533</v>
      </c>
      <c r="C13" s="1153" t="s">
        <v>1954</v>
      </c>
      <c r="D13" s="1159" t="s">
        <v>1937</v>
      </c>
      <c r="E13" s="1058" t="str">
        <f>VLOOKUP(B13,TH.Q2!B21:E352,4,FALSE)</f>
        <v>Phó Hiệu trưởng</v>
      </c>
      <c r="F13" s="1141">
        <v>10632960.000000002</v>
      </c>
      <c r="G13" s="1676">
        <f t="shared" si="0"/>
        <v>4.5440000000000005</v>
      </c>
      <c r="H13" s="1654">
        <v>2340000</v>
      </c>
      <c r="I13" s="1141">
        <f t="shared" ref="I13:I76" si="1">G13*H13</f>
        <v>10632960.000000002</v>
      </c>
      <c r="J13" s="1142">
        <f>A13</f>
        <v>3</v>
      </c>
      <c r="K13" s="1143">
        <f>VLOOKUP(B13,'[28]CN BC'!$F$10:$K$270,6,FALSE)</f>
        <v>0</v>
      </c>
      <c r="L13" s="1146"/>
      <c r="M13" s="1146"/>
      <c r="N13" s="1146"/>
    </row>
    <row r="14" spans="1:18" s="1148" customFormat="1" ht="34.5" customHeight="1">
      <c r="A14" s="1132">
        <f>_xlfn.AGGREGATE(4,7,A$10:A13)+1</f>
        <v>4</v>
      </c>
      <c r="B14" s="1164" t="s">
        <v>1596</v>
      </c>
      <c r="C14" s="1165" t="s">
        <v>1623</v>
      </c>
      <c r="D14" s="1166">
        <v>1603205353720</v>
      </c>
      <c r="E14" s="1058" t="str">
        <f>VLOOKUP(B14,TH.Q2!B23:E354,4,FALSE)</f>
        <v>Phó Trưởng phòng Tổ chức - Hành chính - TH</v>
      </c>
      <c r="F14" s="1141">
        <v>7506720</v>
      </c>
      <c r="G14" s="1676">
        <f t="shared" si="0"/>
        <v>3.2080000000000002</v>
      </c>
      <c r="H14" s="1654">
        <v>2340000</v>
      </c>
      <c r="I14" s="1141">
        <f t="shared" si="1"/>
        <v>7506720</v>
      </c>
      <c r="J14" s="1142">
        <f>A14</f>
        <v>4</v>
      </c>
      <c r="K14" s="1143">
        <f>VLOOKUP(B14,'[28]CN BC'!$F$10:$K$270,6,FALSE)</f>
        <v>0</v>
      </c>
      <c r="L14" s="1146"/>
      <c r="M14" s="1146"/>
      <c r="N14" s="1146"/>
    </row>
    <row r="15" spans="1:18" s="1148" customFormat="1" ht="34.5" customHeight="1">
      <c r="A15" s="1132">
        <f>_xlfn.AGGREGATE(4,7,A$10:A14)+1</f>
        <v>5</v>
      </c>
      <c r="B15" s="1133" t="s">
        <v>1464</v>
      </c>
      <c r="C15" s="1153" t="s">
        <v>1660</v>
      </c>
      <c r="D15" s="1168">
        <v>1603205185719</v>
      </c>
      <c r="E15" s="1058" t="str">
        <f>VLOOKUP(B15,TH.Q2!B24:E355,4,FALSE)</f>
        <v>Phó Trưởng phòng Tổ chức - Hành chính - TH</v>
      </c>
      <c r="F15" s="1141">
        <v>6271200</v>
      </c>
      <c r="G15" s="1676">
        <f t="shared" si="0"/>
        <v>2.68</v>
      </c>
      <c r="H15" s="1654">
        <v>2340000</v>
      </c>
      <c r="I15" s="1141">
        <f t="shared" si="1"/>
        <v>6271200</v>
      </c>
      <c r="J15" s="1142">
        <f>A15</f>
        <v>5</v>
      </c>
      <c r="K15" s="1143">
        <f>VLOOKUP(B15,'[28]CN BC'!$F$10:$K$270,6,FALSE)</f>
        <v>0</v>
      </c>
      <c r="L15" s="1146"/>
      <c r="M15" s="1146"/>
      <c r="N15" s="1146"/>
    </row>
    <row r="16" spans="1:18" s="1148" customFormat="1" ht="34.5" customHeight="1">
      <c r="A16" s="1132">
        <f>_xlfn.AGGREGATE(4,7,A$10:A15)+1</f>
        <v>6</v>
      </c>
      <c r="B16" s="1164" t="s">
        <v>1603</v>
      </c>
      <c r="C16" s="1165" t="s">
        <v>1624</v>
      </c>
      <c r="D16" s="1166">
        <v>1603205545491</v>
      </c>
      <c r="E16" s="1058" t="str">
        <f>VLOOKUP(B16,TH.Q2!B32:E363,4,FALSE)</f>
        <v>NV Phòng Tổ chức - Hành chính - Tổng hợp</v>
      </c>
      <c r="F16" s="1141">
        <v>4998240</v>
      </c>
      <c r="G16" s="1676">
        <f t="shared" si="0"/>
        <v>2.1360000000000001</v>
      </c>
      <c r="H16" s="1654">
        <v>2340000</v>
      </c>
      <c r="I16" s="1141">
        <f t="shared" si="1"/>
        <v>4998240</v>
      </c>
      <c r="J16" s="1142">
        <f>A16</f>
        <v>6</v>
      </c>
      <c r="K16" s="1143">
        <f>VLOOKUP(B16,'[28]CN BC'!$F$10:$K$270,6,FALSE)</f>
        <v>0</v>
      </c>
      <c r="L16" s="1146"/>
      <c r="M16" s="1146"/>
      <c r="N16" s="1146"/>
    </row>
    <row r="17" spans="1:18" s="1148" customFormat="1" ht="34.5" customHeight="1">
      <c r="A17" s="1132">
        <f>_xlfn.AGGREGATE(4,7,A$10:A16)+1</f>
        <v>7</v>
      </c>
      <c r="B17" s="1133" t="s">
        <v>1846</v>
      </c>
      <c r="C17" s="1153" t="s">
        <v>1618</v>
      </c>
      <c r="D17" s="1154" t="s">
        <v>1264</v>
      </c>
      <c r="E17" s="1058" t="str">
        <f>VLOOKUP(B17,TH.Q2!B25:E356,4,FALSE)</f>
        <v>NV Phòng Tổ chức - Hành chính - Tổng hợp</v>
      </c>
      <c r="F17" s="1141">
        <v>6372229.5</v>
      </c>
      <c r="G17" s="1676">
        <f t="shared" si="0"/>
        <v>2.7231749999999999</v>
      </c>
      <c r="H17" s="1654">
        <v>2340000</v>
      </c>
      <c r="I17" s="1141">
        <f t="shared" si="1"/>
        <v>6372229.5</v>
      </c>
      <c r="J17" s="1142">
        <f>A17</f>
        <v>7</v>
      </c>
      <c r="K17" s="1143">
        <f>VLOOKUP(B17,'[28]CN BC'!$F$10:$K$270,6,FALSE)</f>
        <v>0</v>
      </c>
      <c r="L17" s="1146"/>
      <c r="M17" s="1146"/>
      <c r="N17" s="1146"/>
    </row>
    <row r="18" spans="1:18" s="1148" customFormat="1" ht="34.5" customHeight="1">
      <c r="A18" s="1132">
        <f>_xlfn.AGGREGATE(4,7,A$10:A17)+1</f>
        <v>8</v>
      </c>
      <c r="B18" s="1133" t="s">
        <v>1847</v>
      </c>
      <c r="C18" s="1149" t="s">
        <v>1643</v>
      </c>
      <c r="D18" s="1154" t="s">
        <v>8</v>
      </c>
      <c r="E18" s="1058" t="str">
        <f>VLOOKUP(B18,TH.Q2!B30:E361,4,FALSE)</f>
        <v>NV Phòng Tổ chức - Hành chính - Tổng hợp</v>
      </c>
      <c r="F18" s="1141">
        <v>5601960</v>
      </c>
      <c r="G18" s="1676">
        <f t="shared" si="0"/>
        <v>2.3940000000000001</v>
      </c>
      <c r="H18" s="1654">
        <v>2340000</v>
      </c>
      <c r="I18" s="1141">
        <f t="shared" si="1"/>
        <v>5601960</v>
      </c>
      <c r="J18" s="1142">
        <f>A18</f>
        <v>8</v>
      </c>
      <c r="K18" s="1143">
        <f>VLOOKUP(B18,'[28]CN BC'!$F$10:$K$270,6,FALSE)</f>
        <v>0</v>
      </c>
      <c r="L18" s="1146"/>
      <c r="M18" s="1146"/>
      <c r="N18" s="1146"/>
      <c r="O18" s="1146"/>
      <c r="P18" s="1146"/>
      <c r="Q18" s="1146"/>
      <c r="R18" s="1146"/>
    </row>
    <row r="19" spans="1:18" s="1148" customFormat="1" ht="34.5" customHeight="1">
      <c r="A19" s="1132">
        <f>_xlfn.AGGREGATE(4,7,A$10:A18)+1</f>
        <v>9</v>
      </c>
      <c r="B19" s="1133" t="s">
        <v>1827</v>
      </c>
      <c r="C19" s="1153" t="s">
        <v>1619</v>
      </c>
      <c r="D19" s="1154" t="s">
        <v>1265</v>
      </c>
      <c r="E19" s="1058" t="str">
        <f>VLOOKUP(B19,TH.Q2!B26:E357,4,FALSE)</f>
        <v>NV Phòng Tổ chức - Hành chính - Tổng hợp</v>
      </c>
      <c r="F19" s="1141">
        <v>5601960</v>
      </c>
      <c r="G19" s="1676">
        <f t="shared" si="0"/>
        <v>2.3940000000000001</v>
      </c>
      <c r="H19" s="1654">
        <v>2340000</v>
      </c>
      <c r="I19" s="1141">
        <f t="shared" si="1"/>
        <v>5601960</v>
      </c>
      <c r="J19" s="1142">
        <f>A19</f>
        <v>9</v>
      </c>
      <c r="K19" s="1143">
        <f>VLOOKUP(B19,'[28]CN BC'!$F$10:$K$270,6,FALSE)</f>
        <v>0</v>
      </c>
      <c r="L19" s="1146"/>
      <c r="M19" s="1146"/>
      <c r="N19" s="1146"/>
    </row>
    <row r="20" spans="1:18" s="1148" customFormat="1" ht="34.5" customHeight="1">
      <c r="A20" s="1132">
        <f>_xlfn.AGGREGATE(4,7,A$10:A19)+1</f>
        <v>10</v>
      </c>
      <c r="B20" s="1133" t="s">
        <v>1448</v>
      </c>
      <c r="C20" s="1153" t="s">
        <v>1620</v>
      </c>
      <c r="D20" s="1166" t="s">
        <v>1574</v>
      </c>
      <c r="E20" s="1058" t="str">
        <f>VLOOKUP(B20,TH.Q2!B27:E358,4,FALSE)</f>
        <v>NV Phòng Tổ chức - Hành chính - Tổng hợp</v>
      </c>
      <c r="F20" s="1141">
        <v>5138640</v>
      </c>
      <c r="G20" s="1676">
        <f t="shared" si="0"/>
        <v>2.1960000000000002</v>
      </c>
      <c r="H20" s="1654">
        <v>2340000</v>
      </c>
      <c r="I20" s="1141">
        <f t="shared" si="1"/>
        <v>5138640</v>
      </c>
      <c r="J20" s="1142">
        <f>A20</f>
        <v>10</v>
      </c>
      <c r="K20" s="1143">
        <f>VLOOKUP(B20,'[28]CN BC'!$F$10:$K$270,6,FALSE)</f>
        <v>0</v>
      </c>
      <c r="L20" s="1146"/>
      <c r="M20" s="1146"/>
      <c r="N20" s="1146"/>
    </row>
    <row r="21" spans="1:18" s="1148" customFormat="1" ht="34.5" customHeight="1">
      <c r="A21" s="1132">
        <f>_xlfn.AGGREGATE(4,7,A$10:A20)+1</f>
        <v>11</v>
      </c>
      <c r="B21" s="1133" t="s">
        <v>1449</v>
      </c>
      <c r="C21" s="1149" t="s">
        <v>1621</v>
      </c>
      <c r="D21" s="1169">
        <v>1603205280047</v>
      </c>
      <c r="E21" s="1058" t="str">
        <f>VLOOKUP(B21,TH.Q2!B28:E359,4,FALSE)</f>
        <v>NV Phòng Tổ chức - Hành chính - Tổng hợp</v>
      </c>
      <c r="F21" s="1141">
        <v>4881708</v>
      </c>
      <c r="G21" s="1676">
        <f t="shared" si="0"/>
        <v>2.0861999999999998</v>
      </c>
      <c r="H21" s="1654">
        <v>2340000</v>
      </c>
      <c r="I21" s="1141">
        <f t="shared" si="1"/>
        <v>4881708</v>
      </c>
      <c r="J21" s="1142">
        <f>A21</f>
        <v>11</v>
      </c>
      <c r="K21" s="1143">
        <f>VLOOKUP(B21,'[28]CN BC'!$F$10:$K$270,6,FALSE)</f>
        <v>0</v>
      </c>
      <c r="L21" s="1146"/>
      <c r="M21" s="1146"/>
      <c r="N21" s="1146"/>
      <c r="O21" s="1146"/>
      <c r="P21" s="1146"/>
      <c r="Q21" s="1146"/>
      <c r="R21" s="1146"/>
    </row>
    <row r="22" spans="1:18" s="1148" customFormat="1" ht="34.5" customHeight="1">
      <c r="A22" s="1132">
        <f>_xlfn.AGGREGATE(4,7,A$10:A21)+1</f>
        <v>12</v>
      </c>
      <c r="B22" s="1133" t="s">
        <v>1828</v>
      </c>
      <c r="C22" s="1153" t="s">
        <v>1622</v>
      </c>
      <c r="D22" s="1168" t="s">
        <v>385</v>
      </c>
      <c r="E22" s="1058" t="str">
        <f>VLOOKUP(B22,TH.Q2!B29:E360,4,FALSE)</f>
        <v>NV Phòng Tổ chức - Hành chính - Tổng hợp</v>
      </c>
      <c r="F22" s="1141">
        <v>5845203</v>
      </c>
      <c r="G22" s="1676">
        <f t="shared" si="0"/>
        <v>2.4979499999999999</v>
      </c>
      <c r="H22" s="1654">
        <v>2340000</v>
      </c>
      <c r="I22" s="1141">
        <f t="shared" si="1"/>
        <v>5845203</v>
      </c>
      <c r="J22" s="1142">
        <f>A22</f>
        <v>12</v>
      </c>
      <c r="K22" s="1143">
        <f>VLOOKUP(B22,'[28]CN BC'!$F$10:$K$270,6,FALSE)</f>
        <v>0</v>
      </c>
      <c r="L22" s="1146"/>
      <c r="M22" s="1146"/>
      <c r="N22" s="1146"/>
    </row>
    <row r="23" spans="1:18" s="1148" customFormat="1" ht="34.5" customHeight="1">
      <c r="A23" s="1132">
        <f>_xlfn.AGGREGATE(4,7,A$10:A22)+1</f>
        <v>13</v>
      </c>
      <c r="B23" s="1133" t="s">
        <v>1848</v>
      </c>
      <c r="C23" s="1153" t="s">
        <v>1644</v>
      </c>
      <c r="D23" s="1166">
        <v>1603205360856</v>
      </c>
      <c r="E23" s="1058" t="s">
        <v>2417</v>
      </c>
      <c r="F23" s="1141">
        <v>5995080</v>
      </c>
      <c r="G23" s="1676">
        <f t="shared" si="0"/>
        <v>2.5619999999999998</v>
      </c>
      <c r="H23" s="1654">
        <v>2340000</v>
      </c>
      <c r="I23" s="1141">
        <f t="shared" si="1"/>
        <v>5995080</v>
      </c>
      <c r="J23" s="1142">
        <f>A23</f>
        <v>13</v>
      </c>
      <c r="K23" s="1143">
        <f>VLOOKUP(B23,'[28]CN BC'!$F$10:$K$270,6,FALSE)</f>
        <v>0</v>
      </c>
    </row>
    <row r="24" spans="1:18" s="1148" customFormat="1" ht="34.5" customHeight="1">
      <c r="A24" s="1132">
        <f>_xlfn.AGGREGATE(4,7,A$10:A23)+1</f>
        <v>14</v>
      </c>
      <c r="B24" s="1133" t="s">
        <v>1450</v>
      </c>
      <c r="C24" s="1153" t="s">
        <v>1625</v>
      </c>
      <c r="D24" s="1150" t="s">
        <v>1441</v>
      </c>
      <c r="E24" s="383" t="str">
        <f>VLOOKUP(B24,TH.Q2!B33:E364,4,FALSE)</f>
        <v>Trưởng phòng Quản trị - Dịch vụ</v>
      </c>
      <c r="F24" s="1141">
        <v>10724688.000000002</v>
      </c>
      <c r="G24" s="1676">
        <f t="shared" si="0"/>
        <v>4.5832000000000006</v>
      </c>
      <c r="H24" s="1654">
        <v>2340000</v>
      </c>
      <c r="I24" s="1141">
        <f t="shared" si="1"/>
        <v>10724688.000000002</v>
      </c>
      <c r="J24" s="1142">
        <f>A24</f>
        <v>14</v>
      </c>
      <c r="K24" s="1143">
        <f>VLOOKUP(B24,'[28]CN BC'!$F$10:$K$270,6,FALSE)</f>
        <v>0</v>
      </c>
    </row>
    <row r="25" spans="1:18" s="1148" customFormat="1" ht="36" customHeight="1">
      <c r="A25" s="1132">
        <f>_xlfn.AGGREGATE(4,7,A$10:A24)+1</f>
        <v>15</v>
      </c>
      <c r="B25" s="1133" t="s">
        <v>1996</v>
      </c>
      <c r="C25" s="1149" t="s">
        <v>1626</v>
      </c>
      <c r="D25" s="1154" t="s">
        <v>1393</v>
      </c>
      <c r="E25" s="1058" t="str">
        <f>VLOOKUP(B25,TH.Q2!B34:E365,4,FALSE)</f>
        <v>Phó TP. Quản trị - 
Dịch vụ</v>
      </c>
      <c r="F25" s="1141">
        <v>10722816</v>
      </c>
      <c r="G25" s="1676">
        <f t="shared" si="0"/>
        <v>4.5823999999999998</v>
      </c>
      <c r="H25" s="1654">
        <v>2340000</v>
      </c>
      <c r="I25" s="1141">
        <f t="shared" si="1"/>
        <v>10722816</v>
      </c>
      <c r="J25" s="1142">
        <f>A25</f>
        <v>15</v>
      </c>
      <c r="K25" s="1143">
        <f>VLOOKUP(B25,'[28]CN BC'!$F$10:$K$270,6,FALSE)</f>
        <v>0</v>
      </c>
      <c r="L25" s="1146"/>
      <c r="M25" s="1146"/>
      <c r="N25" s="1146"/>
      <c r="O25" s="1146"/>
      <c r="P25" s="1146"/>
      <c r="Q25" s="1146"/>
      <c r="R25" s="1146"/>
    </row>
    <row r="26" spans="1:18" s="1146" customFormat="1" ht="36" customHeight="1">
      <c r="A26" s="1132">
        <f>_xlfn.AGGREGATE(4,7,A$10:A25)+1</f>
        <v>16</v>
      </c>
      <c r="B26" s="1172" t="s">
        <v>1849</v>
      </c>
      <c r="C26" s="1149" t="s">
        <v>1627</v>
      </c>
      <c r="D26" s="1173" t="s">
        <v>1267</v>
      </c>
      <c r="E26" s="1058" t="str">
        <f>VLOOKUP(B26,TH.Q2!B35:E366,4,FALSE)</f>
        <v>NV Phòng Quản trị - Dịch vụ</v>
      </c>
      <c r="F26" s="1141">
        <v>7937280</v>
      </c>
      <c r="G26" s="1676">
        <f t="shared" si="0"/>
        <v>3.3919999999999999</v>
      </c>
      <c r="H26" s="1654">
        <v>2340000</v>
      </c>
      <c r="I26" s="1141">
        <f t="shared" si="1"/>
        <v>7937280</v>
      </c>
      <c r="J26" s="1142">
        <f>A26</f>
        <v>16</v>
      </c>
      <c r="K26" s="1143">
        <f>VLOOKUP(B26,'[28]CN BC'!$F$10:$K$270,6,FALSE)</f>
        <v>0</v>
      </c>
    </row>
    <row r="27" spans="1:18" s="1148" customFormat="1" ht="36" customHeight="1">
      <c r="A27" s="1132">
        <f>_xlfn.AGGREGATE(4,7,A$10:A26)+1</f>
        <v>17</v>
      </c>
      <c r="B27" s="1133" t="s">
        <v>1850</v>
      </c>
      <c r="C27" s="1153" t="s">
        <v>1628</v>
      </c>
      <c r="D27" s="1154" t="s">
        <v>1268</v>
      </c>
      <c r="E27" s="1058" t="str">
        <f>VLOOKUP(B27,TH.Q2!B36:E367,4,FALSE)</f>
        <v>NV Phòng Quản trị - Dịch vụ</v>
      </c>
      <c r="F27" s="1141">
        <v>6477120</v>
      </c>
      <c r="G27" s="1676">
        <f t="shared" si="0"/>
        <v>2.7679999999999998</v>
      </c>
      <c r="H27" s="1654">
        <v>2340000</v>
      </c>
      <c r="I27" s="1141">
        <f t="shared" si="1"/>
        <v>6477119.9999999991</v>
      </c>
      <c r="J27" s="1142">
        <f>A27</f>
        <v>17</v>
      </c>
      <c r="K27" s="1143">
        <f>VLOOKUP(B27,'[28]CN BC'!$F$10:$K$270,6,FALSE)</f>
        <v>0</v>
      </c>
      <c r="L27" s="1146"/>
      <c r="M27" s="1146"/>
      <c r="N27" s="1146"/>
    </row>
    <row r="28" spans="1:18" s="1146" customFormat="1" ht="36" customHeight="1">
      <c r="A28" s="1132">
        <f>_xlfn.AGGREGATE(4,7,A$10:A27)+1</f>
        <v>18</v>
      </c>
      <c r="B28" s="1172" t="s">
        <v>1451</v>
      </c>
      <c r="C28" s="1149" t="s">
        <v>1629</v>
      </c>
      <c r="D28" s="1177" t="s">
        <v>367</v>
      </c>
      <c r="E28" s="1058" t="str">
        <f>VLOOKUP(B28,TH.Q2!B37:E368,4,FALSE)</f>
        <v>Nhân viên phòng Quản trị - Dịch vụ</v>
      </c>
      <c r="F28" s="1141">
        <v>6851520</v>
      </c>
      <c r="G28" s="1676">
        <f t="shared" si="0"/>
        <v>2.9279999999999999</v>
      </c>
      <c r="H28" s="1654">
        <v>2340000</v>
      </c>
      <c r="I28" s="1141">
        <f t="shared" si="1"/>
        <v>6851520</v>
      </c>
      <c r="J28" s="1142">
        <f>A28</f>
        <v>18</v>
      </c>
      <c r="K28" s="1143">
        <f>VLOOKUP(B28,'[28]CN BC'!$F$10:$K$270,6,FALSE)</f>
        <v>0</v>
      </c>
    </row>
    <row r="29" spans="1:18" s="1148" customFormat="1" ht="36" customHeight="1">
      <c r="A29" s="1132">
        <f>_xlfn.AGGREGATE(4,7,A$10:A28)+1</f>
        <v>19</v>
      </c>
      <c r="B29" s="1133" t="s">
        <v>1452</v>
      </c>
      <c r="C29" s="1153" t="s">
        <v>1630</v>
      </c>
      <c r="D29" s="1166">
        <v>1603205348129</v>
      </c>
      <c r="E29" s="1058" t="str">
        <f>VLOOKUP(B29,TH.Q2!B38:E369,4,FALSE)</f>
        <v>Nhân viên phòng Quản trị - Dịch vụ</v>
      </c>
      <c r="F29" s="1141">
        <v>6851520</v>
      </c>
      <c r="G29" s="1676">
        <f t="shared" si="0"/>
        <v>2.9279999999999999</v>
      </c>
      <c r="H29" s="1654">
        <v>2340000</v>
      </c>
      <c r="I29" s="1141">
        <f t="shared" si="1"/>
        <v>6851520</v>
      </c>
      <c r="J29" s="1142">
        <f>A29</f>
        <v>19</v>
      </c>
      <c r="K29" s="1143">
        <f>VLOOKUP(B29,'[28]CN BC'!$F$10:$K$270,6,FALSE)</f>
        <v>0</v>
      </c>
      <c r="L29" s="1146"/>
      <c r="M29" s="1146"/>
      <c r="N29" s="1146"/>
    </row>
    <row r="30" spans="1:18" s="1148" customFormat="1" ht="36" customHeight="1">
      <c r="A30" s="1132">
        <f>_xlfn.AGGREGATE(4,7,A$10:A29)+1</f>
        <v>20</v>
      </c>
      <c r="B30" s="1133" t="s">
        <v>1453</v>
      </c>
      <c r="C30" s="1153" t="s">
        <v>1631</v>
      </c>
      <c r="D30" s="1168" t="s">
        <v>384</v>
      </c>
      <c r="E30" s="383" t="str">
        <f>VLOOKUP(B30,TH.Q2!B39:E370,4,FALSE)</f>
        <v>Nhân viên phòng Quản trị - Dịch vụ</v>
      </c>
      <c r="F30" s="1141">
        <v>4282200</v>
      </c>
      <c r="G30" s="1676">
        <f t="shared" si="0"/>
        <v>1.83</v>
      </c>
      <c r="H30" s="1654">
        <v>2340000</v>
      </c>
      <c r="I30" s="1141">
        <f t="shared" si="1"/>
        <v>4282200</v>
      </c>
      <c r="J30" s="1142">
        <f>A30</f>
        <v>20</v>
      </c>
      <c r="K30" s="1143">
        <f>VLOOKUP(B30,'[28]CN BC'!$F$10:$K$270,6,FALSE)</f>
        <v>0</v>
      </c>
    </row>
    <row r="31" spans="1:18" s="1148" customFormat="1" ht="36" customHeight="1">
      <c r="A31" s="1132">
        <f>_xlfn.AGGREGATE(4,7,A$10:A30)+1</f>
        <v>21</v>
      </c>
      <c r="B31" s="1133" t="s">
        <v>1522</v>
      </c>
      <c r="C31" s="1153" t="s">
        <v>1633</v>
      </c>
      <c r="D31" s="1179">
        <v>1603205357238</v>
      </c>
      <c r="E31" s="1058" t="str">
        <f>VLOOKUP(B31,TH.Q2!B40:E371,4,FALSE)</f>
        <v>NV - TT Đào tạo và Quản lý vật tư thiết bị</v>
      </c>
      <c r="F31" s="1141">
        <v>6851520</v>
      </c>
      <c r="G31" s="1676">
        <f t="shared" si="0"/>
        <v>2.9279999999999999</v>
      </c>
      <c r="H31" s="1654">
        <v>2340000</v>
      </c>
      <c r="I31" s="1141">
        <f t="shared" si="1"/>
        <v>6851520</v>
      </c>
      <c r="J31" s="1142">
        <f>A31</f>
        <v>21</v>
      </c>
      <c r="K31" s="1143">
        <f>VLOOKUP(B31,'[28]CN BC'!$F$10:$K$270,6,FALSE)</f>
        <v>0</v>
      </c>
      <c r="L31" s="1146"/>
      <c r="M31" s="1146"/>
      <c r="N31" s="1146"/>
    </row>
    <row r="32" spans="1:18" s="1148" customFormat="1" ht="36" customHeight="1">
      <c r="A32" s="1132">
        <f>_xlfn.AGGREGATE(4,7,A$10:A31)+1</f>
        <v>22</v>
      </c>
      <c r="B32" s="1133" t="s">
        <v>1523</v>
      </c>
      <c r="C32" s="1153" t="s">
        <v>1634</v>
      </c>
      <c r="D32" s="1166">
        <v>1603205302590</v>
      </c>
      <c r="E32" s="1058" t="str">
        <f>VLOOKUP(B32,TH.Q2!B41:E372,4,FALSE)</f>
        <v>NV - TT Đào tạo và Quản lý vật tư thiết bị</v>
      </c>
      <c r="F32" s="1141">
        <v>5995080</v>
      </c>
      <c r="G32" s="1676">
        <f t="shared" si="0"/>
        <v>2.5619999999999998</v>
      </c>
      <c r="H32" s="1654">
        <v>2340000</v>
      </c>
      <c r="I32" s="1141">
        <f t="shared" si="1"/>
        <v>5995080</v>
      </c>
      <c r="J32" s="1142">
        <f>A32</f>
        <v>22</v>
      </c>
      <c r="K32" s="1143">
        <f>VLOOKUP(B32,'[28]CN BC'!$F$10:$K$270,6,FALSE)</f>
        <v>0</v>
      </c>
      <c r="L32" s="1146"/>
      <c r="M32" s="1146"/>
      <c r="N32" s="1146"/>
    </row>
    <row r="33" spans="1:18" s="1148" customFormat="1" ht="36" customHeight="1">
      <c r="A33" s="1132">
        <f>_xlfn.AGGREGATE(4,7,A$10:A32)+1</f>
        <v>23</v>
      </c>
      <c r="B33" s="1164" t="s">
        <v>1606</v>
      </c>
      <c r="C33" s="1165" t="s">
        <v>1635</v>
      </c>
      <c r="D33" s="1180" t="s">
        <v>1604</v>
      </c>
      <c r="E33" s="1058" t="str">
        <f>VLOOKUP(B33,TH.Q2!B42:E373,4,FALSE)</f>
        <v>Phó GĐ TT Đào tạo và Quản lý thiết bị</v>
      </c>
      <c r="F33" s="1141">
        <v>6888960</v>
      </c>
      <c r="G33" s="1676">
        <f t="shared" si="0"/>
        <v>2.944</v>
      </c>
      <c r="H33" s="1654">
        <v>2340000</v>
      </c>
      <c r="I33" s="1141">
        <f t="shared" si="1"/>
        <v>6888960</v>
      </c>
      <c r="J33" s="1142">
        <f>A33</f>
        <v>23</v>
      </c>
      <c r="K33" s="1143">
        <f>VLOOKUP(B33,'[28]CN BC'!$F$10:$K$270,6,FALSE)</f>
        <v>0</v>
      </c>
    </row>
    <row r="34" spans="1:18" s="1148" customFormat="1" ht="36" customHeight="1">
      <c r="A34" s="1132">
        <f>_xlfn.AGGREGATE(4,7,A$10:A33)+1</f>
        <v>24</v>
      </c>
      <c r="B34" s="1164" t="s">
        <v>1843</v>
      </c>
      <c r="C34" s="1165" t="s">
        <v>1955</v>
      </c>
      <c r="D34" s="1181" t="s">
        <v>1936</v>
      </c>
      <c r="E34" s="1058" t="str">
        <f>VLOOKUP(B34,TH.Q2!B43:E374,4,FALSE)</f>
        <v>NV - TT Đào tạo và Quản lý vật tư thiết bị</v>
      </c>
      <c r="F34" s="1141">
        <v>4998240</v>
      </c>
      <c r="G34" s="1676">
        <f t="shared" si="0"/>
        <v>2.1360000000000001</v>
      </c>
      <c r="H34" s="1654">
        <v>2340000</v>
      </c>
      <c r="I34" s="1141">
        <f t="shared" si="1"/>
        <v>4998240</v>
      </c>
      <c r="J34" s="1142">
        <f>A34</f>
        <v>24</v>
      </c>
      <c r="K34" s="1143">
        <f>VLOOKUP(B34,'[28]CN BC'!$F$10:$K$270,6,FALSE)</f>
        <v>0</v>
      </c>
      <c r="L34" s="1146"/>
      <c r="M34" s="1146"/>
      <c r="N34" s="1146"/>
    </row>
    <row r="35" spans="1:18" s="1148" customFormat="1" ht="36" customHeight="1">
      <c r="A35" s="1132">
        <f>_xlfn.AGGREGATE(4,7,A$10:A34)+1</f>
        <v>25</v>
      </c>
      <c r="B35" s="1133" t="s">
        <v>1856</v>
      </c>
      <c r="C35" s="1153" t="s">
        <v>1652</v>
      </c>
      <c r="D35" s="1154" t="s">
        <v>1293</v>
      </c>
      <c r="E35" s="383" t="str">
        <f>VLOOKUP(B35,TH.Q2!B44:E375,4,FALSE)</f>
        <v>Nhân viên phòng Quản trị - Dịch vụ</v>
      </c>
      <c r="F35" s="1141">
        <v>9056502</v>
      </c>
      <c r="G35" s="1676">
        <f t="shared" si="0"/>
        <v>3.8702999999999999</v>
      </c>
      <c r="H35" s="1654">
        <v>2340000</v>
      </c>
      <c r="I35" s="1141">
        <f t="shared" si="1"/>
        <v>9056502</v>
      </c>
      <c r="J35" s="1142">
        <f>A35</f>
        <v>25</v>
      </c>
      <c r="K35" s="1143">
        <f>VLOOKUP(B35,'[28]CN BC'!$F$10:$K$270,6,FALSE)</f>
        <v>0</v>
      </c>
    </row>
    <row r="36" spans="1:18" s="1148" customFormat="1" ht="36" customHeight="1">
      <c r="A36" s="1132">
        <f>_xlfn.AGGREGATE(4,7,A$10:A35)+1</f>
        <v>26</v>
      </c>
      <c r="B36" s="1133" t="s">
        <v>1462</v>
      </c>
      <c r="C36" s="1153" t="s">
        <v>1654</v>
      </c>
      <c r="D36" s="1168">
        <v>1603205182619</v>
      </c>
      <c r="E36" s="1058" t="str">
        <f>VLOOKUP(B36,TH.Q2!B45:E376,4,FALSE)</f>
        <v>Nhân viên phòng Quản trị - Dịch vụ</v>
      </c>
      <c r="F36" s="1141">
        <v>4282200</v>
      </c>
      <c r="G36" s="1676">
        <f t="shared" si="0"/>
        <v>1.83</v>
      </c>
      <c r="H36" s="1654">
        <v>2340000</v>
      </c>
      <c r="I36" s="1141">
        <f t="shared" si="1"/>
        <v>4282200</v>
      </c>
      <c r="J36" s="1142">
        <f>A36</f>
        <v>26</v>
      </c>
      <c r="K36" s="1143">
        <f>VLOOKUP(B36,'[28]CN BC'!$F$10:$K$270,6,FALSE)</f>
        <v>0</v>
      </c>
    </row>
    <row r="37" spans="1:18" s="1148" customFormat="1" ht="36" customHeight="1">
      <c r="A37" s="1132">
        <f>_xlfn.AGGREGATE(4,7,A$10:A36)+1</f>
        <v>27</v>
      </c>
      <c r="B37" s="1133" t="s">
        <v>2012</v>
      </c>
      <c r="C37" s="1153"/>
      <c r="D37" s="1168"/>
      <c r="E37" s="383" t="str">
        <f>VLOOKUP(B37,TH.Q2!B46:E377,4,FALSE)</f>
        <v>Nhân viên phòng Quản trị - Dịch vụ</v>
      </c>
      <c r="F37" s="1141">
        <v>9228960</v>
      </c>
      <c r="G37" s="1676">
        <f t="shared" si="0"/>
        <v>3.944</v>
      </c>
      <c r="H37" s="1654">
        <v>2340000</v>
      </c>
      <c r="I37" s="1141">
        <f t="shared" si="1"/>
        <v>9228960</v>
      </c>
      <c r="J37" s="1142">
        <f>A37</f>
        <v>27</v>
      </c>
      <c r="K37" s="1143">
        <f>VLOOKUP(B37,'[28]CN BC'!$F$10:$K$270,6,FALSE)</f>
        <v>0</v>
      </c>
    </row>
    <row r="38" spans="1:18" s="1146" customFormat="1" ht="27" customHeight="1">
      <c r="A38" s="1132">
        <f>_xlfn.AGGREGATE(4,7,A$10:A37)+1</f>
        <v>28</v>
      </c>
      <c r="B38" s="1172" t="s">
        <v>1852</v>
      </c>
      <c r="C38" s="1149" t="s">
        <v>1636</v>
      </c>
      <c r="D38" s="1173" t="s">
        <v>1258</v>
      </c>
      <c r="E38" s="1058" t="str">
        <f>VLOOKUP(B38,TH.Q2!B47:E378,4,FALSE)</f>
        <v>Trưởng TT Y tế</v>
      </c>
      <c r="F38" s="1141">
        <v>8157240.0000000009</v>
      </c>
      <c r="G38" s="1676">
        <f t="shared" si="0"/>
        <v>3.4860000000000002</v>
      </c>
      <c r="H38" s="1654">
        <v>2340000</v>
      </c>
      <c r="I38" s="1141">
        <f t="shared" si="1"/>
        <v>8157240.0000000009</v>
      </c>
      <c r="J38" s="1142">
        <f>A38</f>
        <v>28</v>
      </c>
      <c r="K38" s="1143">
        <f>VLOOKUP(B38,'[28]CN BC'!$F$10:$K$270,6,FALSE)</f>
        <v>0</v>
      </c>
    </row>
    <row r="39" spans="1:18" s="1146" customFormat="1" ht="27" customHeight="1">
      <c r="A39" s="1132">
        <f>_xlfn.AGGREGATE(4,7,A$10:A38)+1</f>
        <v>29</v>
      </c>
      <c r="B39" s="1172" t="s">
        <v>1454</v>
      </c>
      <c r="C39" s="1149" t="s">
        <v>1637</v>
      </c>
      <c r="D39" s="1177">
        <v>1603205247426</v>
      </c>
      <c r="E39" s="1058" t="str">
        <f>VLOOKUP(B39,TH.Q2!B48:E379,4,FALSE)</f>
        <v>Nhân viên Trung tâm Y tế</v>
      </c>
      <c r="F39" s="1141">
        <v>5419440</v>
      </c>
      <c r="G39" s="1676">
        <f t="shared" si="0"/>
        <v>2.3159999999999998</v>
      </c>
      <c r="H39" s="1654">
        <v>2340000</v>
      </c>
      <c r="I39" s="1141">
        <f t="shared" si="1"/>
        <v>5419440</v>
      </c>
      <c r="J39" s="1142">
        <f>A39</f>
        <v>29</v>
      </c>
      <c r="K39" s="1143">
        <f>VLOOKUP(B39,'[28]CN BC'!$F$10:$K$270,6,FALSE)</f>
        <v>0</v>
      </c>
    </row>
    <row r="40" spans="1:18" s="1148" customFormat="1" ht="27" customHeight="1">
      <c r="A40" s="1132">
        <f>_xlfn.AGGREGATE(4,7,A$10:A39)+1</f>
        <v>30</v>
      </c>
      <c r="B40" s="1133" t="s">
        <v>1445</v>
      </c>
      <c r="C40" s="1149" t="s">
        <v>1638</v>
      </c>
      <c r="D40" s="1150" t="s">
        <v>1576</v>
      </c>
      <c r="E40" s="1058" t="str">
        <f>VLOOKUP(B40,TH.Q2!B49:E380,4,FALSE)</f>
        <v>TP. Kế hoạch - Tài chính</v>
      </c>
      <c r="F40" s="1141">
        <v>13706784</v>
      </c>
      <c r="G40" s="1676">
        <f t="shared" si="0"/>
        <v>5.8575999999999997</v>
      </c>
      <c r="H40" s="1654">
        <v>2340000</v>
      </c>
      <c r="I40" s="1141">
        <f t="shared" si="1"/>
        <v>13706784</v>
      </c>
      <c r="J40" s="1142">
        <f>A40</f>
        <v>30</v>
      </c>
      <c r="K40" s="1143">
        <f>VLOOKUP(B40,'[28]CN BC'!$F$10:$K$270,6,FALSE)</f>
        <v>0</v>
      </c>
      <c r="L40" s="1146"/>
      <c r="M40" s="1146"/>
      <c r="N40" s="1146"/>
      <c r="O40" s="1146"/>
      <c r="P40" s="1146"/>
      <c r="Q40" s="1146"/>
      <c r="R40" s="1146"/>
    </row>
    <row r="41" spans="1:18" s="1146" customFormat="1" ht="26.25" customHeight="1">
      <c r="A41" s="1132">
        <f>_xlfn.AGGREGATE(4,7,A$10:A40)+1</f>
        <v>31</v>
      </c>
      <c r="B41" s="1172" t="s">
        <v>1455</v>
      </c>
      <c r="C41" s="1149" t="s">
        <v>1640</v>
      </c>
      <c r="D41" s="1173" t="s">
        <v>368</v>
      </c>
      <c r="E41" s="1058" t="str">
        <f>VLOOKUP(B41,TH.Q2!B50:E381,4,FALSE)</f>
        <v>NV phòng KH-TC</v>
      </c>
      <c r="F41" s="1141">
        <v>8087040</v>
      </c>
      <c r="G41" s="1676">
        <f t="shared" si="0"/>
        <v>3.456</v>
      </c>
      <c r="H41" s="1654">
        <v>2340000</v>
      </c>
      <c r="I41" s="1141">
        <f t="shared" si="1"/>
        <v>8087040</v>
      </c>
      <c r="J41" s="1142">
        <f>A41</f>
        <v>31</v>
      </c>
      <c r="K41" s="1143">
        <f>VLOOKUP(B41,'[28]CN BC'!$F$10:$K$270,6,FALSE)</f>
        <v>0</v>
      </c>
    </row>
    <row r="42" spans="1:18" s="1148" customFormat="1" ht="27" customHeight="1">
      <c r="A42" s="1132">
        <f>_xlfn.AGGREGATE(4,7,A$10:A41)+1</f>
        <v>32</v>
      </c>
      <c r="B42" s="1133" t="s">
        <v>1456</v>
      </c>
      <c r="C42" s="1153" t="s">
        <v>1641</v>
      </c>
      <c r="D42" s="1168">
        <v>1603205178873</v>
      </c>
      <c r="E42" s="1058" t="str">
        <f>VLOOKUP(B42,TH.Q2!B51:E382,4,FALSE)</f>
        <v>NV phòng KH-TC</v>
      </c>
      <c r="F42" s="1141">
        <v>7469280</v>
      </c>
      <c r="G42" s="1676">
        <f t="shared" si="0"/>
        <v>3.1920000000000002</v>
      </c>
      <c r="H42" s="1654">
        <v>2340000</v>
      </c>
      <c r="I42" s="1141">
        <f t="shared" si="1"/>
        <v>7469280</v>
      </c>
      <c r="J42" s="1142">
        <f>A42</f>
        <v>32</v>
      </c>
      <c r="K42" s="1143">
        <f>VLOOKUP(B42,'[28]CN BC'!$F$10:$K$270,6,FALSE)</f>
        <v>0</v>
      </c>
      <c r="L42" s="1146"/>
      <c r="M42" s="1146"/>
      <c r="N42" s="1146"/>
    </row>
    <row r="43" spans="1:18" s="1148" customFormat="1" ht="33.75" customHeight="1">
      <c r="A43" s="1200">
        <f>_xlfn.AGGREGATE(4,7,A$10:A42)+1</f>
        <v>33</v>
      </c>
      <c r="B43" s="1590" t="s">
        <v>1457</v>
      </c>
      <c r="C43" s="1591" t="s">
        <v>1642</v>
      </c>
      <c r="D43" s="1653">
        <v>1603205372861</v>
      </c>
      <c r="E43" s="490" t="str">
        <f>VLOOKUP(B43,TH.Q2!B52:E383,4,FALSE)</f>
        <v>NV phòng KH-TC</v>
      </c>
      <c r="F43" s="1339">
        <v>0</v>
      </c>
      <c r="G43" s="1676">
        <f t="shared" si="0"/>
        <v>0</v>
      </c>
      <c r="H43" s="1654">
        <v>2340000</v>
      </c>
      <c r="I43" s="1141">
        <f t="shared" si="1"/>
        <v>0</v>
      </c>
      <c r="J43" s="1207">
        <f>A43</f>
        <v>33</v>
      </c>
      <c r="K43" s="1143" t="str">
        <f>VLOOKUP(B43,'[28]CN BC'!$F$10:$K$270,6,FALSE)</f>
        <v>Nghỉ HS từ T12/2024</v>
      </c>
      <c r="L43" s="1146"/>
      <c r="M43" s="1146"/>
      <c r="N43" s="1146"/>
    </row>
    <row r="44" spans="1:18" s="1148" customFormat="1" ht="27" customHeight="1">
      <c r="A44" s="1132">
        <f>_xlfn.AGGREGATE(4,7,A$10:A43)+1</f>
        <v>34</v>
      </c>
      <c r="B44" s="1133" t="s">
        <v>1859</v>
      </c>
      <c r="C44" s="1153" t="s">
        <v>1665</v>
      </c>
      <c r="D44" s="1179">
        <v>1603205185357</v>
      </c>
      <c r="E44" s="1058" t="str">
        <f>VLOOKUP(B44,TH.Q2!B53:E384,4,FALSE)</f>
        <v>NV Phòng KH-TC</v>
      </c>
      <c r="F44" s="1141">
        <v>7469280</v>
      </c>
      <c r="G44" s="1676">
        <f t="shared" si="0"/>
        <v>3.1920000000000002</v>
      </c>
      <c r="H44" s="1654">
        <v>2340000</v>
      </c>
      <c r="I44" s="1141">
        <f t="shared" si="1"/>
        <v>7469280</v>
      </c>
      <c r="J44" s="1142">
        <f>A44</f>
        <v>34</v>
      </c>
      <c r="K44" s="1143">
        <f>VLOOKUP(B44,'[28]CN BC'!$F$10:$K$270,6,FALSE)</f>
        <v>0</v>
      </c>
    </row>
    <row r="45" spans="1:18" s="1148" customFormat="1" ht="33" customHeight="1">
      <c r="A45" s="1200">
        <f>_xlfn.AGGREGATE(4,7,A$10:A44)+1</f>
        <v>35</v>
      </c>
      <c r="B45" s="1201" t="s">
        <v>1842</v>
      </c>
      <c r="C45" s="1591" t="s">
        <v>1962</v>
      </c>
      <c r="D45" s="1202" t="s">
        <v>1933</v>
      </c>
      <c r="E45" s="490" t="s">
        <v>2419</v>
      </c>
      <c r="F45" s="1339">
        <v>0</v>
      </c>
      <c r="G45" s="1676">
        <f t="shared" si="0"/>
        <v>0</v>
      </c>
      <c r="H45" s="1654">
        <v>2340000</v>
      </c>
      <c r="I45" s="1141">
        <f t="shared" si="1"/>
        <v>0</v>
      </c>
      <c r="J45" s="1207">
        <f>A45</f>
        <v>35</v>
      </c>
      <c r="K45" s="1143" t="str">
        <f>VLOOKUP(B45,'[28]CN BC'!$F$10:$K$270,6,FALSE)</f>
        <v>Nghỉ hộ sản hưởng chế độ BHXH từ T4/2025</v>
      </c>
      <c r="L45" s="1146"/>
      <c r="M45" s="1146"/>
      <c r="N45" s="1146"/>
    </row>
    <row r="46" spans="1:18" s="1148" customFormat="1" ht="24.75" customHeight="1">
      <c r="A46" s="1132">
        <f>_xlfn.AGGREGATE(4,7,A$10:A45)+1</f>
        <v>36</v>
      </c>
      <c r="B46" s="1133" t="s">
        <v>1459</v>
      </c>
      <c r="C46" s="1153" t="s">
        <v>1645</v>
      </c>
      <c r="D46" s="1166" t="s">
        <v>1578</v>
      </c>
      <c r="E46" s="1058" t="str">
        <f>VLOOKUP(B46,TH.Q2!B54:E385,4,FALSE)</f>
        <v>Trưởng phòng Thanh tra GD - Quan hệ DN</v>
      </c>
      <c r="F46" s="1141">
        <v>9547200.0000000019</v>
      </c>
      <c r="G46" s="1676">
        <f t="shared" si="0"/>
        <v>4.080000000000001</v>
      </c>
      <c r="H46" s="1654">
        <v>2340000</v>
      </c>
      <c r="I46" s="1141">
        <f t="shared" si="1"/>
        <v>9547200.0000000019</v>
      </c>
      <c r="J46" s="1142">
        <f>A46</f>
        <v>36</v>
      </c>
      <c r="K46" s="1143" t="str">
        <f>VLOOKUP(B46,'[28]CN BC'!$F$10:$K$270,6,FALSE)</f>
        <v>Trừ 3 ngày nghỉ phép 5+6+7/5</v>
      </c>
    </row>
    <row r="47" spans="1:18" s="1148" customFormat="1" ht="29.25" customHeight="1">
      <c r="A47" s="1132">
        <f>_xlfn.AGGREGATE(4,7,A$10:A46)+1</f>
        <v>37</v>
      </c>
      <c r="B47" s="1133" t="s">
        <v>1541</v>
      </c>
      <c r="C47" s="1153" t="s">
        <v>1802</v>
      </c>
      <c r="D47" s="1166">
        <v>1603205356140</v>
      </c>
      <c r="E47" s="383" t="str">
        <f>VLOOKUP(B47,TH.Q2!B55:E386,4,FALSE)</f>
        <v>Nhân viên phòng Thanh tra GD - Quan hệ DN</v>
      </c>
      <c r="F47" s="1141">
        <v>6065280</v>
      </c>
      <c r="G47" s="1676">
        <f t="shared" si="0"/>
        <v>2.5920000000000001</v>
      </c>
      <c r="H47" s="1654">
        <v>2340000</v>
      </c>
      <c r="I47" s="1141">
        <f t="shared" si="1"/>
        <v>6065280</v>
      </c>
      <c r="J47" s="1142">
        <f>A47</f>
        <v>37</v>
      </c>
      <c r="K47" s="1143">
        <f>VLOOKUP(B47,'[28]CN BC'!$F$10:$K$270,6,FALSE)</f>
        <v>0</v>
      </c>
    </row>
    <row r="48" spans="1:18" s="1148" customFormat="1" ht="29.25" customHeight="1">
      <c r="A48" s="1132">
        <f>_xlfn.AGGREGATE(4,7,A$10:A47)+1</f>
        <v>38</v>
      </c>
      <c r="B48" s="1183" t="s">
        <v>1556</v>
      </c>
      <c r="C48" s="1153" t="s">
        <v>1648</v>
      </c>
      <c r="D48" s="1179">
        <v>1603205182727</v>
      </c>
      <c r="E48" s="1058" t="str">
        <f>VLOOKUP(B48,TH.Q2!B56:E387,4,FALSE)</f>
        <v>Nhân viên phòng Thanh tra GD - Quan hệ DN</v>
      </c>
      <c r="F48" s="1141">
        <v>8704800</v>
      </c>
      <c r="G48" s="1676">
        <f t="shared" si="0"/>
        <v>3.72</v>
      </c>
      <c r="H48" s="1654">
        <v>2340000</v>
      </c>
      <c r="I48" s="1141">
        <f t="shared" si="1"/>
        <v>8704800</v>
      </c>
      <c r="J48" s="1142">
        <f>A48</f>
        <v>38</v>
      </c>
      <c r="K48" s="1143">
        <f>VLOOKUP(B48,'[28]CN BC'!$F$10:$K$270,6,FALSE)</f>
        <v>0</v>
      </c>
      <c r="L48" s="1146"/>
      <c r="M48" s="1146"/>
      <c r="N48" s="1146"/>
    </row>
    <row r="49" spans="1:18" s="1148" customFormat="1" ht="28.5" customHeight="1">
      <c r="A49" s="1132">
        <f>_xlfn.AGGREGATE(4,7,A$10:A48)+1</f>
        <v>39</v>
      </c>
      <c r="B49" s="1133" t="s">
        <v>1460</v>
      </c>
      <c r="C49" s="1153" t="s">
        <v>1650</v>
      </c>
      <c r="D49" s="1168">
        <v>1603205189653</v>
      </c>
      <c r="E49" s="1058" t="str">
        <f>VLOOKUP(B49,TH.Q2!B58:E389,4,FALSE)</f>
        <v>Nhân viên phòng Thanh tra GD - Quan hệ DN</v>
      </c>
      <c r="F49" s="1141">
        <v>6065280</v>
      </c>
      <c r="G49" s="1676">
        <f t="shared" si="0"/>
        <v>2.5920000000000001</v>
      </c>
      <c r="H49" s="1654">
        <v>2340000</v>
      </c>
      <c r="I49" s="1141">
        <f t="shared" si="1"/>
        <v>6065280</v>
      </c>
      <c r="J49" s="1142">
        <f>A49</f>
        <v>39</v>
      </c>
      <c r="K49" s="1143">
        <f>VLOOKUP(B49,'[28]CN BC'!$F$10:$K$270,6,FALSE)</f>
        <v>0</v>
      </c>
    </row>
    <row r="50" spans="1:18" s="1148" customFormat="1" ht="32.25" customHeight="1">
      <c r="A50" s="1132">
        <f>_xlfn.AGGREGATE(4,7,A$10:A49)+1</f>
        <v>40</v>
      </c>
      <c r="B50" s="1133" t="s">
        <v>1461</v>
      </c>
      <c r="C50" s="1153" t="s">
        <v>1653</v>
      </c>
      <c r="D50" s="1154" t="s">
        <v>370</v>
      </c>
      <c r="E50" s="1058" t="str">
        <f>VLOOKUP(B50,TH.Q2!B59:E390,4,FALSE)</f>
        <v>Nhân viên phòng Thanh tra GD - Quan hệ DN</v>
      </c>
      <c r="F50" s="1141">
        <v>5995080</v>
      </c>
      <c r="G50" s="1676">
        <f t="shared" si="0"/>
        <v>2.5619999999999998</v>
      </c>
      <c r="H50" s="1654">
        <v>2340000</v>
      </c>
      <c r="I50" s="1141">
        <f t="shared" si="1"/>
        <v>5995080</v>
      </c>
      <c r="J50" s="1142">
        <f>A50</f>
        <v>40</v>
      </c>
      <c r="K50" s="1143">
        <f>VLOOKUP(B50,'[28]CN BC'!$F$10:$K$270,6,FALSE)</f>
        <v>0</v>
      </c>
      <c r="L50" s="1146"/>
      <c r="M50" s="1146"/>
      <c r="N50" s="1146"/>
    </row>
    <row r="51" spans="1:18" s="1148" customFormat="1" ht="32.25" customHeight="1">
      <c r="A51" s="1132">
        <f>_xlfn.AGGREGATE(4,7,A$10:A50)+1</f>
        <v>41</v>
      </c>
      <c r="B51" s="1133" t="s">
        <v>848</v>
      </c>
      <c r="C51" s="1153" t="s">
        <v>1655</v>
      </c>
      <c r="D51" s="1154" t="s">
        <v>1263</v>
      </c>
      <c r="E51" s="1058" t="str">
        <f>VLOOKUP(B51,TH.Q2!B60:E391,4,FALSE)</f>
        <v>Nhân viên phòng Thanh tra GD - Quan hệ DN</v>
      </c>
      <c r="F51" s="1141">
        <v>8087040</v>
      </c>
      <c r="G51" s="1676">
        <f t="shared" si="0"/>
        <v>3.456</v>
      </c>
      <c r="H51" s="1654">
        <v>2340000</v>
      </c>
      <c r="I51" s="1141">
        <f t="shared" si="1"/>
        <v>8087040</v>
      </c>
      <c r="J51" s="1142">
        <f>A51</f>
        <v>41</v>
      </c>
      <c r="K51" s="1143">
        <f>VLOOKUP(B51,'[28]CN BC'!$F$10:$K$270,6,FALSE)</f>
        <v>0</v>
      </c>
      <c r="L51" s="1146"/>
      <c r="M51" s="1146"/>
      <c r="N51" s="1146"/>
    </row>
    <row r="52" spans="1:18" s="1148" customFormat="1" ht="27" customHeight="1">
      <c r="A52" s="1132">
        <f>_xlfn.AGGREGATE(4,7,A$10:A51)+1</f>
        <v>42</v>
      </c>
      <c r="B52" s="1133" t="s">
        <v>1857</v>
      </c>
      <c r="C52" s="1153" t="s">
        <v>1656</v>
      </c>
      <c r="D52" s="1168" t="s">
        <v>1358</v>
      </c>
      <c r="E52" s="1058" t="str">
        <f>VLOOKUP(B52,TH.Q2!B61:E392,4,FALSE)</f>
        <v>Nhân viên phòng Thanh tra GD - Quan hệ DN</v>
      </c>
      <c r="F52" s="1141">
        <v>6065280</v>
      </c>
      <c r="G52" s="1676">
        <f t="shared" si="0"/>
        <v>2.5920000000000001</v>
      </c>
      <c r="H52" s="1654">
        <v>2340000</v>
      </c>
      <c r="I52" s="1141">
        <f t="shared" si="1"/>
        <v>6065280</v>
      </c>
      <c r="J52" s="1142">
        <f>A52</f>
        <v>42</v>
      </c>
      <c r="K52" s="1143">
        <f>VLOOKUP(B52,'[28]CN BC'!$F$10:$K$270,6,FALSE)</f>
        <v>0</v>
      </c>
      <c r="L52" s="1146"/>
      <c r="M52" s="1146"/>
      <c r="N52" s="1146"/>
    </row>
    <row r="53" spans="1:18" s="1148" customFormat="1" ht="27" customHeight="1">
      <c r="A53" s="1132">
        <f>_xlfn.AGGREGATE(4,7,A$10:A52)+1</f>
        <v>43</v>
      </c>
      <c r="B53" s="1133" t="s">
        <v>1851</v>
      </c>
      <c r="C53" s="1149" t="s">
        <v>1632</v>
      </c>
      <c r="D53" s="1185" t="s">
        <v>1575</v>
      </c>
      <c r="E53" s="1058" t="str">
        <f>VLOOKUP(B53,TH.Q2!B62:E393,4,FALSE)</f>
        <v>Nhân viên phòng Thanh tra GD - Quan hệ DN</v>
      </c>
      <c r="F53" s="1141">
        <v>4282200</v>
      </c>
      <c r="G53" s="1676">
        <f t="shared" si="0"/>
        <v>1.83</v>
      </c>
      <c r="H53" s="1654">
        <v>2340000</v>
      </c>
      <c r="I53" s="1141">
        <f t="shared" si="1"/>
        <v>4282200</v>
      </c>
      <c r="J53" s="1142">
        <f>A53</f>
        <v>43</v>
      </c>
      <c r="K53" s="1143">
        <f>VLOOKUP(B53,'[28]CN BC'!$F$10:$K$270,6,FALSE)</f>
        <v>0</v>
      </c>
      <c r="L53" s="1146"/>
      <c r="M53" s="1146"/>
      <c r="N53" s="1146"/>
      <c r="O53" s="1146"/>
      <c r="P53" s="1146"/>
      <c r="Q53" s="1146"/>
      <c r="R53" s="1146"/>
    </row>
    <row r="54" spans="1:18" s="1148" customFormat="1" ht="27" customHeight="1">
      <c r="A54" s="1132">
        <f>_xlfn.AGGREGATE(4,7,A$10:A53)+1</f>
        <v>44</v>
      </c>
      <c r="B54" s="1133" t="s">
        <v>1561</v>
      </c>
      <c r="C54" s="1153" t="s">
        <v>1657</v>
      </c>
      <c r="D54" s="1150" t="s">
        <v>1562</v>
      </c>
      <c r="E54" s="1058" t="str">
        <f>VLOOKUP(B54,TH.Q2!B63:E394,4,FALSE)</f>
        <v>Nhân viên phòng Tuyển sinh - Đào tạo</v>
      </c>
      <c r="F54" s="1141">
        <v>6851520</v>
      </c>
      <c r="G54" s="1676">
        <f t="shared" si="0"/>
        <v>2.9279999999999999</v>
      </c>
      <c r="H54" s="1654">
        <v>2340000</v>
      </c>
      <c r="I54" s="1141">
        <f t="shared" si="1"/>
        <v>6851520</v>
      </c>
      <c r="J54" s="1142">
        <f>A54</f>
        <v>44</v>
      </c>
      <c r="K54" s="1143">
        <f>VLOOKUP(B54,'[28]CN BC'!$F$10:$K$270,6,FALSE)</f>
        <v>0</v>
      </c>
    </row>
    <row r="55" spans="1:18" s="1148" customFormat="1" ht="30" customHeight="1">
      <c r="A55" s="1132">
        <f>_xlfn.AGGREGATE(4,7,A$10:A54)+1</f>
        <v>45</v>
      </c>
      <c r="B55" s="1133" t="s">
        <v>1463</v>
      </c>
      <c r="C55" s="1153" t="s">
        <v>1617</v>
      </c>
      <c r="D55" s="1154" t="s">
        <v>1573</v>
      </c>
      <c r="E55" s="1058" t="str">
        <f>VLOOKUP(B55,TH.Q2!B64:E395,4,FALSE)</f>
        <v>Trưởng phòng Tuyển sinh - Đào tạo</v>
      </c>
      <c r="F55" s="1141">
        <v>9715680</v>
      </c>
      <c r="G55" s="1676">
        <f t="shared" si="0"/>
        <v>4.1520000000000001</v>
      </c>
      <c r="H55" s="1654">
        <v>2340000</v>
      </c>
      <c r="I55" s="1141">
        <f t="shared" si="1"/>
        <v>9715680</v>
      </c>
      <c r="J55" s="1142">
        <f>A55</f>
        <v>45</v>
      </c>
      <c r="K55" s="1143">
        <f>VLOOKUP(B55,'[28]CN BC'!$F$10:$K$270,6,FALSE)</f>
        <v>0</v>
      </c>
      <c r="L55" s="1146"/>
      <c r="M55" s="1146"/>
      <c r="N55" s="1146"/>
    </row>
    <row r="56" spans="1:18" s="1146" customFormat="1" ht="24.75" customHeight="1">
      <c r="A56" s="1132">
        <f>_xlfn.AGGREGATE(4,7,A$10:A55)+1</f>
        <v>46</v>
      </c>
      <c r="B56" s="1172" t="s">
        <v>1902</v>
      </c>
      <c r="C56" s="1149" t="s">
        <v>1785</v>
      </c>
      <c r="D56" s="1173" t="s">
        <v>1391</v>
      </c>
      <c r="E56" s="1058" t="str">
        <f>VLOOKUP(B56,TH.Q2!B65:E396,4,FALSE)</f>
        <v>Phó TP. Tuyể sinh - Đào tạo</v>
      </c>
      <c r="F56" s="1141">
        <v>8742240</v>
      </c>
      <c r="G56" s="1676">
        <f t="shared" si="0"/>
        <v>3.7360000000000002</v>
      </c>
      <c r="H56" s="1654">
        <v>2340000</v>
      </c>
      <c r="I56" s="1141">
        <f t="shared" si="1"/>
        <v>8742240</v>
      </c>
      <c r="J56" s="1142">
        <f>A56</f>
        <v>46</v>
      </c>
      <c r="K56" s="1143">
        <f>VLOOKUP(B56,'[28]CN BC'!$F$10:$K$270,6,FALSE)</f>
        <v>0</v>
      </c>
    </row>
    <row r="57" spans="1:18" s="1148" customFormat="1" ht="29.25" customHeight="1">
      <c r="A57" s="1132">
        <f>_xlfn.AGGREGATE(4,7,A$10:A56)+1</f>
        <v>47</v>
      </c>
      <c r="B57" s="1133" t="s">
        <v>1858</v>
      </c>
      <c r="C57" s="1153" t="s">
        <v>1659</v>
      </c>
      <c r="D57" s="1154" t="s">
        <v>1285</v>
      </c>
      <c r="E57" s="1058" t="str">
        <f>VLOOKUP(B57,TH.Q2!B66:E397,4,FALSE)</f>
        <v>Nhân viên phòng TS - Đào tạo</v>
      </c>
      <c r="F57" s="1141">
        <v>8704800</v>
      </c>
      <c r="G57" s="1676">
        <f t="shared" si="0"/>
        <v>3.72</v>
      </c>
      <c r="H57" s="1654">
        <v>2340000</v>
      </c>
      <c r="I57" s="1141">
        <f t="shared" si="1"/>
        <v>8704800</v>
      </c>
      <c r="J57" s="1142">
        <f>A57</f>
        <v>47</v>
      </c>
      <c r="K57" s="1143">
        <f>VLOOKUP(B57,'[28]CN BC'!$F$10:$K$270,6,FALSE)</f>
        <v>0</v>
      </c>
      <c r="L57" s="1146"/>
      <c r="M57" s="1146"/>
      <c r="N57" s="1146"/>
    </row>
    <row r="58" spans="1:18" s="1148" customFormat="1" ht="30.75" customHeight="1">
      <c r="A58" s="1132">
        <f>_xlfn.AGGREGATE(4,7,A$10:A57)+1</f>
        <v>48</v>
      </c>
      <c r="B58" s="1133" t="s">
        <v>1465</v>
      </c>
      <c r="C58" s="1153" t="s">
        <v>1661</v>
      </c>
      <c r="D58" s="1168">
        <v>1603205182394</v>
      </c>
      <c r="E58" s="1058" t="str">
        <f>VLOOKUP(B58,TH.Q2!B67:E398,4,FALSE)</f>
        <v>Nhân viên phòng TS - Đào tạo</v>
      </c>
      <c r="F58" s="1141">
        <v>7076160</v>
      </c>
      <c r="G58" s="1676">
        <f t="shared" si="0"/>
        <v>3.024</v>
      </c>
      <c r="H58" s="1654">
        <v>2340000</v>
      </c>
      <c r="I58" s="1141">
        <f t="shared" si="1"/>
        <v>7076160</v>
      </c>
      <c r="J58" s="1142">
        <f>A58</f>
        <v>48</v>
      </c>
      <c r="K58" s="1143">
        <f>VLOOKUP(B58,'[28]CN BC'!$F$10:$K$270,6,FALSE)</f>
        <v>0</v>
      </c>
      <c r="L58" s="1146"/>
      <c r="M58" s="1146"/>
      <c r="N58" s="1146"/>
    </row>
    <row r="59" spans="1:18" s="1148" customFormat="1" ht="33" customHeight="1">
      <c r="A59" s="1132">
        <f>_xlfn.AGGREGATE(4,7,A$10:A58)+1</f>
        <v>49</v>
      </c>
      <c r="B59" s="1133" t="s">
        <v>844</v>
      </c>
      <c r="C59" s="1153" t="s">
        <v>1662</v>
      </c>
      <c r="D59" s="1168" t="s">
        <v>369</v>
      </c>
      <c r="E59" s="1058" t="str">
        <f>VLOOKUP(B59,TH.Q2!B68:E399,4,FALSE)</f>
        <v>Nhân viên phòng TS - Đào tạo</v>
      </c>
      <c r="F59" s="1141">
        <v>5995080</v>
      </c>
      <c r="G59" s="1676">
        <f t="shared" si="0"/>
        <v>2.5619999999999998</v>
      </c>
      <c r="H59" s="1654">
        <v>2340000</v>
      </c>
      <c r="I59" s="1141">
        <f t="shared" si="1"/>
        <v>5995080</v>
      </c>
      <c r="J59" s="1142">
        <f>A59</f>
        <v>49</v>
      </c>
      <c r="K59" s="1143">
        <f>VLOOKUP(B59,'[28]CN BC'!$F$10:$K$270,6,FALSE)</f>
        <v>0</v>
      </c>
      <c r="L59" s="1146"/>
      <c r="M59" s="1146"/>
      <c r="N59" s="1146"/>
    </row>
    <row r="60" spans="1:18" s="1148" customFormat="1" ht="31.5" customHeight="1">
      <c r="A60" s="1132">
        <f>_xlfn.AGGREGATE(4,7,A$10:A59)+1</f>
        <v>50</v>
      </c>
      <c r="B60" s="1183" t="s">
        <v>1557</v>
      </c>
      <c r="C60" s="1153" t="s">
        <v>1664</v>
      </c>
      <c r="D60" s="1179">
        <v>1603205182762</v>
      </c>
      <c r="E60" s="1058" t="str">
        <f>VLOOKUP(B60,TH.Q2!B69:E400,4,FALSE)</f>
        <v>Nhân viên phòng TS - Đào tạo</v>
      </c>
      <c r="F60" s="1141">
        <v>7469280</v>
      </c>
      <c r="G60" s="1676">
        <f t="shared" si="0"/>
        <v>3.1920000000000002</v>
      </c>
      <c r="H60" s="1654">
        <v>2340000</v>
      </c>
      <c r="I60" s="1141">
        <f t="shared" si="1"/>
        <v>7469280</v>
      </c>
      <c r="J60" s="1142">
        <f>A60</f>
        <v>50</v>
      </c>
      <c r="K60" s="1143">
        <f>VLOOKUP(B60,'[28]CN BC'!$F$10:$K$270,6,FALSE)</f>
        <v>0</v>
      </c>
      <c r="L60" s="1146"/>
      <c r="M60" s="1146"/>
      <c r="N60" s="1146"/>
    </row>
    <row r="61" spans="1:18" s="1148" customFormat="1" ht="31.5" customHeight="1">
      <c r="A61" s="1132">
        <f>_xlfn.AGGREGATE(4,7,A$10:A60)+1</f>
        <v>51</v>
      </c>
      <c r="B61" s="1133" t="s">
        <v>1524</v>
      </c>
      <c r="C61" s="1153" t="s">
        <v>1666</v>
      </c>
      <c r="D61" s="1168">
        <v>1603205182178</v>
      </c>
      <c r="E61" s="1058" t="str">
        <f>VLOOKUP(B61,TH.Q2!B70:E401,4,FALSE)</f>
        <v>Nhân viên phòng TS - Đào tạo</v>
      </c>
      <c r="F61" s="1141">
        <v>6535620</v>
      </c>
      <c r="G61" s="1676">
        <f t="shared" si="0"/>
        <v>2.7930000000000001</v>
      </c>
      <c r="H61" s="1654">
        <v>2340000</v>
      </c>
      <c r="I61" s="1141">
        <f t="shared" si="1"/>
        <v>6535620</v>
      </c>
      <c r="J61" s="1142">
        <f>A61</f>
        <v>51</v>
      </c>
      <c r="K61" s="1143">
        <f>VLOOKUP(B61,'[28]CN BC'!$F$10:$K$270,6,FALSE)</f>
        <v>0</v>
      </c>
    </row>
    <row r="62" spans="1:18" s="1148" customFormat="1" ht="30.75" customHeight="1">
      <c r="A62" s="1132">
        <f>_xlfn.AGGREGATE(4,7,A$10:A61)+1</f>
        <v>52</v>
      </c>
      <c r="B62" s="1164" t="s">
        <v>1860</v>
      </c>
      <c r="C62" s="1165" t="s">
        <v>1667</v>
      </c>
      <c r="D62" s="1166">
        <v>1603205351697</v>
      </c>
      <c r="E62" s="383" t="str">
        <f>VLOOKUP(B62,TH.Q2!B71:E402,4,FALSE)</f>
        <v>Nhân viên phòng TS - Đào tạo</v>
      </c>
      <c r="F62" s="1141">
        <v>6851520</v>
      </c>
      <c r="G62" s="1676">
        <f t="shared" si="0"/>
        <v>2.9279999999999999</v>
      </c>
      <c r="H62" s="1654">
        <v>2340000</v>
      </c>
      <c r="I62" s="1141">
        <f t="shared" si="1"/>
        <v>6851520</v>
      </c>
      <c r="J62" s="1142">
        <f>A62</f>
        <v>52</v>
      </c>
      <c r="K62" s="1143" t="str">
        <f>VLOOKUP(B62,'[28]CN BC'!$F$10:$K$270,6,FALSE)</f>
        <v>Trừ 1 ngày nghỉ phép 30/5</v>
      </c>
    </row>
    <row r="63" spans="1:18" s="1148" customFormat="1" ht="24.75" customHeight="1">
      <c r="A63" s="1132">
        <f>_xlfn.AGGREGATE(4,7,A$10:A62)+1</f>
        <v>53</v>
      </c>
      <c r="B63" s="1133" t="s">
        <v>1484</v>
      </c>
      <c r="C63" s="1153" t="s">
        <v>1649</v>
      </c>
      <c r="D63" s="1166">
        <v>1603205357194</v>
      </c>
      <c r="E63" s="1058" t="str">
        <f>VLOOKUP(B63,TH.Q2!B72:E403,4,FALSE)</f>
        <v>Nhân viên phòng Tuyển sinh - Đào tạo</v>
      </c>
      <c r="F63" s="1141">
        <v>5138640</v>
      </c>
      <c r="G63" s="1676">
        <f t="shared" si="0"/>
        <v>2.1960000000000002</v>
      </c>
      <c r="H63" s="1654">
        <v>2340000</v>
      </c>
      <c r="I63" s="1141">
        <f t="shared" si="1"/>
        <v>5138640</v>
      </c>
      <c r="J63" s="1142">
        <f>A63</f>
        <v>53</v>
      </c>
      <c r="K63" s="1143">
        <f>VLOOKUP(B63,'[28]CN BC'!$F$10:$K$270,6,FALSE)</f>
        <v>0</v>
      </c>
    </row>
    <row r="64" spans="1:18" s="1146" customFormat="1" ht="24.75" customHeight="1">
      <c r="A64" s="1132">
        <f>_xlfn.AGGREGATE(4,7,A$10:A63)+1</f>
        <v>54</v>
      </c>
      <c r="B64" s="1172" t="s">
        <v>1861</v>
      </c>
      <c r="C64" s="1149" t="s">
        <v>1668</v>
      </c>
      <c r="D64" s="1173" t="s">
        <v>1361</v>
      </c>
      <c r="E64" s="1058" t="str">
        <f>VLOOKUP(B64,TH.Q2!B73:E404,4,FALSE)</f>
        <v>Trưởng phòng Khảo thí và ĐBCL</v>
      </c>
      <c r="F64" s="1141">
        <v>9547200.0000000019</v>
      </c>
      <c r="G64" s="1676">
        <f t="shared" si="0"/>
        <v>4.080000000000001</v>
      </c>
      <c r="H64" s="1654">
        <v>2340000</v>
      </c>
      <c r="I64" s="1141">
        <f t="shared" si="1"/>
        <v>9547200.0000000019</v>
      </c>
      <c r="J64" s="1142">
        <f>A64</f>
        <v>54</v>
      </c>
      <c r="K64" s="1143">
        <f>VLOOKUP(B64,'[28]CN BC'!$F$10:$K$270,6,FALSE)</f>
        <v>0</v>
      </c>
    </row>
    <row r="65" spans="1:18" s="1146" customFormat="1" ht="24.75" customHeight="1">
      <c r="A65" s="1132">
        <f>_xlfn.AGGREGATE(4,7,A$10:A64)+1</f>
        <v>55</v>
      </c>
      <c r="B65" s="1172" t="s">
        <v>1853</v>
      </c>
      <c r="C65" s="1149" t="s">
        <v>1639</v>
      </c>
      <c r="D65" s="1173" t="s">
        <v>1271</v>
      </c>
      <c r="E65" s="1058" t="str">
        <f>VLOOKUP(B65,TH.Q2!B74:E405,4,FALSE)</f>
        <v>Phó TP. Kế hoạch - Tài chính</v>
      </c>
      <c r="F65" s="1141">
        <v>8189999.9999999991</v>
      </c>
      <c r="G65" s="1676">
        <f t="shared" si="0"/>
        <v>3.4999999999999996</v>
      </c>
      <c r="H65" s="1654">
        <v>2340000</v>
      </c>
      <c r="I65" s="1141">
        <f t="shared" si="1"/>
        <v>8189999.9999999991</v>
      </c>
      <c r="J65" s="1142">
        <f>A65</f>
        <v>55</v>
      </c>
      <c r="K65" s="1143">
        <f>VLOOKUP(B65,'[28]CN BC'!$F$10:$K$270,6,FALSE)</f>
        <v>0</v>
      </c>
    </row>
    <row r="66" spans="1:18" s="1148" customFormat="1" ht="27" customHeight="1">
      <c r="A66" s="1132">
        <f>_xlfn.AGGREGATE(4,7,A$10:A65)+1</f>
        <v>56</v>
      </c>
      <c r="B66" s="1133" t="s">
        <v>842</v>
      </c>
      <c r="C66" s="1153" t="s">
        <v>1671</v>
      </c>
      <c r="D66" s="1154" t="s">
        <v>396</v>
      </c>
      <c r="E66" s="1058" t="str">
        <f>VLOOKUP(B66,TH.Q2!B76:E407,4,FALSE)</f>
        <v>Nhân viên phòng Khảo thí và ĐBCL</v>
      </c>
      <c r="F66" s="1141">
        <v>5138640</v>
      </c>
      <c r="G66" s="1676">
        <f t="shared" si="0"/>
        <v>2.1960000000000002</v>
      </c>
      <c r="H66" s="1654">
        <v>2340000</v>
      </c>
      <c r="I66" s="1141">
        <f t="shared" si="1"/>
        <v>5138640</v>
      </c>
      <c r="J66" s="1142">
        <f>A66</f>
        <v>56</v>
      </c>
      <c r="K66" s="1143">
        <f>VLOOKUP(B66,'[28]CN BC'!$F$10:$K$270,6,FALSE)</f>
        <v>0</v>
      </c>
      <c r="L66" s="1146"/>
      <c r="M66" s="1146"/>
      <c r="N66" s="1146"/>
    </row>
    <row r="67" spans="1:18" s="1148" customFormat="1" ht="27" customHeight="1">
      <c r="A67" s="1132">
        <f>_xlfn.AGGREGATE(4,7,A$10:A66)+1</f>
        <v>57</v>
      </c>
      <c r="B67" s="1133" t="s">
        <v>1551</v>
      </c>
      <c r="C67" s="1149" t="s">
        <v>1672</v>
      </c>
      <c r="D67" s="1179">
        <v>1603205182756</v>
      </c>
      <c r="E67" s="1058" t="str">
        <f>VLOOKUP(B67,TH.Q2!B77:E408,4,FALSE)</f>
        <v>Nhân viên phòng Khảo thí và ĐBCL</v>
      </c>
      <c r="F67" s="1141">
        <v>5995080</v>
      </c>
      <c r="G67" s="1676">
        <f t="shared" si="0"/>
        <v>2.5619999999999998</v>
      </c>
      <c r="H67" s="1654">
        <v>2340000</v>
      </c>
      <c r="I67" s="1141">
        <f t="shared" si="1"/>
        <v>5995080</v>
      </c>
      <c r="J67" s="1142">
        <f>A67</f>
        <v>57</v>
      </c>
      <c r="K67" s="1143">
        <f>VLOOKUP(B67,'[28]CN BC'!$F$10:$K$270,6,FALSE)</f>
        <v>0</v>
      </c>
      <c r="L67" s="1146"/>
      <c r="M67" s="1146"/>
      <c r="N67" s="1146"/>
      <c r="O67" s="1146"/>
      <c r="P67" s="1146"/>
      <c r="Q67" s="1146"/>
      <c r="R67" s="1146"/>
    </row>
    <row r="68" spans="1:18" s="1148" customFormat="1" ht="27" customHeight="1">
      <c r="A68" s="1132">
        <f>_xlfn.AGGREGATE(4,7,A$10:A67)+1</f>
        <v>58</v>
      </c>
      <c r="B68" s="1133" t="s">
        <v>1521</v>
      </c>
      <c r="C68" s="1149" t="s">
        <v>1673</v>
      </c>
      <c r="D68" s="1185">
        <v>1603205286752</v>
      </c>
      <c r="E68" s="1058" t="str">
        <f>VLOOKUP(B68,TH.Q2!B78:E409,4,FALSE)</f>
        <v>Nhân viên phòng Khảo thí và ĐBCL</v>
      </c>
      <c r="F68" s="1141">
        <v>6851520</v>
      </c>
      <c r="G68" s="1676">
        <f t="shared" si="0"/>
        <v>2.9279999999999999</v>
      </c>
      <c r="H68" s="1654">
        <v>2340000</v>
      </c>
      <c r="I68" s="1141">
        <f t="shared" si="1"/>
        <v>6851520</v>
      </c>
      <c r="J68" s="1142">
        <f>A68</f>
        <v>58</v>
      </c>
      <c r="K68" s="1143">
        <f>VLOOKUP(B68,'[28]CN BC'!$F$10:$K$270,6,FALSE)</f>
        <v>0</v>
      </c>
      <c r="L68" s="1146"/>
      <c r="M68" s="1146"/>
      <c r="N68" s="1146"/>
      <c r="O68" s="1146"/>
      <c r="P68" s="1146"/>
      <c r="Q68" s="1146"/>
      <c r="R68" s="1146"/>
    </row>
    <row r="69" spans="1:18" s="1148" customFormat="1" ht="30.75" customHeight="1">
      <c r="A69" s="1132">
        <f>_xlfn.AGGREGATE(4,7,A$10:A68)+1</f>
        <v>59</v>
      </c>
      <c r="B69" s="1133" t="s">
        <v>1854</v>
      </c>
      <c r="C69" s="1153" t="s">
        <v>1616</v>
      </c>
      <c r="D69" s="1154" t="s">
        <v>1260</v>
      </c>
      <c r="E69" s="383" t="s">
        <v>2418</v>
      </c>
      <c r="F69" s="1141">
        <v>7550712</v>
      </c>
      <c r="G69" s="1676">
        <f t="shared" si="0"/>
        <v>3.2267999999999999</v>
      </c>
      <c r="H69" s="1654">
        <v>2340000</v>
      </c>
      <c r="I69" s="1141">
        <f t="shared" si="1"/>
        <v>7550712</v>
      </c>
      <c r="J69" s="1142">
        <f>A69</f>
        <v>59</v>
      </c>
      <c r="K69" s="1143">
        <f>VLOOKUP(B69,'[28]CN BC'!$F$10:$K$270,6,FALSE)</f>
        <v>0</v>
      </c>
    </row>
    <row r="70" spans="1:18" s="1148" customFormat="1" ht="27" customHeight="1">
      <c r="A70" s="1132">
        <f>_xlfn.AGGREGATE(4,7,A$10:A69)+1</f>
        <v>60</v>
      </c>
      <c r="B70" s="1133" t="s">
        <v>1841</v>
      </c>
      <c r="C70" s="1153" t="s">
        <v>1956</v>
      </c>
      <c r="D70" s="1188" t="s">
        <v>1931</v>
      </c>
      <c r="E70" s="1058" t="s">
        <v>2394</v>
      </c>
      <c r="F70" s="1141">
        <v>6271200</v>
      </c>
      <c r="G70" s="1676">
        <f t="shared" si="0"/>
        <v>2.68</v>
      </c>
      <c r="H70" s="1654">
        <v>2340000</v>
      </c>
      <c r="I70" s="1141">
        <f t="shared" si="1"/>
        <v>6271200</v>
      </c>
      <c r="J70" s="1142">
        <f>A70</f>
        <v>60</v>
      </c>
      <c r="K70" s="1143">
        <f>VLOOKUP(B70,'[28]CN BC'!$F$10:$K$270,6,FALSE)</f>
        <v>0</v>
      </c>
      <c r="L70" s="1146"/>
      <c r="M70" s="1146"/>
      <c r="N70" s="1146"/>
    </row>
    <row r="71" spans="1:18" s="1146" customFormat="1" ht="27" customHeight="1">
      <c r="A71" s="1132">
        <f>_xlfn.AGGREGATE(4,7,A$10:A70)+1</f>
        <v>61</v>
      </c>
      <c r="B71" s="1172" t="s">
        <v>1863</v>
      </c>
      <c r="C71" s="1149" t="s">
        <v>1675</v>
      </c>
      <c r="D71" s="1173" t="s">
        <v>1357</v>
      </c>
      <c r="E71" s="1058" t="str">
        <f>VLOOKUP(B71,TH.Q2!B80:E411,4,FALSE)</f>
        <v>Trưởng TT Điều hành và QLDL</v>
      </c>
      <c r="F71" s="1141">
        <v>8311680</v>
      </c>
      <c r="G71" s="1676">
        <f t="shared" si="0"/>
        <v>3.552</v>
      </c>
      <c r="H71" s="1654">
        <v>2340000</v>
      </c>
      <c r="I71" s="1141">
        <f t="shared" si="1"/>
        <v>8311680</v>
      </c>
      <c r="J71" s="1142">
        <f>A71</f>
        <v>61</v>
      </c>
      <c r="K71" s="1143">
        <f>VLOOKUP(B71,'[28]CN BC'!$F$10:$K$270,6,FALSE)</f>
        <v>0</v>
      </c>
    </row>
    <row r="72" spans="1:18" s="1148" customFormat="1" ht="33.75" customHeight="1">
      <c r="A72" s="1132">
        <f>_xlfn.AGGREGATE(4,7,A$10:A71)+1</f>
        <v>62</v>
      </c>
      <c r="B72" s="1133" t="s">
        <v>1470</v>
      </c>
      <c r="C72" s="1149" t="s">
        <v>1679</v>
      </c>
      <c r="D72" s="1166" t="s">
        <v>1438</v>
      </c>
      <c r="E72" s="1058" t="str">
        <f>VLOOKUP(B72,TH.Q2!B81:E412,4,FALSE)</f>
        <v>NV Trung tâm ĐH và QLDL</v>
      </c>
      <c r="F72" s="1141">
        <v>7469280</v>
      </c>
      <c r="G72" s="1676">
        <f t="shared" si="0"/>
        <v>3.1920000000000002</v>
      </c>
      <c r="H72" s="1654">
        <v>2340000</v>
      </c>
      <c r="I72" s="1141">
        <f t="shared" si="1"/>
        <v>7469280</v>
      </c>
      <c r="J72" s="1142">
        <f>A72</f>
        <v>62</v>
      </c>
      <c r="K72" s="1143">
        <f>VLOOKUP(B72,'[28]CN BC'!$F$10:$K$270,6,FALSE)</f>
        <v>0</v>
      </c>
      <c r="L72" s="1146"/>
      <c r="M72" s="1146"/>
      <c r="N72" s="1146"/>
      <c r="O72" s="1146"/>
      <c r="P72" s="1146"/>
      <c r="Q72" s="1146"/>
      <c r="R72" s="1146"/>
    </row>
    <row r="73" spans="1:18" s="1148" customFormat="1" ht="33.75" customHeight="1">
      <c r="A73" s="1132">
        <f>_xlfn.AGGREGATE(4,7,A$10:A72)+1</f>
        <v>63</v>
      </c>
      <c r="B73" s="1133" t="s">
        <v>1466</v>
      </c>
      <c r="C73" s="1153" t="s">
        <v>1663</v>
      </c>
      <c r="D73" s="1166" t="s">
        <v>1579</v>
      </c>
      <c r="E73" s="1058" t="str">
        <f>VLOOKUP(B73,TH.Q2!B82:E413,4,FALSE)</f>
        <v>Nhân viên TT Điều hành và QLDL</v>
      </c>
      <c r="F73" s="1141">
        <v>6477120</v>
      </c>
      <c r="G73" s="1676">
        <f t="shared" si="0"/>
        <v>2.7679999999999998</v>
      </c>
      <c r="H73" s="1654">
        <v>2340000</v>
      </c>
      <c r="I73" s="1141">
        <f t="shared" si="1"/>
        <v>6477119.9999999991</v>
      </c>
      <c r="J73" s="1142">
        <f>A73</f>
        <v>63</v>
      </c>
      <c r="K73" s="1143">
        <f>VLOOKUP(B73,'[28]CN BC'!$F$10:$K$270,6,FALSE)</f>
        <v>0</v>
      </c>
      <c r="L73" s="1146"/>
      <c r="M73" s="1146"/>
      <c r="N73" s="1146"/>
    </row>
    <row r="74" spans="1:18" s="1148" customFormat="1" ht="29.25" customHeight="1">
      <c r="A74" s="1132">
        <f>_xlfn.AGGREGATE(4,7,A$10:A73)+1</f>
        <v>64</v>
      </c>
      <c r="B74" s="1133" t="s">
        <v>1834</v>
      </c>
      <c r="C74" s="1153" t="s">
        <v>1967</v>
      </c>
      <c r="D74" s="1188">
        <v>1603215005599</v>
      </c>
      <c r="E74" s="1058" t="str">
        <f>VLOOKUP(B74,TH.Q2!B83:E414,4,FALSE)</f>
        <v>Phụ trách TT Thư viện</v>
      </c>
      <c r="F74" s="1141">
        <v>7272720</v>
      </c>
      <c r="G74" s="1676">
        <f t="shared" si="0"/>
        <v>3.1080000000000001</v>
      </c>
      <c r="H74" s="1654">
        <v>2340000</v>
      </c>
      <c r="I74" s="1141">
        <f t="shared" si="1"/>
        <v>7272720</v>
      </c>
      <c r="J74" s="1142">
        <f>A74</f>
        <v>64</v>
      </c>
      <c r="K74" s="1143">
        <f>VLOOKUP(B74,'[28]CN BC'!$F$10:$K$270,6,FALSE)</f>
        <v>0</v>
      </c>
      <c r="L74" s="1146"/>
      <c r="M74" s="1146"/>
      <c r="N74" s="1146"/>
    </row>
    <row r="75" spans="1:18" s="1148" customFormat="1" ht="27" customHeight="1">
      <c r="A75" s="1132">
        <f>_xlfn.AGGREGATE(4,7,A$10:A74)+1</f>
        <v>65</v>
      </c>
      <c r="B75" s="1133" t="s">
        <v>1468</v>
      </c>
      <c r="C75" s="1153" t="s">
        <v>1676</v>
      </c>
      <c r="D75" s="1166" t="s">
        <v>1580</v>
      </c>
      <c r="E75" s="1058" t="str">
        <f>VLOOKUP(B75,TH.Q2!B84:E415,4,FALSE)</f>
        <v>Nhân viên TT Thư viện</v>
      </c>
      <c r="F75" s="1141">
        <v>4675320</v>
      </c>
      <c r="G75" s="1676">
        <f t="shared" si="0"/>
        <v>1.998</v>
      </c>
      <c r="H75" s="1654">
        <v>2340000</v>
      </c>
      <c r="I75" s="1141">
        <f t="shared" si="1"/>
        <v>4675320</v>
      </c>
      <c r="J75" s="1142">
        <f>A75</f>
        <v>65</v>
      </c>
      <c r="K75" s="1143">
        <f>VLOOKUP(B75,'[28]CN BC'!$F$10:$K$270,6,FALSE)</f>
        <v>0</v>
      </c>
      <c r="L75" s="1146"/>
      <c r="M75" s="1146"/>
      <c r="N75" s="1146"/>
    </row>
    <row r="76" spans="1:18" s="1148" customFormat="1" ht="27" customHeight="1">
      <c r="A76" s="1132">
        <f>_xlfn.AGGREGATE(4,7,A$10:A75)+1</f>
        <v>66</v>
      </c>
      <c r="B76" s="1133" t="s">
        <v>1469</v>
      </c>
      <c r="C76" s="1153" t="s">
        <v>1677</v>
      </c>
      <c r="D76" s="1179">
        <v>1603205185623</v>
      </c>
      <c r="E76" s="1058" t="str">
        <f>VLOOKUP(B76,TH.Q2!B85:E416,4,FALSE)</f>
        <v>Nhân viên TT Thư viện</v>
      </c>
      <c r="F76" s="1141">
        <v>5138640</v>
      </c>
      <c r="G76" s="1676">
        <f t="shared" ref="G76:G139" si="2">F76/H76</f>
        <v>2.1960000000000002</v>
      </c>
      <c r="H76" s="1654">
        <v>2340000</v>
      </c>
      <c r="I76" s="1141">
        <f t="shared" si="1"/>
        <v>5138640</v>
      </c>
      <c r="J76" s="1142">
        <f>A76</f>
        <v>66</v>
      </c>
      <c r="K76" s="1143">
        <f>VLOOKUP(B76,'[28]CN BC'!$F$10:$K$270,6,FALSE)</f>
        <v>0</v>
      </c>
      <c r="L76" s="1146"/>
      <c r="M76" s="1146"/>
      <c r="N76" s="1146"/>
    </row>
    <row r="77" spans="1:18" s="1148" customFormat="1" ht="27" customHeight="1">
      <c r="A77" s="1132">
        <f>_xlfn.AGGREGATE(4,7,A$10:A76)+1</f>
        <v>67</v>
      </c>
      <c r="B77" s="1133" t="s">
        <v>1864</v>
      </c>
      <c r="C77" s="1153" t="s">
        <v>1678</v>
      </c>
      <c r="D77" s="1154" t="s">
        <v>1402</v>
      </c>
      <c r="E77" s="383" t="str">
        <f>VLOOKUP(B77,TH.Q2!B86:E417,4,FALSE)</f>
        <v>Nhân viên TT Thư viện</v>
      </c>
      <c r="F77" s="1141">
        <v>6022019.2500000009</v>
      </c>
      <c r="G77" s="1676">
        <f t="shared" si="2"/>
        <v>2.5735125000000005</v>
      </c>
      <c r="H77" s="1654">
        <v>2340000</v>
      </c>
      <c r="I77" s="1141">
        <f t="shared" ref="I77:I140" si="3">G77*H77</f>
        <v>6022019.2500000009</v>
      </c>
      <c r="J77" s="1142">
        <f>A77</f>
        <v>67</v>
      </c>
      <c r="K77" s="1143" t="str">
        <f>VLOOKUP(B77,'[28]CN BC'!$F$10:$K$270,6,FALSE)</f>
        <v>Trừ 1/2 ngày nghỉ phép</v>
      </c>
    </row>
    <row r="78" spans="1:18" s="1148" customFormat="1" ht="31.5" customHeight="1">
      <c r="A78" s="1132">
        <f>_xlfn.AGGREGATE(4,7,A$10:A77)+1</f>
        <v>68</v>
      </c>
      <c r="B78" s="1133" t="s">
        <v>1471</v>
      </c>
      <c r="C78" s="1153" t="s">
        <v>1680</v>
      </c>
      <c r="D78" s="1166" t="s">
        <v>1581</v>
      </c>
      <c r="E78" s="1058" t="str">
        <f>VLOOKUP(B78,TH.Q2!B87:E418,4,FALSE)</f>
        <v>Trưởng phòng KHCN &amp; HTQT</v>
      </c>
      <c r="F78" s="1141">
        <v>10164960.000000002</v>
      </c>
      <c r="G78" s="1676">
        <f t="shared" si="2"/>
        <v>4.3440000000000012</v>
      </c>
      <c r="H78" s="1654">
        <v>2340000</v>
      </c>
      <c r="I78" s="1141">
        <f t="shared" si="3"/>
        <v>10164960.000000002</v>
      </c>
      <c r="J78" s="1142">
        <f>A78</f>
        <v>68</v>
      </c>
      <c r="K78" s="1143">
        <f>VLOOKUP(B78,'[28]CN BC'!$F$10:$K$270,6,FALSE)</f>
        <v>0</v>
      </c>
    </row>
    <row r="79" spans="1:18" s="1148" customFormat="1" ht="26.25" customHeight="1">
      <c r="A79" s="1132">
        <f>_xlfn.AGGREGATE(4,7,A$10:A78)+1</f>
        <v>69</v>
      </c>
      <c r="B79" s="1164" t="s">
        <v>2009</v>
      </c>
      <c r="C79" s="1165"/>
      <c r="D79" s="1166"/>
      <c r="E79" s="1058" t="str">
        <f>VLOOKUP(B79,TH.Q2!B88:E419,4,FALSE)</f>
        <v>NV Phòng KHCN &amp; HTQT</v>
      </c>
      <c r="F79" s="1141">
        <v>6535620</v>
      </c>
      <c r="G79" s="1676">
        <f t="shared" si="2"/>
        <v>2.7930000000000001</v>
      </c>
      <c r="H79" s="1654">
        <v>2340000</v>
      </c>
      <c r="I79" s="1141">
        <f t="shared" si="3"/>
        <v>6535620</v>
      </c>
      <c r="J79" s="1142">
        <f>A79</f>
        <v>69</v>
      </c>
      <c r="K79" s="1143">
        <f>VLOOKUP(B79,'[28]CN BC'!$F$10:$K$270,6,FALSE)</f>
        <v>0</v>
      </c>
    </row>
    <row r="80" spans="1:18" s="1148" customFormat="1" ht="28.5" customHeight="1">
      <c r="A80" s="1132">
        <f>_xlfn.AGGREGATE(4,7,A$10:A79)+1</f>
        <v>70</v>
      </c>
      <c r="B80" s="1164" t="s">
        <v>1830</v>
      </c>
      <c r="C80" s="1165" t="s">
        <v>1829</v>
      </c>
      <c r="D80" s="1190">
        <v>1603205354978</v>
      </c>
      <c r="E80" s="1058" t="str">
        <f>VLOOKUP(B80,TH.Q2!B89:E420,4,FALSE)</f>
        <v>Giám đốc TT Đào tạo và Quản lý vật tư thiết bị</v>
      </c>
      <c r="F80" s="1141">
        <v>6458400</v>
      </c>
      <c r="G80" s="1676">
        <f t="shared" si="2"/>
        <v>2.76</v>
      </c>
      <c r="H80" s="1654">
        <v>2340000</v>
      </c>
      <c r="I80" s="1141">
        <f t="shared" si="3"/>
        <v>6458399.9999999991</v>
      </c>
      <c r="J80" s="1191">
        <f>A80</f>
        <v>70</v>
      </c>
      <c r="K80" s="1143">
        <f>VLOOKUP(B80,'[28]CN BC'!$F$10:$K$270,6,FALSE)</f>
        <v>0</v>
      </c>
      <c r="L80" s="1146"/>
      <c r="M80" s="1146"/>
      <c r="N80" s="1146"/>
    </row>
    <row r="81" spans="1:18" s="1130" customFormat="1" ht="28.5" customHeight="1">
      <c r="A81" s="1132">
        <f>_xlfn.AGGREGATE(4,7,A$10:A80)+1</f>
        <v>71</v>
      </c>
      <c r="B81" s="1172" t="s">
        <v>2005</v>
      </c>
      <c r="C81" s="1192" t="s">
        <v>1826</v>
      </c>
      <c r="D81" s="1193" t="s">
        <v>12</v>
      </c>
      <c r="E81" s="1058" t="str">
        <f>VLOOKUP(B81,TH.Q2!B90:E421,4,FALSE)</f>
        <v>TT Đào tạo và Quản lý vật tư thiết bị</v>
      </c>
      <c r="F81" s="1141">
        <v>5138640</v>
      </c>
      <c r="G81" s="1676">
        <f t="shared" si="2"/>
        <v>2.1960000000000002</v>
      </c>
      <c r="H81" s="1654">
        <v>2340000</v>
      </c>
      <c r="I81" s="1141">
        <f t="shared" si="3"/>
        <v>5138640</v>
      </c>
      <c r="J81" s="1195">
        <f>A81</f>
        <v>71</v>
      </c>
      <c r="K81" s="1143">
        <f>VLOOKUP(B81,'[28]CN BC'!$F$10:$K$270,6,FALSE)</f>
        <v>0</v>
      </c>
    </row>
    <row r="82" spans="1:18" s="1148" customFormat="1" ht="27" customHeight="1">
      <c r="A82" s="1132">
        <f>_xlfn.AGGREGATE(4,7,A$10:A81)+1</f>
        <v>72</v>
      </c>
      <c r="B82" s="1164" t="s">
        <v>1607</v>
      </c>
      <c r="C82" s="1165" t="s">
        <v>1957</v>
      </c>
      <c r="D82" s="1181">
        <v>1603215003961</v>
      </c>
      <c r="E82" s="383" t="str">
        <f>VLOOKUP(B82,TH.Q2!B91:E422,4,FALSE)</f>
        <v>Trưởng khoa Xây dựng - Nhiệt lạnh</v>
      </c>
      <c r="F82" s="1141">
        <v>7272720</v>
      </c>
      <c r="G82" s="1676">
        <f t="shared" si="2"/>
        <v>3.1080000000000001</v>
      </c>
      <c r="H82" s="1654">
        <v>2340000</v>
      </c>
      <c r="I82" s="1141">
        <f t="shared" si="3"/>
        <v>7272720</v>
      </c>
      <c r="J82" s="1142">
        <f>A82</f>
        <v>72</v>
      </c>
      <c r="K82" s="1143">
        <f>VLOOKUP(B82,'[28]CN BC'!$F$10:$K$270,6,FALSE)</f>
        <v>0</v>
      </c>
    </row>
    <row r="83" spans="1:18" s="1148" customFormat="1" ht="25.5" customHeight="1">
      <c r="A83" s="1132">
        <f>_xlfn.AGGREGATE(4,7,A$10:A82)+1</f>
        <v>73</v>
      </c>
      <c r="B83" s="1133" t="s">
        <v>1924</v>
      </c>
      <c r="C83" s="1153" t="s">
        <v>1958</v>
      </c>
      <c r="D83" s="1188" t="s">
        <v>1935</v>
      </c>
      <c r="E83" s="1058" t="str">
        <f>VLOOKUP(B83,TH.Q2!B92:E423,4,FALSE)</f>
        <v>Giảng viên khoa Xây dựng - Nhiệt lạnh</v>
      </c>
      <c r="F83" s="1141">
        <v>3510000</v>
      </c>
      <c r="G83" s="1676">
        <f t="shared" si="2"/>
        <v>1.5</v>
      </c>
      <c r="H83" s="1654">
        <v>2340000</v>
      </c>
      <c r="I83" s="1141">
        <f t="shared" si="3"/>
        <v>3510000</v>
      </c>
      <c r="J83" s="1142">
        <f>A83</f>
        <v>73</v>
      </c>
      <c r="K83" s="1143">
        <f>VLOOKUP(B83,'[28]CN BC'!$F$10:$K$270,6,FALSE)</f>
        <v>0</v>
      </c>
    </row>
    <row r="84" spans="1:18" s="1148" customFormat="1" ht="25.15" customHeight="1">
      <c r="A84" s="1132">
        <f>_xlfn.AGGREGATE(4,7,A$10:A83)+1</f>
        <v>74</v>
      </c>
      <c r="B84" s="1133" t="s">
        <v>1944</v>
      </c>
      <c r="C84" s="1153" t="s">
        <v>1959</v>
      </c>
      <c r="D84" s="1181"/>
      <c r="E84" s="1058" t="str">
        <f>VLOOKUP(B84,TH.Q2!B93:E424,4,FALSE)</f>
        <v>Giảng viên khoa Xây dựng - Nhiệt lạnh</v>
      </c>
      <c r="F84" s="1141">
        <v>3748680</v>
      </c>
      <c r="G84" s="1676">
        <f t="shared" si="2"/>
        <v>1.6020000000000001</v>
      </c>
      <c r="H84" s="1654">
        <v>2340000</v>
      </c>
      <c r="I84" s="1141">
        <f t="shared" si="3"/>
        <v>3748680</v>
      </c>
      <c r="J84" s="1142">
        <f>A84</f>
        <v>74</v>
      </c>
      <c r="K84" s="1143">
        <f>VLOOKUP(B84,'[28]CN BC'!$F$10:$K$270,6,FALSE)</f>
        <v>0</v>
      </c>
    </row>
    <row r="85" spans="1:18" s="1148" customFormat="1" ht="25.5" customHeight="1">
      <c r="A85" s="1132">
        <f>_xlfn.AGGREGATE(4,7,A$10:A84)+1</f>
        <v>75</v>
      </c>
      <c r="B85" s="1133" t="s">
        <v>1472</v>
      </c>
      <c r="C85" s="1149" t="s">
        <v>1682</v>
      </c>
      <c r="D85" s="1166" t="s">
        <v>1582</v>
      </c>
      <c r="E85" s="1058" t="str">
        <f>VLOOKUP(B85,TH.Q2!B94:E425,4,FALSE)</f>
        <v>Trưởng khoa Kinh tế</v>
      </c>
      <c r="F85" s="1141">
        <v>8929440.0000000019</v>
      </c>
      <c r="G85" s="1676">
        <f t="shared" si="2"/>
        <v>3.8160000000000007</v>
      </c>
      <c r="H85" s="1654">
        <v>2340000</v>
      </c>
      <c r="I85" s="1141">
        <f t="shared" si="3"/>
        <v>8929440.0000000019</v>
      </c>
      <c r="J85" s="1142">
        <f>A85</f>
        <v>75</v>
      </c>
      <c r="K85" s="1143">
        <f>VLOOKUP(B85,'[28]CN BC'!$F$10:$K$270,6,FALSE)</f>
        <v>0</v>
      </c>
      <c r="L85" s="1146"/>
      <c r="M85" s="1146"/>
      <c r="N85" s="1146"/>
      <c r="O85" s="1146"/>
      <c r="P85" s="1146"/>
      <c r="Q85" s="1146"/>
      <c r="R85" s="1146"/>
    </row>
    <row r="86" spans="1:18" s="1148" customFormat="1" ht="25.15" customHeight="1">
      <c r="A86" s="1132">
        <f>_xlfn.AGGREGATE(4,7,A$10:A85)+1</f>
        <v>76</v>
      </c>
      <c r="B86" s="1133" t="s">
        <v>1566</v>
      </c>
      <c r="C86" s="1153" t="s">
        <v>1681</v>
      </c>
      <c r="D86" s="1196" t="s">
        <v>1567</v>
      </c>
      <c r="E86" s="1058" t="str">
        <f>VLOOKUP(B86,TH.Q2!B95:E426,4,FALSE)</f>
        <v>Giảng viên khoa Kinh tế</v>
      </c>
      <c r="F86" s="1141">
        <v>4675320</v>
      </c>
      <c r="G86" s="1676">
        <f t="shared" si="2"/>
        <v>1.998</v>
      </c>
      <c r="H86" s="1654">
        <v>2340000</v>
      </c>
      <c r="I86" s="1141">
        <f t="shared" si="3"/>
        <v>4675320</v>
      </c>
      <c r="J86" s="1142">
        <f>A86</f>
        <v>76</v>
      </c>
      <c r="K86" s="1143">
        <f>VLOOKUP(B86,'[28]CN BC'!$F$10:$K$270,6,FALSE)</f>
        <v>0</v>
      </c>
    </row>
    <row r="87" spans="1:18" s="1148" customFormat="1" ht="25.15" customHeight="1">
      <c r="A87" s="1132">
        <f>_xlfn.AGGREGATE(4,7,A$10:A86)+1</f>
        <v>77</v>
      </c>
      <c r="B87" s="1133" t="s">
        <v>1831</v>
      </c>
      <c r="C87" s="1153" t="s">
        <v>1960</v>
      </c>
      <c r="D87" s="1198">
        <v>1603215005603</v>
      </c>
      <c r="E87" s="1058" t="str">
        <f>VLOOKUP(B87,TH.Q2!B96:E427,4,FALSE)</f>
        <v>Giảng viên khoa 
Kinh tế</v>
      </c>
      <c r="F87" s="1141">
        <v>4914000</v>
      </c>
      <c r="G87" s="1676">
        <f t="shared" si="2"/>
        <v>2.1</v>
      </c>
      <c r="H87" s="1654">
        <v>2340000</v>
      </c>
      <c r="I87" s="1141">
        <f t="shared" si="3"/>
        <v>4914000</v>
      </c>
      <c r="J87" s="1142">
        <f>A87</f>
        <v>77</v>
      </c>
      <c r="K87" s="1143">
        <f>VLOOKUP(B87,'[28]CN BC'!$F$10:$K$270,6,FALSE)</f>
        <v>0</v>
      </c>
      <c r="L87" s="1146"/>
      <c r="M87" s="1146"/>
      <c r="N87" s="1146"/>
    </row>
    <row r="88" spans="1:18" s="1148" customFormat="1" ht="26.25" customHeight="1">
      <c r="A88" s="1200">
        <f>_xlfn.AGGREGATE(4,7,A$10:A87)+1</f>
        <v>78</v>
      </c>
      <c r="B88" s="1201" t="s">
        <v>1928</v>
      </c>
      <c r="C88" s="1591" t="s">
        <v>1961</v>
      </c>
      <c r="D88" s="1202" t="s">
        <v>1934</v>
      </c>
      <c r="E88" s="490" t="str">
        <f>VLOOKUP(B88,TH.Q2!B98:E429,4,FALSE)</f>
        <v>Giảng viên khoa Du lịch - Khách sạn</v>
      </c>
      <c r="F88" s="1339">
        <v>0</v>
      </c>
      <c r="G88" s="1676">
        <f t="shared" si="2"/>
        <v>0</v>
      </c>
      <c r="H88" s="1654">
        <v>2340000</v>
      </c>
      <c r="I88" s="1141">
        <f t="shared" si="3"/>
        <v>0</v>
      </c>
      <c r="J88" s="1207">
        <f>A88</f>
        <v>78</v>
      </c>
      <c r="K88" s="1143" t="str">
        <f>VLOOKUP(B88,'[28]CN BC'!$F$10:$K$270,6,FALSE)</f>
        <v>Nghỉ hộ sản</v>
      </c>
    </row>
    <row r="89" spans="1:18" s="1148" customFormat="1" ht="32.25" customHeight="1">
      <c r="A89" s="1132">
        <f>_xlfn.AGGREGATE(4,7,A$10:A88)+1</f>
        <v>79</v>
      </c>
      <c r="B89" s="1133" t="s">
        <v>1474</v>
      </c>
      <c r="C89" s="1153" t="s">
        <v>1684</v>
      </c>
      <c r="D89" s="1166" t="s">
        <v>1584</v>
      </c>
      <c r="E89" s="1058" t="str">
        <f>VLOOKUP(B89,TH.Q2!B99:E430,4,FALSE)</f>
        <v>Giảng viên khoa Kinh tế</v>
      </c>
      <c r="F89" s="1141">
        <v>6233760</v>
      </c>
      <c r="G89" s="1676">
        <f t="shared" si="2"/>
        <v>2.6640000000000001</v>
      </c>
      <c r="H89" s="1654">
        <v>2340000</v>
      </c>
      <c r="I89" s="1141">
        <f t="shared" si="3"/>
        <v>6233760</v>
      </c>
      <c r="J89" s="1142">
        <f>A89</f>
        <v>79</v>
      </c>
      <c r="K89" s="1143">
        <f>VLOOKUP(B89,'[28]CN BC'!$F$10:$K$270,6,FALSE)</f>
        <v>0</v>
      </c>
    </row>
    <row r="90" spans="1:18" s="1148" customFormat="1" ht="28.5" customHeight="1">
      <c r="A90" s="1132">
        <f>_xlfn.AGGREGATE(4,7,A$10:A89)+1</f>
        <v>80</v>
      </c>
      <c r="B90" s="1133" t="s">
        <v>1571</v>
      </c>
      <c r="C90" s="1153" t="s">
        <v>1685</v>
      </c>
      <c r="D90" s="1196" t="s">
        <v>1572</v>
      </c>
      <c r="E90" s="1058" t="str">
        <f>VLOOKUP(B90,TH.Q2!B100:E431,4,FALSE)</f>
        <v>Giảng viên khoa Kinh tế</v>
      </c>
      <c r="F90" s="1141">
        <v>4675320</v>
      </c>
      <c r="G90" s="1676">
        <f t="shared" si="2"/>
        <v>1.998</v>
      </c>
      <c r="H90" s="1654">
        <v>2340000</v>
      </c>
      <c r="I90" s="1141">
        <f t="shared" si="3"/>
        <v>4675320</v>
      </c>
      <c r="J90" s="1142">
        <f>A90</f>
        <v>80</v>
      </c>
      <c r="K90" s="1143">
        <f>VLOOKUP(B90,'[28]CN BC'!$F$10:$K$270,6,FALSE)</f>
        <v>0</v>
      </c>
      <c r="L90" s="1146"/>
      <c r="M90" s="1146"/>
      <c r="N90" s="1146"/>
    </row>
    <row r="91" spans="1:18" s="1148" customFormat="1" ht="28.5" customHeight="1">
      <c r="A91" s="1132">
        <f>_xlfn.AGGREGATE(4,7,A$10:A90)+1</f>
        <v>81</v>
      </c>
      <c r="B91" s="1133" t="s">
        <v>1475</v>
      </c>
      <c r="C91" s="1153" t="s">
        <v>1686</v>
      </c>
      <c r="D91" s="1166" t="s">
        <v>1585</v>
      </c>
      <c r="E91" s="1058" t="str">
        <f>VLOOKUP(B91,TH.Q2!B101:E432,4,FALSE)</f>
        <v>Giảng viên khoa Kinh tế</v>
      </c>
      <c r="F91" s="1141">
        <v>6851520</v>
      </c>
      <c r="G91" s="1676">
        <f t="shared" si="2"/>
        <v>2.9279999999999999</v>
      </c>
      <c r="H91" s="1654">
        <v>2340000</v>
      </c>
      <c r="I91" s="1141">
        <f t="shared" si="3"/>
        <v>6851520</v>
      </c>
      <c r="J91" s="1142">
        <f>A91</f>
        <v>81</v>
      </c>
      <c r="K91" s="1143">
        <f>VLOOKUP(B91,'[28]CN BC'!$F$10:$K$270,6,FALSE)</f>
        <v>0</v>
      </c>
    </row>
    <row r="92" spans="1:18" s="1148" customFormat="1" ht="30" customHeight="1">
      <c r="A92" s="1132">
        <f>_xlfn.AGGREGATE(4,7,A$10:A91)+1</f>
        <v>82</v>
      </c>
      <c r="B92" s="1133" t="s">
        <v>1476</v>
      </c>
      <c r="C92" s="1153" t="s">
        <v>1687</v>
      </c>
      <c r="D92" s="1166" t="s">
        <v>1586</v>
      </c>
      <c r="E92" s="1058" t="str">
        <f>VLOOKUP(B92,TH.Q2!B102:E433,4,FALSE)</f>
        <v>Giảng viên khoa Du lịch - Khách sạn</v>
      </c>
      <c r="F92" s="1141">
        <v>4212000</v>
      </c>
      <c r="G92" s="1676">
        <f t="shared" si="2"/>
        <v>1.8</v>
      </c>
      <c r="H92" s="1654">
        <v>2340000</v>
      </c>
      <c r="I92" s="1141">
        <f t="shared" si="3"/>
        <v>4212000</v>
      </c>
      <c r="J92" s="1142">
        <f>A92</f>
        <v>82</v>
      </c>
      <c r="K92" s="1143">
        <f>VLOOKUP(B92,'[28]CN BC'!$F$10:$K$270,6,FALSE)</f>
        <v>0</v>
      </c>
      <c r="L92" s="1146"/>
      <c r="M92" s="1146"/>
      <c r="N92" s="1146"/>
    </row>
    <row r="93" spans="1:18" s="1148" customFormat="1" ht="30" customHeight="1">
      <c r="A93" s="1132">
        <f>_xlfn.AGGREGATE(4,7,A$10:A92)+1</f>
        <v>83</v>
      </c>
      <c r="B93" s="1133" t="s">
        <v>1477</v>
      </c>
      <c r="C93" s="1153" t="s">
        <v>1688</v>
      </c>
      <c r="D93" s="1166" t="s">
        <v>1587</v>
      </c>
      <c r="E93" s="1058" t="str">
        <f>VLOOKUP(B93,TH.Q2!B103:E434,4,FALSE)</f>
        <v>Giảng viên khoa Du lịch - Khách sạn</v>
      </c>
      <c r="F93" s="1141">
        <v>7319520</v>
      </c>
      <c r="G93" s="1676">
        <f t="shared" si="2"/>
        <v>3.1280000000000001</v>
      </c>
      <c r="H93" s="1654">
        <v>2340000</v>
      </c>
      <c r="I93" s="1141">
        <f t="shared" si="3"/>
        <v>7319520</v>
      </c>
      <c r="J93" s="1142">
        <f>A93</f>
        <v>83</v>
      </c>
      <c r="K93" s="1143">
        <f>VLOOKUP(B93,'[28]CN BC'!$F$10:$K$270,6,FALSE)</f>
        <v>0</v>
      </c>
      <c r="L93" s="1146"/>
      <c r="M93" s="1146"/>
      <c r="N93" s="1146"/>
    </row>
    <row r="94" spans="1:18" s="1148" customFormat="1" ht="28.5" customHeight="1">
      <c r="A94" s="1132">
        <f>_xlfn.AGGREGATE(4,7,A$10:A93)+1</f>
        <v>84</v>
      </c>
      <c r="B94" s="1199" t="s">
        <v>1946</v>
      </c>
      <c r="C94" s="1132" t="s">
        <v>1950</v>
      </c>
      <c r="D94" s="1181" t="s">
        <v>1951</v>
      </c>
      <c r="E94" s="1058" t="str">
        <f>VLOOKUP(B94,TH.Q2!B105:E436,4,FALSE)</f>
        <v>Trưởng khoa Du lịch - Khách sạn</v>
      </c>
      <c r="F94" s="1141">
        <v>5840640</v>
      </c>
      <c r="G94" s="1676">
        <f t="shared" si="2"/>
        <v>2.496</v>
      </c>
      <c r="H94" s="1654">
        <v>2340000</v>
      </c>
      <c r="I94" s="1141">
        <f t="shared" si="3"/>
        <v>5840640</v>
      </c>
      <c r="J94" s="1142">
        <f>A94</f>
        <v>84</v>
      </c>
      <c r="K94" s="1143">
        <f>VLOOKUP(B94,'[28]CN BC'!$F$10:$K$270,6,FALSE)</f>
        <v>0</v>
      </c>
      <c r="L94" s="1146"/>
      <c r="M94" s="1146"/>
      <c r="N94" s="1146"/>
    </row>
    <row r="95" spans="1:18" s="1148" customFormat="1" ht="28.5" customHeight="1">
      <c r="A95" s="1132">
        <f>_xlfn.AGGREGATE(4,7,A$10:A94)+1</f>
        <v>85</v>
      </c>
      <c r="B95" s="1199" t="s">
        <v>1997</v>
      </c>
      <c r="C95" s="1132"/>
      <c r="D95" s="1181"/>
      <c r="E95" s="1058" t="str">
        <f>VLOOKUP(B95,TH.Q2!B107:E438,4,FALSE)</f>
        <v>Giảng viên khoa Kinh tế</v>
      </c>
      <c r="F95" s="1141">
        <v>3832919.9999999995</v>
      </c>
      <c r="G95" s="1676">
        <f t="shared" si="2"/>
        <v>1.6379999999999999</v>
      </c>
      <c r="H95" s="1654">
        <v>2340000</v>
      </c>
      <c r="I95" s="1141">
        <f t="shared" si="3"/>
        <v>3832920</v>
      </c>
      <c r="J95" s="1142">
        <f>A95</f>
        <v>85</v>
      </c>
      <c r="K95" s="1143">
        <f>VLOOKUP(B95,'[28]CN BC'!$F$10:$K$270,6,FALSE)</f>
        <v>0</v>
      </c>
    </row>
    <row r="96" spans="1:18" s="1148" customFormat="1" ht="26.25" customHeight="1">
      <c r="A96" s="1132">
        <f>_xlfn.AGGREGATE(4,7,A$10:A95)+1</f>
        <v>86</v>
      </c>
      <c r="B96" s="1199" t="s">
        <v>1998</v>
      </c>
      <c r="C96" s="1132"/>
      <c r="D96" s="1181"/>
      <c r="E96" s="1058" t="str">
        <f>VLOOKUP(B96,TH.Q2!B108:E439,4,FALSE)</f>
        <v>Giảng viên khoa Du lịch - Khách sạn</v>
      </c>
      <c r="F96" s="1141">
        <v>5995080</v>
      </c>
      <c r="G96" s="1676">
        <f t="shared" si="2"/>
        <v>2.5619999999999998</v>
      </c>
      <c r="H96" s="1654">
        <v>2340000</v>
      </c>
      <c r="I96" s="1141">
        <f t="shared" si="3"/>
        <v>5995080</v>
      </c>
      <c r="J96" s="1142">
        <f>A96</f>
        <v>86</v>
      </c>
      <c r="K96" s="1143">
        <f>VLOOKUP(B96,'[28]CN BC'!$F$10:$K$270,6,FALSE)</f>
        <v>0</v>
      </c>
    </row>
    <row r="97" spans="1:18" s="1148" customFormat="1" ht="28.5" customHeight="1">
      <c r="A97" s="1132">
        <f>_xlfn.AGGREGATE(4,7,A$10:A96)+1</f>
        <v>87</v>
      </c>
      <c r="B97" s="1199" t="s">
        <v>1999</v>
      </c>
      <c r="C97" s="1132"/>
      <c r="D97" s="1181"/>
      <c r="E97" s="1058" t="s">
        <v>2251</v>
      </c>
      <c r="F97" s="1141">
        <v>6851520</v>
      </c>
      <c r="G97" s="1676">
        <f t="shared" si="2"/>
        <v>2.9279999999999999</v>
      </c>
      <c r="H97" s="1654">
        <v>2340000</v>
      </c>
      <c r="I97" s="1141">
        <f t="shared" si="3"/>
        <v>6851520</v>
      </c>
      <c r="J97" s="1142">
        <f>A97</f>
        <v>87</v>
      </c>
      <c r="K97" s="1143">
        <f>VLOOKUP(B97,'[28]CN BC'!$F$10:$K$270,6,FALSE)</f>
        <v>0</v>
      </c>
    </row>
    <row r="98" spans="1:18" s="1148" customFormat="1" ht="28.5" customHeight="1">
      <c r="A98" s="1132">
        <f>_xlfn.AGGREGATE(4,7,A$10:A97)+1</f>
        <v>88</v>
      </c>
      <c r="B98" s="1199" t="s">
        <v>2001</v>
      </c>
      <c r="C98" s="1132"/>
      <c r="D98" s="1181"/>
      <c r="E98" s="1058" t="str">
        <f>VLOOKUP(B98,TH.Q2!B110:E441,4,FALSE)</f>
        <v>Giảng viên khoa Kinh tế</v>
      </c>
      <c r="F98" s="1141">
        <v>4212000</v>
      </c>
      <c r="G98" s="1676">
        <f t="shared" si="2"/>
        <v>1.8</v>
      </c>
      <c r="H98" s="1654">
        <v>2340000</v>
      </c>
      <c r="I98" s="1141">
        <f t="shared" si="3"/>
        <v>4212000</v>
      </c>
      <c r="J98" s="1142">
        <f>A98</f>
        <v>88</v>
      </c>
      <c r="K98" s="1143">
        <f>VLOOKUP(B98,'[28]CN BC'!$F$10:$K$270,6,FALSE)</f>
        <v>0</v>
      </c>
    </row>
    <row r="99" spans="1:18" s="1148" customFormat="1" ht="28.5" customHeight="1">
      <c r="A99" s="1132">
        <f>_xlfn.AGGREGATE(4,7,A$10:A98)+1</f>
        <v>89</v>
      </c>
      <c r="B99" s="1199" t="s">
        <v>2096</v>
      </c>
      <c r="C99" s="1132"/>
      <c r="D99" s="1181"/>
      <c r="E99" s="383" t="str">
        <f>VLOOKUP(B99,TH.Q2!B111:E442,4,FALSE)</f>
        <v>NV Kế toán</v>
      </c>
      <c r="F99" s="1141">
        <v>4248504</v>
      </c>
      <c r="G99" s="1676">
        <f t="shared" si="2"/>
        <v>1.8156000000000001</v>
      </c>
      <c r="H99" s="1654">
        <v>2340000</v>
      </c>
      <c r="I99" s="1141">
        <f t="shared" si="3"/>
        <v>4248504</v>
      </c>
      <c r="J99" s="1142">
        <f>A99</f>
        <v>89</v>
      </c>
      <c r="K99" s="1143" t="str">
        <f>VLOOKUP(B99,'[28]CN BC'!$F$10:$K$270,6,FALSE)</f>
        <v>Hỗ trợ công việc phòng KHTC</v>
      </c>
    </row>
    <row r="100" spans="1:18" s="1148" customFormat="1" ht="25.5" customHeight="1">
      <c r="A100" s="1132">
        <f>_xlfn.AGGREGATE(4,7,A$10:A99)+1</f>
        <v>90</v>
      </c>
      <c r="B100" s="1133" t="s">
        <v>1478</v>
      </c>
      <c r="C100" s="1153" t="s">
        <v>1689</v>
      </c>
      <c r="D100" s="1154" t="s">
        <v>371</v>
      </c>
      <c r="E100" s="1058" t="str">
        <f>VLOOKUP(B100,TH.Q2!B19:E350,4,FALSE)</f>
        <v>Giảng viên khoa May - Thời trang</v>
      </c>
      <c r="F100" s="1141">
        <v>5601960</v>
      </c>
      <c r="G100" s="1676">
        <f t="shared" si="2"/>
        <v>2.3940000000000001</v>
      </c>
      <c r="H100" s="1654">
        <v>2340000</v>
      </c>
      <c r="I100" s="1141">
        <f t="shared" si="3"/>
        <v>5601960</v>
      </c>
      <c r="J100" s="1142">
        <f>A100</f>
        <v>90</v>
      </c>
      <c r="K100" s="1143">
        <f>VLOOKUP(B100,'[28]CN BC'!$F$10:$K$270,6,FALSE)</f>
        <v>0</v>
      </c>
      <c r="L100" s="1146"/>
      <c r="M100" s="1146"/>
      <c r="N100" s="1146"/>
    </row>
    <row r="101" spans="1:18" s="1148" customFormat="1" ht="24.75" customHeight="1">
      <c r="A101" s="1132">
        <f>_xlfn.AGGREGATE(4,7,A$10:A100)+1</f>
        <v>91</v>
      </c>
      <c r="B101" s="1172" t="s">
        <v>1479</v>
      </c>
      <c r="C101" s="1149" t="s">
        <v>1690</v>
      </c>
      <c r="D101" s="1173" t="s">
        <v>372</v>
      </c>
      <c r="E101" s="1058" t="str">
        <f>VLOOKUP(B101,TH.Q2!B20:E351,4,FALSE)</f>
        <v>Giảng viên khoa May - Thời trang</v>
      </c>
      <c r="F101" s="1141">
        <v>4668300</v>
      </c>
      <c r="G101" s="1676">
        <f t="shared" si="2"/>
        <v>1.9950000000000001</v>
      </c>
      <c r="H101" s="1654">
        <v>2340000</v>
      </c>
      <c r="I101" s="1141">
        <f t="shared" si="3"/>
        <v>4668300</v>
      </c>
      <c r="J101" s="1142">
        <f>A101</f>
        <v>91</v>
      </c>
      <c r="K101" s="1143">
        <f>VLOOKUP(B101,'[28]CN BC'!$F$10:$K$270,6,FALSE)</f>
        <v>0</v>
      </c>
      <c r="L101" s="1146"/>
      <c r="M101" s="1146"/>
      <c r="N101" s="1146"/>
      <c r="O101" s="1146"/>
      <c r="P101" s="1146"/>
      <c r="Q101" s="1146"/>
      <c r="R101" s="1146"/>
    </row>
    <row r="102" spans="1:18" s="1148" customFormat="1" ht="24.75" customHeight="1">
      <c r="A102" s="1132">
        <f>_xlfn.AGGREGATE(4,7,A$10:A101)+1</f>
        <v>92</v>
      </c>
      <c r="B102" s="1133" t="s">
        <v>1480</v>
      </c>
      <c r="C102" s="1149" t="s">
        <v>1691</v>
      </c>
      <c r="D102" s="1166" t="s">
        <v>735</v>
      </c>
      <c r="E102" s="1058" t="str">
        <f>VLOOKUP(B102,TH.Q2!B21:E352,4,FALSE)</f>
        <v>Phó Trưởng khoa May - Thời trang</v>
      </c>
      <c r="F102" s="1141">
        <v>6191640</v>
      </c>
      <c r="G102" s="1676">
        <f t="shared" si="2"/>
        <v>2.6459999999999999</v>
      </c>
      <c r="H102" s="1654">
        <v>2340000</v>
      </c>
      <c r="I102" s="1141">
        <f t="shared" si="3"/>
        <v>6191640</v>
      </c>
      <c r="J102" s="1142">
        <f>A102</f>
        <v>92</v>
      </c>
      <c r="K102" s="1143">
        <f>VLOOKUP(B102,'[28]CN BC'!$F$10:$K$270,6,FALSE)</f>
        <v>0</v>
      </c>
      <c r="L102" s="1146"/>
      <c r="M102" s="1146"/>
      <c r="N102" s="1146"/>
      <c r="O102" s="1146"/>
      <c r="P102" s="1146"/>
      <c r="Q102" s="1146"/>
      <c r="R102" s="1146"/>
    </row>
    <row r="103" spans="1:18" s="1148" customFormat="1" ht="24.75" customHeight="1">
      <c r="A103" s="1132">
        <f>_xlfn.AGGREGATE(4,7,A$10:A102)+1</f>
        <v>93</v>
      </c>
      <c r="B103" s="1133" t="s">
        <v>1481</v>
      </c>
      <c r="C103" s="1153" t="s">
        <v>1692</v>
      </c>
      <c r="D103" s="1166">
        <v>1603205353742</v>
      </c>
      <c r="E103" s="1058" t="str">
        <f>VLOOKUP(B103,TH.Q2!B22:E353,4,FALSE)</f>
        <v>Giảng viên khoa May - Thời trang</v>
      </c>
      <c r="F103" s="1141">
        <v>4675320</v>
      </c>
      <c r="G103" s="1676">
        <f t="shared" si="2"/>
        <v>1.998</v>
      </c>
      <c r="H103" s="1654">
        <v>2340000</v>
      </c>
      <c r="I103" s="1141">
        <f t="shared" si="3"/>
        <v>4675320</v>
      </c>
      <c r="J103" s="1142">
        <f>A103</f>
        <v>93</v>
      </c>
      <c r="K103" s="1143">
        <f>VLOOKUP(B103,'[28]CN BC'!$F$10:$K$270,6,FALSE)</f>
        <v>0</v>
      </c>
      <c r="L103" s="1146"/>
      <c r="M103" s="1146"/>
      <c r="N103" s="1146"/>
    </row>
    <row r="104" spans="1:18" s="1148" customFormat="1" ht="24.75" customHeight="1">
      <c r="A104" s="1132">
        <f>_xlfn.AGGREGATE(4,7,A$10:A103)+1</f>
        <v>94</v>
      </c>
      <c r="B104" s="1133" t="s">
        <v>1865</v>
      </c>
      <c r="C104" s="1149" t="s">
        <v>1693</v>
      </c>
      <c r="D104" s="1166">
        <v>1603205357136</v>
      </c>
      <c r="E104" s="1058" t="str">
        <f>VLOOKUP(B104,TH.Q2!B23:E354,4,FALSE)</f>
        <v>Giảng viên khoa May - Thời trang</v>
      </c>
      <c r="F104" s="1141">
        <v>5138640</v>
      </c>
      <c r="G104" s="1676">
        <f t="shared" si="2"/>
        <v>2.1960000000000002</v>
      </c>
      <c r="H104" s="1654">
        <v>2340000</v>
      </c>
      <c r="I104" s="1141">
        <f t="shared" si="3"/>
        <v>5138640</v>
      </c>
      <c r="J104" s="1142">
        <f>A104</f>
        <v>94</v>
      </c>
      <c r="K104" s="1143">
        <f>VLOOKUP(B104,'[28]CN BC'!$F$10:$K$270,6,FALSE)</f>
        <v>0</v>
      </c>
      <c r="L104" s="1146"/>
      <c r="M104" s="1146"/>
      <c r="N104" s="1146"/>
      <c r="O104" s="1146"/>
      <c r="P104" s="1146"/>
      <c r="Q104" s="1146"/>
      <c r="R104" s="1146"/>
    </row>
    <row r="105" spans="1:18" s="1148" customFormat="1" ht="29.25" customHeight="1">
      <c r="A105" s="1132">
        <f>_xlfn.AGGREGATE(4,7,A$10:A104)+1</f>
        <v>95</v>
      </c>
      <c r="B105" s="1133" t="s">
        <v>1482</v>
      </c>
      <c r="C105" s="1153" t="s">
        <v>1694</v>
      </c>
      <c r="D105" s="1150" t="s">
        <v>1422</v>
      </c>
      <c r="E105" s="383" t="str">
        <f>VLOOKUP(B105,TH.Q2!B24:E355,4,FALSE)</f>
        <v>Giảng viên khoa May - Thời trang</v>
      </c>
      <c r="F105" s="1141">
        <v>4675320</v>
      </c>
      <c r="G105" s="1676">
        <f t="shared" si="2"/>
        <v>1.998</v>
      </c>
      <c r="H105" s="1654">
        <v>2340000</v>
      </c>
      <c r="I105" s="1141">
        <f t="shared" si="3"/>
        <v>4675320</v>
      </c>
      <c r="J105" s="1142">
        <f>A105</f>
        <v>95</v>
      </c>
      <c r="K105" s="1143">
        <f>VLOOKUP(B105,'[28]CN BC'!$F$10:$K$270,6,FALSE)</f>
        <v>0</v>
      </c>
      <c r="L105" s="1146"/>
      <c r="M105" s="1146"/>
      <c r="N105" s="1146"/>
      <c r="O105" s="1146"/>
      <c r="P105" s="1146"/>
      <c r="Q105" s="1146"/>
      <c r="R105" s="1146"/>
    </row>
    <row r="106" spans="1:18" s="1148" customFormat="1" ht="24.75" customHeight="1">
      <c r="A106" s="1132">
        <f>_xlfn.AGGREGATE(4,7,A$10:A105)+1</f>
        <v>96</v>
      </c>
      <c r="B106" s="1133" t="s">
        <v>1483</v>
      </c>
      <c r="C106" s="1149" t="s">
        <v>1695</v>
      </c>
      <c r="D106" s="1150" t="s">
        <v>1432</v>
      </c>
      <c r="E106" s="1058" t="str">
        <f>VLOOKUP(B106,TH.Q2!B25:E356,4,FALSE)</f>
        <v>Giảng viên khoa Du lịch - Khách sạn</v>
      </c>
      <c r="F106" s="1141">
        <v>7762716.0000000009</v>
      </c>
      <c r="G106" s="1676">
        <f t="shared" si="2"/>
        <v>3.3174000000000006</v>
      </c>
      <c r="H106" s="1654">
        <v>2340000</v>
      </c>
      <c r="I106" s="1141">
        <f t="shared" si="3"/>
        <v>7762716.0000000009</v>
      </c>
      <c r="J106" s="1142">
        <f>A106</f>
        <v>96</v>
      </c>
      <c r="K106" s="1143">
        <f>VLOOKUP(B106,'[28]CN BC'!$F$10:$K$270,6,FALSE)</f>
        <v>0</v>
      </c>
      <c r="L106" s="1146"/>
      <c r="M106" s="1146"/>
      <c r="N106" s="1146"/>
      <c r="O106" s="1146"/>
      <c r="P106" s="1146"/>
      <c r="Q106" s="1146"/>
      <c r="R106" s="1146"/>
    </row>
    <row r="107" spans="1:18" s="1148" customFormat="1" ht="24.75" customHeight="1">
      <c r="A107" s="1132">
        <f>_xlfn.AGGREGATE(4,7,A$10:A106)+1</f>
        <v>97</v>
      </c>
      <c r="B107" s="1172" t="s">
        <v>1568</v>
      </c>
      <c r="C107" s="1149" t="s">
        <v>1696</v>
      </c>
      <c r="D107" s="1163" t="s">
        <v>1569</v>
      </c>
      <c r="E107" s="1058" t="str">
        <f>VLOOKUP(B107,TH.Q2!B26:E357,4,FALSE)</f>
        <v>Giảng viên khoa May - Thời trang</v>
      </c>
      <c r="F107" s="1141">
        <v>4675320</v>
      </c>
      <c r="G107" s="1676">
        <f t="shared" si="2"/>
        <v>1.998</v>
      </c>
      <c r="H107" s="1654">
        <v>2340000</v>
      </c>
      <c r="I107" s="1141">
        <f t="shared" si="3"/>
        <v>4675320</v>
      </c>
      <c r="J107" s="1142">
        <f>A107</f>
        <v>97</v>
      </c>
      <c r="K107" s="1143">
        <f>VLOOKUP(B107,'[28]CN BC'!$F$10:$K$270,6,FALSE)</f>
        <v>0</v>
      </c>
      <c r="L107" s="1146"/>
      <c r="M107" s="1146"/>
      <c r="N107" s="1146"/>
      <c r="O107" s="1146"/>
      <c r="P107" s="1146"/>
      <c r="Q107" s="1146"/>
      <c r="R107" s="1146"/>
    </row>
    <row r="108" spans="1:18" s="1148" customFormat="1" ht="24.75" customHeight="1">
      <c r="A108" s="1132">
        <f>_xlfn.AGGREGATE(4,7,A$10:A107)+1</f>
        <v>98</v>
      </c>
      <c r="B108" s="1133" t="s">
        <v>1832</v>
      </c>
      <c r="C108" s="1153" t="s">
        <v>1963</v>
      </c>
      <c r="D108" s="1208">
        <v>1603215005610</v>
      </c>
      <c r="E108" s="1058" t="str">
        <f>VLOOKUP(B108,TH.Q2!B27:E358,4,FALSE)</f>
        <v>Giảng viên khoa May - Thời trang</v>
      </c>
      <c r="F108" s="1141">
        <v>3896100</v>
      </c>
      <c r="G108" s="1676">
        <f t="shared" si="2"/>
        <v>1.665</v>
      </c>
      <c r="H108" s="1654">
        <v>2340000</v>
      </c>
      <c r="I108" s="1141">
        <f t="shared" si="3"/>
        <v>3896100</v>
      </c>
      <c r="J108" s="1142">
        <f>A108</f>
        <v>98</v>
      </c>
      <c r="K108" s="1143">
        <f>VLOOKUP(B108,'[28]CN BC'!$F$10:$K$270,6,FALSE)</f>
        <v>0</v>
      </c>
      <c r="L108" s="1146"/>
      <c r="M108" s="1146"/>
      <c r="N108" s="1146"/>
    </row>
    <row r="109" spans="1:18" s="1146" customFormat="1" ht="27" customHeight="1">
      <c r="A109" s="1132">
        <f>_xlfn.AGGREGATE(4,7,A$10:A108)+1</f>
        <v>99</v>
      </c>
      <c r="B109" s="1172" t="s">
        <v>1555</v>
      </c>
      <c r="C109" s="1149" t="s">
        <v>1658</v>
      </c>
      <c r="D109" s="1173" t="s">
        <v>1278</v>
      </c>
      <c r="E109" s="1058" t="str">
        <f>VLOOKUP(B109,TH.Q2!B28:E359,4,FALSE)</f>
        <v>Trưởng khoa KHCB</v>
      </c>
      <c r="F109" s="1141">
        <v>8894340</v>
      </c>
      <c r="G109" s="1676">
        <f t="shared" si="2"/>
        <v>3.8010000000000002</v>
      </c>
      <c r="H109" s="1654">
        <v>2340000</v>
      </c>
      <c r="I109" s="1141">
        <f t="shared" si="3"/>
        <v>8894340</v>
      </c>
      <c r="J109" s="1142">
        <f>A109</f>
        <v>99</v>
      </c>
      <c r="K109" s="1143">
        <f>VLOOKUP(B109,'[28]CN BC'!$F$10:$K$270,6,FALSE)</f>
        <v>0</v>
      </c>
    </row>
    <row r="110" spans="1:18" s="1148" customFormat="1" ht="28.5" customHeight="1">
      <c r="A110" s="1132">
        <f>_xlfn.AGGREGATE(4,7,A$10:A109)+1</f>
        <v>100</v>
      </c>
      <c r="B110" s="1133" t="s">
        <v>1866</v>
      </c>
      <c r="C110" s="1153" t="s">
        <v>1697</v>
      </c>
      <c r="D110" s="1154" t="s">
        <v>1300</v>
      </c>
      <c r="E110" s="1058" t="str">
        <f>VLOOKUP(B110,TH.Q2!B29:E360,4,FALSE)</f>
        <v>Giảng viên Khoa KHCB</v>
      </c>
      <c r="F110" s="1141">
        <v>7481916.0000000009</v>
      </c>
      <c r="G110" s="1676">
        <f t="shared" si="2"/>
        <v>3.1974000000000005</v>
      </c>
      <c r="H110" s="1654">
        <v>2340000</v>
      </c>
      <c r="I110" s="1141">
        <f t="shared" si="3"/>
        <v>7481916.0000000009</v>
      </c>
      <c r="J110" s="1142">
        <f>A110</f>
        <v>100</v>
      </c>
      <c r="K110" s="1143">
        <f>VLOOKUP(B110,'[28]CN BC'!$F$10:$K$270,6,FALSE)</f>
        <v>0</v>
      </c>
    </row>
    <row r="111" spans="1:18" s="1146" customFormat="1" ht="30" customHeight="1">
      <c r="A111" s="1132">
        <f>_xlfn.AGGREGATE(4,7,A$10:A110)+1</f>
        <v>101</v>
      </c>
      <c r="B111" s="1172" t="s">
        <v>1867</v>
      </c>
      <c r="C111" s="1149" t="s">
        <v>1698</v>
      </c>
      <c r="D111" s="1173" t="s">
        <v>1299</v>
      </c>
      <c r="E111" s="1058" t="str">
        <f>VLOOKUP(B111,TH.Q2!B30:E361,4,FALSE)</f>
        <v>Giảng viên Khoa KHCB</v>
      </c>
      <c r="F111" s="1141">
        <v>6065280</v>
      </c>
      <c r="G111" s="1676">
        <f t="shared" si="2"/>
        <v>2.5920000000000001</v>
      </c>
      <c r="H111" s="1654">
        <v>2340000</v>
      </c>
      <c r="I111" s="1141">
        <f t="shared" si="3"/>
        <v>6065280</v>
      </c>
      <c r="J111" s="1142">
        <f>A111</f>
        <v>101</v>
      </c>
      <c r="K111" s="1143">
        <f>VLOOKUP(B111,'[28]CN BC'!$F$10:$K$270,6,FALSE)</f>
        <v>0</v>
      </c>
    </row>
    <row r="112" spans="1:18" s="1148" customFormat="1" ht="30" customHeight="1">
      <c r="A112" s="1132">
        <f>_xlfn.AGGREGATE(4,7,A$10:A111)+1</f>
        <v>102</v>
      </c>
      <c r="B112" s="1133" t="s">
        <v>1485</v>
      </c>
      <c r="C112" s="1153" t="s">
        <v>1699</v>
      </c>
      <c r="D112" s="1154" t="s">
        <v>373</v>
      </c>
      <c r="E112" s="383" t="str">
        <f>VLOOKUP(B112,TH.Q2!B31:E362,4,FALSE)</f>
        <v>Giảng viên khoa KHCB</v>
      </c>
      <c r="F112" s="1141">
        <v>5054400</v>
      </c>
      <c r="G112" s="1676">
        <f t="shared" si="2"/>
        <v>2.16</v>
      </c>
      <c r="H112" s="1654">
        <v>2340000</v>
      </c>
      <c r="I112" s="1141">
        <f t="shared" si="3"/>
        <v>5054400</v>
      </c>
      <c r="J112" s="1142">
        <f>A112</f>
        <v>102</v>
      </c>
      <c r="K112" s="1143">
        <f>VLOOKUP(B112,'[28]CN BC'!$F$10:$K$270,6,FALSE)</f>
        <v>0</v>
      </c>
    </row>
    <row r="113" spans="1:18" s="1148" customFormat="1" ht="30" customHeight="1">
      <c r="A113" s="1132">
        <f>_xlfn.AGGREGATE(4,7,A$10:A112)+1</f>
        <v>103</v>
      </c>
      <c r="B113" s="1133" t="s">
        <v>1559</v>
      </c>
      <c r="C113" s="1149" t="s">
        <v>1647</v>
      </c>
      <c r="D113" s="1154" t="s">
        <v>406</v>
      </c>
      <c r="E113" s="1058" t="str">
        <f>VLOOKUP(B113,TH.Q2!B32:E363,4,FALSE)</f>
        <v>Giảng viên khoa KHCB</v>
      </c>
      <c r="F113" s="1141">
        <v>4282200</v>
      </c>
      <c r="G113" s="1676">
        <f t="shared" si="2"/>
        <v>1.83</v>
      </c>
      <c r="H113" s="1654">
        <v>2340000</v>
      </c>
      <c r="I113" s="1141">
        <f t="shared" si="3"/>
        <v>4282200</v>
      </c>
      <c r="J113" s="1142">
        <f>A113</f>
        <v>103</v>
      </c>
      <c r="K113" s="1143">
        <f>VLOOKUP(B113,'[28]CN BC'!$F$10:$K$270,6,FALSE)</f>
        <v>0</v>
      </c>
      <c r="L113" s="1146"/>
      <c r="M113" s="1146"/>
      <c r="N113" s="1146"/>
      <c r="O113" s="1146"/>
      <c r="P113" s="1146"/>
      <c r="Q113" s="1146"/>
      <c r="R113" s="1146"/>
    </row>
    <row r="114" spans="1:18" s="1148" customFormat="1" ht="30" customHeight="1">
      <c r="A114" s="1132">
        <f>_xlfn.AGGREGATE(4,7,A$10:A113)+1</f>
        <v>104</v>
      </c>
      <c r="B114" s="1133" t="s">
        <v>1868</v>
      </c>
      <c r="C114" s="1153" t="s">
        <v>1700</v>
      </c>
      <c r="D114" s="1154" t="s">
        <v>1303</v>
      </c>
      <c r="E114" s="1058" t="str">
        <f>VLOOKUP(B114,TH.Q2!B33:E364,4,FALSE)</f>
        <v>Giảng viên Khoa KHCB</v>
      </c>
      <c r="F114" s="1141">
        <v>5826600.0000000009</v>
      </c>
      <c r="G114" s="1676">
        <f t="shared" si="2"/>
        <v>2.4900000000000002</v>
      </c>
      <c r="H114" s="1654">
        <v>2340000</v>
      </c>
      <c r="I114" s="1141">
        <f t="shared" si="3"/>
        <v>5826600.0000000009</v>
      </c>
      <c r="J114" s="1142">
        <f>A114</f>
        <v>104</v>
      </c>
      <c r="K114" s="1143">
        <f>VLOOKUP(B114,'[28]CN BC'!$F$10:$K$270,6,FALSE)</f>
        <v>0</v>
      </c>
      <c r="L114" s="1146"/>
      <c r="M114" s="1146"/>
      <c r="N114" s="1146"/>
    </row>
    <row r="115" spans="1:18" s="1148" customFormat="1" ht="30" customHeight="1">
      <c r="A115" s="1132">
        <f>_xlfn.AGGREGATE(4,7,A$10:A114)+1</f>
        <v>105</v>
      </c>
      <c r="B115" s="1133" t="s">
        <v>1869</v>
      </c>
      <c r="C115" s="1149" t="s">
        <v>1701</v>
      </c>
      <c r="D115" s="1154" t="s">
        <v>1304</v>
      </c>
      <c r="E115" s="1058" t="str">
        <f>VLOOKUP(B115,TH.Q2!B34:E365,4,FALSE)</f>
        <v>Giảng viên Khoa KHCB</v>
      </c>
      <c r="F115" s="1141">
        <v>5054400</v>
      </c>
      <c r="G115" s="1676">
        <f t="shared" si="2"/>
        <v>2.16</v>
      </c>
      <c r="H115" s="1654">
        <v>2340000</v>
      </c>
      <c r="I115" s="1141">
        <f t="shared" si="3"/>
        <v>5054400</v>
      </c>
      <c r="J115" s="1142">
        <f>A115</f>
        <v>105</v>
      </c>
      <c r="K115" s="1143">
        <f>VLOOKUP(B115,'[28]CN BC'!$F$10:$K$270,6,FALSE)</f>
        <v>0</v>
      </c>
      <c r="L115" s="1146"/>
      <c r="M115" s="1146"/>
      <c r="N115" s="1146"/>
      <c r="O115" s="1146"/>
      <c r="P115" s="1146"/>
      <c r="Q115" s="1146"/>
      <c r="R115" s="1146"/>
    </row>
    <row r="116" spans="1:18" s="1148" customFormat="1" ht="30" customHeight="1">
      <c r="A116" s="1132">
        <f>_xlfn.AGGREGATE(4,7,A$10:A115)+1</f>
        <v>106</v>
      </c>
      <c r="B116" s="1133" t="s">
        <v>1870</v>
      </c>
      <c r="C116" s="1153" t="s">
        <v>1702</v>
      </c>
      <c r="D116" s="1154" t="s">
        <v>1306</v>
      </c>
      <c r="E116" s="383" t="str">
        <f>VLOOKUP(B116,TH.Q2!B35:E366,4,FALSE)</f>
        <v>Giảng viên Khoa KHCB</v>
      </c>
      <c r="F116" s="1141">
        <v>7620912.0000000009</v>
      </c>
      <c r="G116" s="1676">
        <f t="shared" si="2"/>
        <v>3.2568000000000006</v>
      </c>
      <c r="H116" s="1654">
        <v>2340000</v>
      </c>
      <c r="I116" s="1141">
        <f t="shared" si="3"/>
        <v>7620912.0000000009</v>
      </c>
      <c r="J116" s="1142">
        <f>A116</f>
        <v>106</v>
      </c>
      <c r="K116" s="1143">
        <f>VLOOKUP(B116,'[28]CN BC'!$F$10:$K$270,6,FALSE)</f>
        <v>0</v>
      </c>
    </row>
    <row r="117" spans="1:18" s="1148" customFormat="1" ht="26.25" customHeight="1">
      <c r="A117" s="1132">
        <f>_xlfn.AGGREGATE(4,7,A$10:A116)+1</f>
        <v>107</v>
      </c>
      <c r="B117" s="1133" t="s">
        <v>847</v>
      </c>
      <c r="C117" s="1153" t="s">
        <v>1703</v>
      </c>
      <c r="D117" s="1154" t="s">
        <v>1307</v>
      </c>
      <c r="E117" s="1058" t="str">
        <f>VLOOKUP(B117,TH.Q2!B36:E367,4,FALSE)</f>
        <v>Giảng viên khoa KHCB</v>
      </c>
      <c r="F117" s="1141">
        <v>5601960</v>
      </c>
      <c r="G117" s="1676">
        <f t="shared" si="2"/>
        <v>2.3940000000000001</v>
      </c>
      <c r="H117" s="1654">
        <v>2340000</v>
      </c>
      <c r="I117" s="1141">
        <f t="shared" si="3"/>
        <v>5601960</v>
      </c>
      <c r="J117" s="1211">
        <f>A117</f>
        <v>107</v>
      </c>
      <c r="K117" s="1143">
        <f>VLOOKUP(B117,'[28]CN BC'!$F$10:$K$270,6,FALSE)</f>
        <v>0</v>
      </c>
    </row>
    <row r="118" spans="1:18" s="1148" customFormat="1" ht="30" customHeight="1">
      <c r="A118" s="1132">
        <f>_xlfn.AGGREGATE(4,7,A$10:A117)+1</f>
        <v>108</v>
      </c>
      <c r="B118" s="1133" t="s">
        <v>1486</v>
      </c>
      <c r="C118" s="1149" t="s">
        <v>1704</v>
      </c>
      <c r="D118" s="1166" t="s">
        <v>1588</v>
      </c>
      <c r="E118" s="1058" t="str">
        <f>VLOOKUP(B118,TH.Q2!B37:E368,4,FALSE)</f>
        <v>Giảng viên khoa KHCB</v>
      </c>
      <c r="F118" s="1141">
        <v>4282200</v>
      </c>
      <c r="G118" s="1676">
        <f t="shared" si="2"/>
        <v>1.83</v>
      </c>
      <c r="H118" s="1654">
        <v>2340000</v>
      </c>
      <c r="I118" s="1141">
        <f t="shared" si="3"/>
        <v>4282200</v>
      </c>
      <c r="J118" s="1211">
        <f>A118</f>
        <v>108</v>
      </c>
      <c r="K118" s="1143">
        <f>VLOOKUP(B118,'[28]CN BC'!$F$10:$K$270,6,FALSE)</f>
        <v>0</v>
      </c>
      <c r="L118" s="1146"/>
      <c r="M118" s="1146"/>
      <c r="N118" s="1146"/>
      <c r="O118" s="1146"/>
      <c r="P118" s="1146"/>
      <c r="Q118" s="1146"/>
      <c r="R118" s="1146"/>
    </row>
    <row r="119" spans="1:18" s="1146" customFormat="1" ht="30" customHeight="1">
      <c r="A119" s="1132">
        <f>_xlfn.AGGREGATE(4,7,A$10:A118)+1</f>
        <v>109</v>
      </c>
      <c r="B119" s="1133" t="s">
        <v>1871</v>
      </c>
      <c r="C119" s="1153" t="s">
        <v>1705</v>
      </c>
      <c r="D119" s="1154" t="s">
        <v>1309</v>
      </c>
      <c r="E119" s="1058" t="str">
        <f>VLOOKUP(B119,TH.Q2!B38:E369,4,FALSE)</f>
        <v>Phó TK Khoa KHCB</v>
      </c>
      <c r="F119" s="1141">
        <v>8730540</v>
      </c>
      <c r="G119" s="1676">
        <f t="shared" si="2"/>
        <v>3.7309999999999999</v>
      </c>
      <c r="H119" s="1654">
        <v>2340000</v>
      </c>
      <c r="I119" s="1141">
        <f t="shared" si="3"/>
        <v>8730540</v>
      </c>
      <c r="J119" s="1211">
        <f>A119</f>
        <v>109</v>
      </c>
      <c r="K119" s="1143">
        <f>VLOOKUP(B119,'[28]CN BC'!$F$10:$K$270,6,FALSE)</f>
        <v>0</v>
      </c>
    </row>
    <row r="120" spans="1:18" s="1148" customFormat="1" ht="30" customHeight="1">
      <c r="A120" s="1132">
        <f>_xlfn.AGGREGATE(4,7,A$10:A119)+1</f>
        <v>110</v>
      </c>
      <c r="B120" s="1133" t="s">
        <v>1872</v>
      </c>
      <c r="C120" s="1153" t="s">
        <v>1706</v>
      </c>
      <c r="D120" s="1154" t="s">
        <v>1311</v>
      </c>
      <c r="E120" s="383" t="str">
        <f>VLOOKUP(B120,TH.Q2!B39:E370,4,FALSE)</f>
        <v>Giảng viên Khoa KHCB</v>
      </c>
      <c r="F120" s="1141">
        <v>6176430.0000000009</v>
      </c>
      <c r="G120" s="1676">
        <f t="shared" si="2"/>
        <v>2.6395000000000004</v>
      </c>
      <c r="H120" s="1654">
        <v>2340000</v>
      </c>
      <c r="I120" s="1141">
        <f t="shared" si="3"/>
        <v>6176430.0000000009</v>
      </c>
      <c r="J120" s="1211">
        <f>A120</f>
        <v>110</v>
      </c>
      <c r="K120" s="1143">
        <f>VLOOKUP(B120,'[28]CN BC'!$F$10:$K$270,6,FALSE)</f>
        <v>0</v>
      </c>
    </row>
    <row r="121" spans="1:18" s="1148" customFormat="1" ht="32.25" customHeight="1">
      <c r="A121" s="1132">
        <f>_xlfn.AGGREGATE(4,7,A$10:A120)+1</f>
        <v>111</v>
      </c>
      <c r="B121" s="1133" t="s">
        <v>1487</v>
      </c>
      <c r="C121" s="1153" t="s">
        <v>1707</v>
      </c>
      <c r="D121" s="1154" t="s">
        <v>1312</v>
      </c>
      <c r="E121" s="1058" t="str">
        <f>VLOOKUP(B121,TH.Q2!B40:E371,4,FALSE)</f>
        <v>Giảng viên khoa KHCB</v>
      </c>
      <c r="F121" s="1141">
        <v>5601960</v>
      </c>
      <c r="G121" s="1676">
        <f t="shared" si="2"/>
        <v>2.3940000000000001</v>
      </c>
      <c r="H121" s="1654">
        <v>2340000</v>
      </c>
      <c r="I121" s="1141">
        <f t="shared" si="3"/>
        <v>5601960</v>
      </c>
      <c r="J121" s="1142">
        <f>A121</f>
        <v>111</v>
      </c>
      <c r="K121" s="1143">
        <f>VLOOKUP(B121,'[28]CN BC'!$F$10:$K$270,6,FALSE)</f>
        <v>0</v>
      </c>
    </row>
    <row r="122" spans="1:18" s="1148" customFormat="1" ht="30" customHeight="1">
      <c r="A122" s="1132">
        <f>_xlfn.AGGREGATE(4,7,A$10:A121)+1</f>
        <v>112</v>
      </c>
      <c r="B122" s="1133" t="s">
        <v>1488</v>
      </c>
      <c r="C122" s="1153" t="s">
        <v>1708</v>
      </c>
      <c r="D122" s="1154" t="s">
        <v>374</v>
      </c>
      <c r="E122" s="1058" t="str">
        <f>VLOOKUP(B122,TH.Q2!B41:E372,4,FALSE)</f>
        <v>Giảng viên khoa KHCB</v>
      </c>
      <c r="F122" s="1141">
        <v>4282200</v>
      </c>
      <c r="G122" s="1676">
        <f t="shared" si="2"/>
        <v>1.83</v>
      </c>
      <c r="H122" s="1654">
        <v>2340000</v>
      </c>
      <c r="I122" s="1141">
        <f t="shared" si="3"/>
        <v>4282200</v>
      </c>
      <c r="J122" s="1142">
        <f>A122</f>
        <v>112</v>
      </c>
      <c r="K122" s="1143">
        <f>VLOOKUP(B122,'[28]CN BC'!$F$10:$K$270,6,FALSE)</f>
        <v>0</v>
      </c>
      <c r="L122" s="1146"/>
      <c r="M122" s="1146"/>
      <c r="N122" s="1146"/>
    </row>
    <row r="123" spans="1:18" s="1148" customFormat="1" ht="30" customHeight="1">
      <c r="A123" s="1132">
        <f>_xlfn.AGGREGATE(4,7,A$10:A122)+1</f>
        <v>113</v>
      </c>
      <c r="B123" s="1133" t="s">
        <v>1489</v>
      </c>
      <c r="C123" s="1153" t="s">
        <v>1709</v>
      </c>
      <c r="D123" s="1150" t="s">
        <v>1424</v>
      </c>
      <c r="E123" s="1058" t="str">
        <f>VLOOKUP(B123,TH.Q2!B42:E373,4,FALSE)</f>
        <v>Giảng viên khoa KHCB</v>
      </c>
      <c r="F123" s="1141">
        <v>4675320</v>
      </c>
      <c r="G123" s="1676">
        <f t="shared" si="2"/>
        <v>1.998</v>
      </c>
      <c r="H123" s="1654">
        <v>2340000</v>
      </c>
      <c r="I123" s="1141">
        <f t="shared" si="3"/>
        <v>4675320</v>
      </c>
      <c r="J123" s="1142">
        <f>A123</f>
        <v>113</v>
      </c>
      <c r="K123" s="1143">
        <f>VLOOKUP(B123,'[28]CN BC'!$F$10:$K$270,6,FALSE)</f>
        <v>0</v>
      </c>
      <c r="L123" s="1146"/>
      <c r="M123" s="1146"/>
      <c r="N123" s="1146"/>
    </row>
    <row r="124" spans="1:18" s="1148" customFormat="1" ht="27.75" customHeight="1">
      <c r="A124" s="1132">
        <f>_xlfn.AGGREGATE(4,7,A$10:A123)+1</f>
        <v>114</v>
      </c>
      <c r="B124" s="1133" t="s">
        <v>1490</v>
      </c>
      <c r="C124" s="1153" t="s">
        <v>1710</v>
      </c>
      <c r="D124" s="1150" t="s">
        <v>1425</v>
      </c>
      <c r="E124" s="1058" t="str">
        <f>VLOOKUP(B124,TH.Q2!B43:E374,4,FALSE)</f>
        <v>Giảng viên khoa KHCB</v>
      </c>
      <c r="F124" s="1141">
        <v>3896100</v>
      </c>
      <c r="G124" s="1676">
        <f t="shared" si="2"/>
        <v>1.665</v>
      </c>
      <c r="H124" s="1654">
        <v>2340000</v>
      </c>
      <c r="I124" s="1141">
        <f t="shared" si="3"/>
        <v>3896100</v>
      </c>
      <c r="J124" s="1142">
        <f>A124</f>
        <v>114</v>
      </c>
      <c r="K124" s="1143">
        <f>VLOOKUP(B124,'[28]CN BC'!$F$10:$K$270,6,FALSE)</f>
        <v>0</v>
      </c>
    </row>
    <row r="125" spans="1:18" s="1148" customFormat="1" ht="30" customHeight="1">
      <c r="A125" s="1132">
        <f>_xlfn.AGGREGATE(4,7,A$10:A124)+1</f>
        <v>115</v>
      </c>
      <c r="B125" s="1133" t="s">
        <v>1873</v>
      </c>
      <c r="C125" s="1153" t="s">
        <v>1711</v>
      </c>
      <c r="D125" s="1154" t="s">
        <v>1322</v>
      </c>
      <c r="E125" s="383" t="str">
        <f>VLOOKUP(B125,TH.Q2!B44:E375,4,FALSE)</f>
        <v>Giảng viên Khoa KHCB</v>
      </c>
      <c r="F125" s="1141">
        <v>6416280</v>
      </c>
      <c r="G125" s="1676">
        <f t="shared" si="2"/>
        <v>2.742</v>
      </c>
      <c r="H125" s="1654">
        <v>2340000</v>
      </c>
      <c r="I125" s="1141">
        <f t="shared" si="3"/>
        <v>6416280</v>
      </c>
      <c r="J125" s="1142">
        <f>A125</f>
        <v>115</v>
      </c>
      <c r="K125" s="1143">
        <f>VLOOKUP(B125,'[28]CN BC'!$F$10:$K$270,6,FALSE)</f>
        <v>0</v>
      </c>
    </row>
    <row r="126" spans="1:18" s="1148" customFormat="1" ht="30" customHeight="1">
      <c r="A126" s="1132">
        <f>_xlfn.AGGREGATE(4,7,A$10:A125)+1</f>
        <v>116</v>
      </c>
      <c r="B126" s="1133" t="s">
        <v>1491</v>
      </c>
      <c r="C126" s="1153" t="s">
        <v>1712</v>
      </c>
      <c r="D126" s="1154" t="s">
        <v>1323</v>
      </c>
      <c r="E126" s="1058" t="str">
        <f>VLOOKUP(B126,TH.Q2!B45:E376,4,FALSE)</f>
        <v>Giảng viên khoa KHCB</v>
      </c>
      <c r="F126" s="1141">
        <v>5054400</v>
      </c>
      <c r="G126" s="1676">
        <f t="shared" si="2"/>
        <v>2.16</v>
      </c>
      <c r="H126" s="1654">
        <v>2340000</v>
      </c>
      <c r="I126" s="1141">
        <f t="shared" si="3"/>
        <v>5054400</v>
      </c>
      <c r="J126" s="1142">
        <f>A126</f>
        <v>116</v>
      </c>
      <c r="K126" s="1143">
        <f>VLOOKUP(B126,'[28]CN BC'!$F$10:$K$270,6,FALSE)</f>
        <v>0</v>
      </c>
      <c r="L126" s="1146"/>
      <c r="M126" s="1146"/>
      <c r="N126" s="1146"/>
    </row>
    <row r="127" spans="1:18" s="1148" customFormat="1" ht="36" customHeight="1">
      <c r="A127" s="1132">
        <f>_xlfn.AGGREGATE(4,7,A$10:A126)+1</f>
        <v>117</v>
      </c>
      <c r="B127" s="1133" t="s">
        <v>845</v>
      </c>
      <c r="C127" s="1153" t="s">
        <v>1713</v>
      </c>
      <c r="D127" s="1154" t="s">
        <v>1324</v>
      </c>
      <c r="E127" s="1058" t="str">
        <f>VLOOKUP(B127,TH.Q2!B46:E377,4,FALSE)</f>
        <v>Giảng viên khoa KHCB</v>
      </c>
      <c r="F127" s="1141">
        <v>5952960</v>
      </c>
      <c r="G127" s="1676">
        <f t="shared" si="2"/>
        <v>2.544</v>
      </c>
      <c r="H127" s="1654">
        <v>2340000</v>
      </c>
      <c r="I127" s="1141">
        <f t="shared" si="3"/>
        <v>5952960</v>
      </c>
      <c r="J127" s="1142">
        <f>A127</f>
        <v>117</v>
      </c>
      <c r="K127" s="1143">
        <f>VLOOKUP(B127,'[28]CN BC'!$F$10:$K$270,6,FALSE)</f>
        <v>0</v>
      </c>
      <c r="L127" s="1146"/>
      <c r="M127" s="1146"/>
      <c r="N127" s="1146"/>
    </row>
    <row r="128" spans="1:18" s="1148" customFormat="1" ht="27.75" customHeight="1">
      <c r="A128" s="1132">
        <f>_xlfn.AGGREGATE(4,7,A$10:A127)+1</f>
        <v>118</v>
      </c>
      <c r="B128" s="1133" t="s">
        <v>1492</v>
      </c>
      <c r="C128" s="1149" t="s">
        <v>1714</v>
      </c>
      <c r="D128" s="1212" t="s">
        <v>1938</v>
      </c>
      <c r="E128" s="1058" t="str">
        <f>VLOOKUP(B128,TH.Q2!B47:E378,4,FALSE)</f>
        <v>Giảng viên khoa KHCB</v>
      </c>
      <c r="F128" s="1141">
        <v>7469280</v>
      </c>
      <c r="G128" s="1676">
        <f t="shared" si="2"/>
        <v>3.1920000000000002</v>
      </c>
      <c r="H128" s="1654">
        <v>2340000</v>
      </c>
      <c r="I128" s="1141">
        <f t="shared" si="3"/>
        <v>7469280</v>
      </c>
      <c r="J128" s="1142">
        <f>A128</f>
        <v>118</v>
      </c>
      <c r="K128" s="1143">
        <f>VLOOKUP(B128,'[28]CN BC'!$F$10:$K$270,6,FALSE)</f>
        <v>0</v>
      </c>
      <c r="L128" s="1146"/>
      <c r="M128" s="1146"/>
      <c r="N128" s="1146"/>
      <c r="O128" s="1146"/>
      <c r="P128" s="1146"/>
      <c r="Q128" s="1146"/>
      <c r="R128" s="1146"/>
    </row>
    <row r="129" spans="1:14" s="1148" customFormat="1" ht="31.5" customHeight="1">
      <c r="A129" s="1132">
        <f>_xlfn.AGGREGATE(4,7,A$10:A128)+1</f>
        <v>119</v>
      </c>
      <c r="B129" s="1133" t="s">
        <v>1558</v>
      </c>
      <c r="C129" s="1153" t="s">
        <v>1715</v>
      </c>
      <c r="D129" s="1154" t="s">
        <v>21</v>
      </c>
      <c r="E129" s="1058" t="str">
        <f>VLOOKUP(B129,TH.Q2!B48:E379,4,FALSE)</f>
        <v>Giảng viên khoa KHCB</v>
      </c>
      <c r="F129" s="1141">
        <v>5054400</v>
      </c>
      <c r="G129" s="1676">
        <f t="shared" si="2"/>
        <v>2.16</v>
      </c>
      <c r="H129" s="1654">
        <v>2340000</v>
      </c>
      <c r="I129" s="1141">
        <f t="shared" si="3"/>
        <v>5054400</v>
      </c>
      <c r="J129" s="1142">
        <f>A129</f>
        <v>119</v>
      </c>
      <c r="K129" s="1143">
        <f>VLOOKUP(B129,'[28]CN BC'!$F$10:$K$270,6,FALSE)</f>
        <v>0</v>
      </c>
      <c r="L129" s="1146"/>
      <c r="M129" s="1146"/>
      <c r="N129" s="1146"/>
    </row>
    <row r="130" spans="1:14" s="1148" customFormat="1" ht="31.5" customHeight="1">
      <c r="A130" s="1132">
        <f>_xlfn.AGGREGATE(4,7,A$10:A129)+1</f>
        <v>120</v>
      </c>
      <c r="B130" s="1133" t="s">
        <v>1493</v>
      </c>
      <c r="C130" s="1153" t="s">
        <v>1716</v>
      </c>
      <c r="D130" s="1154" t="s">
        <v>1330</v>
      </c>
      <c r="E130" s="1058" t="str">
        <f>VLOOKUP(B130,TH.Q2!B49:E380,4,FALSE)</f>
        <v>Giảng viên khoa Ngoại ngữ</v>
      </c>
      <c r="F130" s="1141">
        <v>6528600</v>
      </c>
      <c r="G130" s="1676">
        <f t="shared" si="2"/>
        <v>2.79</v>
      </c>
      <c r="H130" s="1654">
        <v>2340000</v>
      </c>
      <c r="I130" s="1141">
        <f t="shared" si="3"/>
        <v>6528600</v>
      </c>
      <c r="J130" s="1142">
        <f>A130</f>
        <v>120</v>
      </c>
      <c r="K130" s="1143">
        <f>VLOOKUP(B130,'[28]CN BC'!$F$10:$K$270,6,FALSE)</f>
        <v>0</v>
      </c>
    </row>
    <row r="131" spans="1:14" s="1148" customFormat="1" ht="31.5" customHeight="1">
      <c r="A131" s="1132">
        <f>_xlfn.AGGREGATE(4,7,A$10:A130)+1</f>
        <v>121</v>
      </c>
      <c r="B131" s="1133" t="s">
        <v>1874</v>
      </c>
      <c r="C131" s="1153" t="s">
        <v>1717</v>
      </c>
      <c r="D131" s="1154" t="s">
        <v>1331</v>
      </c>
      <c r="E131" s="1058" t="str">
        <f>VLOOKUP(B131,TH.Q2!B50:E381,4,FALSE)</f>
        <v>Giảng viên khoa Ngoại ngữ</v>
      </c>
      <c r="F131" s="1141">
        <v>6528600</v>
      </c>
      <c r="G131" s="1676">
        <f t="shared" si="2"/>
        <v>2.79</v>
      </c>
      <c r="H131" s="1654">
        <v>2340000</v>
      </c>
      <c r="I131" s="1141">
        <f t="shared" si="3"/>
        <v>6528600</v>
      </c>
      <c r="J131" s="1142">
        <f>A131</f>
        <v>121</v>
      </c>
      <c r="K131" s="1143">
        <f>VLOOKUP(B131,'[28]CN BC'!$F$10:$K$270,6,FALSE)</f>
        <v>0</v>
      </c>
      <c r="L131" s="1146"/>
      <c r="M131" s="1146"/>
      <c r="N131" s="1146"/>
    </row>
    <row r="132" spans="1:14" s="1148" customFormat="1" ht="31.5" customHeight="1">
      <c r="A132" s="1132">
        <f>_xlfn.AGGREGATE(4,7,A$10:A131)+1</f>
        <v>122</v>
      </c>
      <c r="B132" s="1133" t="s">
        <v>1875</v>
      </c>
      <c r="C132" s="1153" t="s">
        <v>1718</v>
      </c>
      <c r="D132" s="1154" t="s">
        <v>1332</v>
      </c>
      <c r="E132" s="1058" t="str">
        <f>VLOOKUP(B132,TH.Q2!B51:E382,4,FALSE)</f>
        <v>Giảng viên khoa Ngoại ngữ</v>
      </c>
      <c r="F132" s="1141">
        <v>5440500</v>
      </c>
      <c r="G132" s="1676">
        <f t="shared" si="2"/>
        <v>2.3250000000000002</v>
      </c>
      <c r="H132" s="1654">
        <v>2340000</v>
      </c>
      <c r="I132" s="1141">
        <f t="shared" si="3"/>
        <v>5440500</v>
      </c>
      <c r="J132" s="1142">
        <f>A132</f>
        <v>122</v>
      </c>
      <c r="K132" s="1143">
        <f>VLOOKUP(B132,'[28]CN BC'!$F$10:$K$270,6,FALSE)</f>
        <v>0</v>
      </c>
    </row>
    <row r="133" spans="1:14" s="1148" customFormat="1" ht="31.5" customHeight="1">
      <c r="A133" s="1132">
        <f>_xlfn.AGGREGATE(4,7,A$10:A132)+1</f>
        <v>123</v>
      </c>
      <c r="B133" s="1133" t="s">
        <v>1494</v>
      </c>
      <c r="C133" s="1153" t="s">
        <v>1719</v>
      </c>
      <c r="D133" s="1154" t="s">
        <v>1333</v>
      </c>
      <c r="E133" s="1058" t="str">
        <f>VLOOKUP(B133,TH.Q2!B52:E383,4,FALSE)</f>
        <v>Giảng viên khoa Ngoại ngữ</v>
      </c>
      <c r="F133" s="1141">
        <v>4668300</v>
      </c>
      <c r="G133" s="1676">
        <f t="shared" si="2"/>
        <v>1.9950000000000001</v>
      </c>
      <c r="H133" s="1654">
        <v>2340000</v>
      </c>
      <c r="I133" s="1141">
        <f t="shared" si="3"/>
        <v>4668300</v>
      </c>
      <c r="J133" s="1142">
        <f>A133</f>
        <v>123</v>
      </c>
      <c r="K133" s="1143">
        <f>VLOOKUP(B133,'[28]CN BC'!$F$10:$K$270,6,FALSE)</f>
        <v>0</v>
      </c>
      <c r="L133" s="1146"/>
      <c r="M133" s="1146"/>
      <c r="N133" s="1146"/>
    </row>
    <row r="134" spans="1:14" s="1148" customFormat="1" ht="31.5" customHeight="1">
      <c r="A134" s="1132">
        <f>_xlfn.AGGREGATE(4,7,A$10:A133)+1</f>
        <v>124</v>
      </c>
      <c r="B134" s="1133" t="s">
        <v>1495</v>
      </c>
      <c r="C134" s="1153" t="s">
        <v>1720</v>
      </c>
      <c r="D134" s="1154" t="s">
        <v>1335</v>
      </c>
      <c r="E134" s="1058" t="str">
        <f>VLOOKUP(B134,TH.Q2!B53:E384,4,FALSE)</f>
        <v>Giảng viên khoa Ngoại ngữ</v>
      </c>
      <c r="F134" s="1141">
        <v>5826600.0000000009</v>
      </c>
      <c r="G134" s="1676">
        <f t="shared" si="2"/>
        <v>2.4900000000000002</v>
      </c>
      <c r="H134" s="1654">
        <v>2340000</v>
      </c>
      <c r="I134" s="1141">
        <f t="shared" si="3"/>
        <v>5826600.0000000009</v>
      </c>
      <c r="J134" s="1142">
        <f>A134</f>
        <v>124</v>
      </c>
      <c r="K134" s="1143">
        <f>VLOOKUP(B134,'[28]CN BC'!$F$10:$K$270,6,FALSE)</f>
        <v>0</v>
      </c>
      <c r="L134" s="1146"/>
      <c r="M134" s="1146"/>
      <c r="N134" s="1146"/>
    </row>
    <row r="135" spans="1:14" s="1148" customFormat="1" ht="31.5" customHeight="1">
      <c r="A135" s="1132">
        <f>_xlfn.AGGREGATE(4,7,A$10:A134)+1</f>
        <v>125</v>
      </c>
      <c r="B135" s="1133" t="s">
        <v>1876</v>
      </c>
      <c r="C135" s="1153" t="s">
        <v>1721</v>
      </c>
      <c r="D135" s="1154" t="s">
        <v>504</v>
      </c>
      <c r="E135" s="1058" t="str">
        <f>VLOOKUP(B135,TH.Q2!B54:E385,4,FALSE)</f>
        <v>Giảng viên khoa Ngoại ngữ</v>
      </c>
      <c r="F135" s="1141">
        <v>5601960</v>
      </c>
      <c r="G135" s="1676">
        <f t="shared" si="2"/>
        <v>2.3940000000000001</v>
      </c>
      <c r="H135" s="1654">
        <v>2340000</v>
      </c>
      <c r="I135" s="1141">
        <f t="shared" si="3"/>
        <v>5601960</v>
      </c>
      <c r="J135" s="1142">
        <f>A135</f>
        <v>125</v>
      </c>
      <c r="K135" s="1143">
        <f>VLOOKUP(B135,'[28]CN BC'!$F$10:$K$270,6,FALSE)</f>
        <v>0</v>
      </c>
      <c r="L135" s="1146"/>
      <c r="M135" s="1146"/>
      <c r="N135" s="1146"/>
    </row>
    <row r="136" spans="1:14" s="1148" customFormat="1" ht="31.5" customHeight="1">
      <c r="A136" s="1132">
        <f>_xlfn.AGGREGATE(4,7,A$10:A135)+1</f>
        <v>126</v>
      </c>
      <c r="B136" s="1133" t="s">
        <v>1496</v>
      </c>
      <c r="C136" s="1153" t="s">
        <v>1722</v>
      </c>
      <c r="D136" s="1150" t="s">
        <v>1589</v>
      </c>
      <c r="E136" s="1058" t="str">
        <f>VLOOKUP(B136,TH.Q2!B55:E386,4,FALSE)</f>
        <v>Giảng viên khoa Ngoại ngữ</v>
      </c>
      <c r="F136" s="1141">
        <v>6191640</v>
      </c>
      <c r="G136" s="1676">
        <f t="shared" si="2"/>
        <v>2.6459999999999999</v>
      </c>
      <c r="H136" s="1654">
        <v>2340000</v>
      </c>
      <c r="I136" s="1141">
        <f t="shared" si="3"/>
        <v>6191640</v>
      </c>
      <c r="J136" s="1142">
        <f>A136</f>
        <v>126</v>
      </c>
      <c r="K136" s="1143">
        <f>VLOOKUP(B136,'[28]CN BC'!$F$10:$K$270,6,FALSE)</f>
        <v>0</v>
      </c>
      <c r="L136" s="1146"/>
      <c r="M136" s="1146"/>
      <c r="N136" s="1146"/>
    </row>
    <row r="137" spans="1:14" s="1148" customFormat="1" ht="31.5" customHeight="1">
      <c r="A137" s="1200">
        <f>_xlfn.AGGREGATE(4,7,A$10:A136)+1</f>
        <v>127</v>
      </c>
      <c r="B137" s="1590" t="s">
        <v>1497</v>
      </c>
      <c r="C137" s="1591" t="s">
        <v>1723</v>
      </c>
      <c r="D137" s="1634" t="s">
        <v>1590</v>
      </c>
      <c r="E137" s="490" t="str">
        <f>VLOOKUP(B137,TH.Q2!B56:E387,4,FALSE)</f>
        <v>Giảng viên khoa Ngoại ngữ</v>
      </c>
      <c r="F137" s="1339">
        <v>0</v>
      </c>
      <c r="G137" s="1676">
        <f t="shared" si="2"/>
        <v>0</v>
      </c>
      <c r="H137" s="1654">
        <v>2340000</v>
      </c>
      <c r="I137" s="1141">
        <f t="shared" si="3"/>
        <v>0</v>
      </c>
      <c r="J137" s="1207">
        <f>A137</f>
        <v>127</v>
      </c>
      <c r="K137" s="1143" t="str">
        <f>VLOOKUP(B137,'[28]CN BC'!$F$10:$K$270,6,FALSE)</f>
        <v>Nghỉ hộ sản hưởng chế độ BHXH</v>
      </c>
      <c r="L137" s="1146"/>
      <c r="M137" s="1146"/>
      <c r="N137" s="1146"/>
    </row>
    <row r="138" spans="1:14" s="1148" customFormat="1" ht="31.5" customHeight="1">
      <c r="A138" s="1132">
        <f>_xlfn.AGGREGATE(4,7,A$10:A137)+1</f>
        <v>128</v>
      </c>
      <c r="B138" s="1133" t="s">
        <v>1929</v>
      </c>
      <c r="C138" s="1153" t="s">
        <v>1964</v>
      </c>
      <c r="D138" s="1188" t="s">
        <v>1932</v>
      </c>
      <c r="E138" s="1058" t="str">
        <f>VLOOKUP(B138,TH.Q2!B57:E388,4,FALSE)</f>
        <v>Giảng viên khoa Ngoại ngữ</v>
      </c>
      <c r="F138" s="1141">
        <v>3748680</v>
      </c>
      <c r="G138" s="1676">
        <f t="shared" si="2"/>
        <v>1.6020000000000001</v>
      </c>
      <c r="H138" s="1654">
        <v>2340000</v>
      </c>
      <c r="I138" s="1141">
        <f t="shared" si="3"/>
        <v>3748680</v>
      </c>
      <c r="J138" s="1142">
        <f>A138</f>
        <v>128</v>
      </c>
      <c r="K138" s="1143">
        <f>VLOOKUP(B138,'[28]CN BC'!$F$10:$K$270,6,FALSE)</f>
        <v>0</v>
      </c>
      <c r="L138" s="1146"/>
      <c r="M138" s="1146"/>
      <c r="N138" s="1146"/>
    </row>
    <row r="139" spans="1:14" s="1148" customFormat="1" ht="28.5" customHeight="1">
      <c r="A139" s="1132">
        <f>_xlfn.AGGREGATE(4,7,A$10:A138)+1</f>
        <v>129</v>
      </c>
      <c r="B139" s="1133" t="s">
        <v>1498</v>
      </c>
      <c r="C139" s="1153" t="s">
        <v>1724</v>
      </c>
      <c r="D139" s="1150" t="s">
        <v>1591</v>
      </c>
      <c r="E139" s="1058" t="str">
        <f>VLOOKUP(B139,TH.Q2!B58:E389,4,FALSE)</f>
        <v>Giảng viên khoa Ngoại ngữ</v>
      </c>
      <c r="F139" s="1141">
        <v>5026320</v>
      </c>
      <c r="G139" s="1676">
        <f t="shared" si="2"/>
        <v>2.1480000000000001</v>
      </c>
      <c r="H139" s="1654">
        <v>2340000</v>
      </c>
      <c r="I139" s="1141">
        <f t="shared" si="3"/>
        <v>5026320</v>
      </c>
      <c r="J139" s="1142">
        <f>A139</f>
        <v>129</v>
      </c>
      <c r="K139" s="1143">
        <f>VLOOKUP(B139,'[28]CN BC'!$F$10:$K$270,6,FALSE)</f>
        <v>0</v>
      </c>
    </row>
    <row r="140" spans="1:14" s="1148" customFormat="1" ht="43.5" customHeight="1">
      <c r="A140" s="1132">
        <f>_xlfn.AGGREGATE(4,7,A$10:A139)+1</f>
        <v>130</v>
      </c>
      <c r="B140" s="1133" t="s">
        <v>1925</v>
      </c>
      <c r="C140" s="1153" t="s">
        <v>1965</v>
      </c>
      <c r="D140" s="1213" t="s">
        <v>1930</v>
      </c>
      <c r="E140" s="1058" t="str">
        <f>VLOOKUP(B140,TH.Q2!B59:E390,4,FALSE)</f>
        <v>Giảng viên khoa Ngoại ngữ</v>
      </c>
      <c r="F140" s="1141">
        <v>3123900</v>
      </c>
      <c r="G140" s="1676">
        <f t="shared" ref="G140:G203" si="4">F140/H140</f>
        <v>1.335</v>
      </c>
      <c r="H140" s="1654">
        <v>2340000</v>
      </c>
      <c r="I140" s="1141">
        <f t="shared" si="3"/>
        <v>3123900</v>
      </c>
      <c r="J140" s="1142">
        <f>A140</f>
        <v>130</v>
      </c>
      <c r="K140" s="1143">
        <f>VLOOKUP(B140,'[28]CN BC'!$F$10:$K$270,6,FALSE)</f>
        <v>0</v>
      </c>
    </row>
    <row r="141" spans="1:14" s="1148" customFormat="1" ht="30.75" customHeight="1">
      <c r="A141" s="1132">
        <f>_xlfn.AGGREGATE(4,7,A$10:A140)+1</f>
        <v>131</v>
      </c>
      <c r="B141" s="1133" t="s">
        <v>2018</v>
      </c>
      <c r="C141" s="1153"/>
      <c r="D141" s="1213"/>
      <c r="E141" s="383" t="str">
        <f>VLOOKUP(B141,TH.Q2!B60:E391,4,FALSE)</f>
        <v>Giảng viên khoa Ngoại ngữ</v>
      </c>
      <c r="F141" s="1141">
        <v>3285360</v>
      </c>
      <c r="G141" s="1676">
        <f t="shared" si="4"/>
        <v>1.4039999999999999</v>
      </c>
      <c r="H141" s="1654">
        <v>2340000</v>
      </c>
      <c r="I141" s="1141">
        <f t="shared" ref="I141:I204" si="5">G141*H141</f>
        <v>3285360</v>
      </c>
      <c r="J141" s="1142">
        <f>A141</f>
        <v>131</v>
      </c>
      <c r="K141" s="1143">
        <f>VLOOKUP(B141,'[28]CN BC'!$F$10:$K$270,6,FALSE)</f>
        <v>0</v>
      </c>
    </row>
    <row r="142" spans="1:14" s="1148" customFormat="1" ht="30.75" customHeight="1">
      <c r="A142" s="1132">
        <f>_xlfn.AGGREGATE(4,7,A$10:A141)+1</f>
        <v>132</v>
      </c>
      <c r="B142" s="1133" t="s">
        <v>2024</v>
      </c>
      <c r="C142" s="1153"/>
      <c r="D142" s="1213"/>
      <c r="E142" s="1058" t="str">
        <f>VLOOKUP(B142,TH.Q2!B61:E392,4,FALSE)</f>
        <v>Giảng viên khoa Ngoại ngữ</v>
      </c>
      <c r="F142" s="1141">
        <v>3832919.9999999995</v>
      </c>
      <c r="G142" s="1676">
        <f t="shared" si="4"/>
        <v>1.6379999999999999</v>
      </c>
      <c r="H142" s="1654">
        <v>2340000</v>
      </c>
      <c r="I142" s="1141">
        <f t="shared" si="5"/>
        <v>3832920</v>
      </c>
      <c r="J142" s="1142">
        <f>A142</f>
        <v>132</v>
      </c>
      <c r="K142" s="1143">
        <f>VLOOKUP(B142,'[28]CN BC'!$F$10:$K$270,6,FALSE)</f>
        <v>0</v>
      </c>
    </row>
    <row r="143" spans="1:14" s="1148" customFormat="1" ht="30.75" customHeight="1">
      <c r="A143" s="1200">
        <f>_xlfn.AGGREGATE(4,7,A$10:A142)+1</f>
        <v>133</v>
      </c>
      <c r="B143" s="1590" t="s">
        <v>2006</v>
      </c>
      <c r="C143" s="1591"/>
      <c r="D143" s="1592"/>
      <c r="E143" s="490" t="str">
        <f>VLOOKUP(B143,TH.Q2!B62:E393,4,FALSE)</f>
        <v>Giảng viên khoa Ngoại ngữ</v>
      </c>
      <c r="F143" s="1339">
        <v>1368900</v>
      </c>
      <c r="G143" s="1676">
        <f t="shared" si="4"/>
        <v>0.58499999999999996</v>
      </c>
      <c r="H143" s="1654">
        <v>2340000</v>
      </c>
      <c r="I143" s="1141">
        <f t="shared" si="5"/>
        <v>1368900</v>
      </c>
      <c r="J143" s="1207">
        <f>A143</f>
        <v>133</v>
      </c>
      <c r="K143" s="1143" t="str">
        <f>VLOOKUP(B143,'[28]CN BC'!$F$10:$K$270,6,FALSE)</f>
        <v>Hết thời gian nghỉ hộ sản đilàm lại từ 19/5</v>
      </c>
    </row>
    <row r="144" spans="1:14" s="1148" customFormat="1" ht="27.75" customHeight="1">
      <c r="A144" s="1132">
        <f>_xlfn.AGGREGATE(4,7,A$10:A143)+1</f>
        <v>134</v>
      </c>
      <c r="B144" s="1133" t="s">
        <v>2345</v>
      </c>
      <c r="C144" s="1153"/>
      <c r="D144" s="1213"/>
      <c r="E144" s="383" t="str">
        <f>VLOOKUP(B144,TH.Q2!B63:E394,4,FALSE)</f>
        <v>Giảng viên khoa Ngoại ngữ</v>
      </c>
      <c r="F144" s="1141">
        <v>2792556</v>
      </c>
      <c r="G144" s="1676">
        <f t="shared" si="4"/>
        <v>1.1934</v>
      </c>
      <c r="H144" s="1654">
        <v>2340000</v>
      </c>
      <c r="I144" s="1141">
        <f t="shared" si="5"/>
        <v>2792556</v>
      </c>
      <c r="J144" s="1142">
        <f>A144</f>
        <v>134</v>
      </c>
      <c r="K144" s="1143">
        <f>VLOOKUP(B144,'[28]CN BC'!$F$10:$K$270,6,FALSE)</f>
        <v>0</v>
      </c>
    </row>
    <row r="145" spans="1:14" s="1148" customFormat="1" ht="30.75" customHeight="1">
      <c r="A145" s="1132">
        <f>_xlfn.AGGREGATE(4,7,A$10:A144)+1</f>
        <v>135</v>
      </c>
      <c r="B145" s="1133" t="s">
        <v>2393</v>
      </c>
      <c r="C145" s="1153"/>
      <c r="D145" s="1213"/>
      <c r="E145" s="383" t="s">
        <v>2374</v>
      </c>
      <c r="F145" s="1141">
        <v>2792556</v>
      </c>
      <c r="G145" s="1676">
        <f t="shared" si="4"/>
        <v>1.1934</v>
      </c>
      <c r="H145" s="1654">
        <v>2340000</v>
      </c>
      <c r="I145" s="1141">
        <f t="shared" si="5"/>
        <v>2792556</v>
      </c>
      <c r="J145" s="1142">
        <f>A145</f>
        <v>135</v>
      </c>
      <c r="K145" s="1143">
        <f>VLOOKUP(B145,'[28]CN BC'!$F$10:$K$270,6,FALSE)</f>
        <v>0</v>
      </c>
    </row>
    <row r="146" spans="1:14" s="1148" customFormat="1" ht="30" customHeight="1">
      <c r="A146" s="1132">
        <f>_xlfn.AGGREGATE(4,7,A$10:A145)+1</f>
        <v>136</v>
      </c>
      <c r="B146" s="1133" t="s">
        <v>1499</v>
      </c>
      <c r="C146" s="1153" t="s">
        <v>1725</v>
      </c>
      <c r="D146" s="1154" t="s">
        <v>378</v>
      </c>
      <c r="E146" s="1058" t="str">
        <f>VLOOKUP(B146,TH.Q2!B64:E395,4,FALSE)</f>
        <v>Phó Trưởng khoa LLCT</v>
      </c>
      <c r="F146" s="1141">
        <v>6093360</v>
      </c>
      <c r="G146" s="1676">
        <f t="shared" si="4"/>
        <v>2.6040000000000001</v>
      </c>
      <c r="H146" s="1654">
        <v>2340000</v>
      </c>
      <c r="I146" s="1141">
        <f t="shared" si="5"/>
        <v>6093360</v>
      </c>
      <c r="J146" s="1142">
        <f>A146</f>
        <v>136</v>
      </c>
      <c r="K146" s="1143">
        <f>VLOOKUP(B146,'[28]CN BC'!$F$10:$K$270,6,FALSE)</f>
        <v>0</v>
      </c>
    </row>
    <row r="147" spans="1:14" s="1148" customFormat="1" ht="28.5" customHeight="1">
      <c r="A147" s="1132">
        <f>_xlfn.AGGREGATE(4,7,A$10:A146)+1</f>
        <v>137</v>
      </c>
      <c r="B147" s="1133" t="s">
        <v>843</v>
      </c>
      <c r="C147" s="1153" t="s">
        <v>1726</v>
      </c>
      <c r="D147" s="1154" t="s">
        <v>1316</v>
      </c>
      <c r="E147" s="383" t="str">
        <f>VLOOKUP(B147,TH.Q2!B65:E396,4,FALSE)</f>
        <v>Phó Trưởng khoa LLCT</v>
      </c>
      <c r="F147" s="1141">
        <v>7813260.0000000009</v>
      </c>
      <c r="G147" s="1676">
        <f t="shared" si="4"/>
        <v>3.3390000000000004</v>
      </c>
      <c r="H147" s="1654">
        <v>2340000</v>
      </c>
      <c r="I147" s="1141">
        <f t="shared" si="5"/>
        <v>7813260.0000000009</v>
      </c>
      <c r="J147" s="1142">
        <f>A147</f>
        <v>137</v>
      </c>
      <c r="K147" s="1143">
        <f>VLOOKUP(B147,'[28]CN BC'!$F$10:$K$270,6,FALSE)</f>
        <v>0</v>
      </c>
    </row>
    <row r="148" spans="1:14" s="1148" customFormat="1" ht="28.5" customHeight="1">
      <c r="A148" s="1132">
        <f>_xlfn.AGGREGATE(4,7,A$10:A147)+1</f>
        <v>138</v>
      </c>
      <c r="B148" s="1133" t="s">
        <v>846</v>
      </c>
      <c r="C148" s="1153" t="s">
        <v>1727</v>
      </c>
      <c r="D148" s="1154" t="s">
        <v>1317</v>
      </c>
      <c r="E148" s="383" t="str">
        <f>VLOOKUP(B148,TH.Q2!B66:E397,4,FALSE)</f>
        <v>Trưởng BM khoa LLCT</v>
      </c>
      <c r="F148" s="1141">
        <v>6416280</v>
      </c>
      <c r="G148" s="1676">
        <f t="shared" si="4"/>
        <v>2.742</v>
      </c>
      <c r="H148" s="1654">
        <v>2340000</v>
      </c>
      <c r="I148" s="1141">
        <f t="shared" si="5"/>
        <v>6416280</v>
      </c>
      <c r="J148" s="1142">
        <f>A148</f>
        <v>138</v>
      </c>
      <c r="K148" s="1143">
        <f>VLOOKUP(B148,'[28]CN BC'!$F$10:$K$270,6,FALSE)</f>
        <v>0</v>
      </c>
    </row>
    <row r="149" spans="1:14" s="1148" customFormat="1" ht="33" customHeight="1">
      <c r="A149" s="1132">
        <f>_xlfn.AGGREGATE(4,7,A$10:A148)+1</f>
        <v>139</v>
      </c>
      <c r="B149" s="1133" t="s">
        <v>1500</v>
      </c>
      <c r="C149" s="1153" t="s">
        <v>1728</v>
      </c>
      <c r="D149" s="1154" t="s">
        <v>377</v>
      </c>
      <c r="E149" s="1058" t="str">
        <f>VLOOKUP(B149,TH.Q2!B67:E398,4,FALSE)</f>
        <v>Giảng viên khoa LLCT</v>
      </c>
      <c r="F149" s="1141">
        <v>7469280</v>
      </c>
      <c r="G149" s="1676">
        <f t="shared" si="4"/>
        <v>3.1920000000000002</v>
      </c>
      <c r="H149" s="1654">
        <v>2340000</v>
      </c>
      <c r="I149" s="1141">
        <f t="shared" si="5"/>
        <v>7469280</v>
      </c>
      <c r="J149" s="1142">
        <f>A149</f>
        <v>139</v>
      </c>
      <c r="K149" s="1143">
        <f>VLOOKUP(B149,'[28]CN BC'!$F$10:$K$270,6,FALSE)</f>
        <v>0</v>
      </c>
    </row>
    <row r="150" spans="1:14" s="1148" customFormat="1" ht="30.75" customHeight="1">
      <c r="A150" s="1132">
        <f>_xlfn.AGGREGATE(4,7,A$10:A149)+1</f>
        <v>140</v>
      </c>
      <c r="B150" s="1133" t="s">
        <v>1877</v>
      </c>
      <c r="C150" s="1153" t="s">
        <v>1729</v>
      </c>
      <c r="D150" s="1154" t="s">
        <v>1320</v>
      </c>
      <c r="E150" s="1058" t="str">
        <f>VLOOKUP(B150,TH.Q2!B68:E399,4,FALSE)</f>
        <v>Giảng viên khoa LLCT</v>
      </c>
      <c r="F150" s="1141">
        <v>6528600</v>
      </c>
      <c r="G150" s="1676">
        <f t="shared" si="4"/>
        <v>2.79</v>
      </c>
      <c r="H150" s="1654">
        <v>2340000</v>
      </c>
      <c r="I150" s="1141">
        <f t="shared" si="5"/>
        <v>6528600</v>
      </c>
      <c r="J150" s="1142">
        <f>A150</f>
        <v>140</v>
      </c>
      <c r="K150" s="1143">
        <f>VLOOKUP(B150,'[28]CN BC'!$F$10:$K$270,6,FALSE)</f>
        <v>0</v>
      </c>
    </row>
    <row r="151" spans="1:14" s="1148" customFormat="1" ht="28.5" customHeight="1">
      <c r="A151" s="1132">
        <f>_xlfn.AGGREGATE(4,7,A$10:A150)+1</f>
        <v>141</v>
      </c>
      <c r="B151" s="1133" t="s">
        <v>1501</v>
      </c>
      <c r="C151" s="1153" t="s">
        <v>1730</v>
      </c>
      <c r="D151" s="1150" t="s">
        <v>314</v>
      </c>
      <c r="E151" s="383" t="str">
        <f>VLOOKUP(B151,TH.Q2!B69:E400,4,FALSE)</f>
        <v>Giảng viên khoa LLCT</v>
      </c>
      <c r="F151" s="1141">
        <v>6535620</v>
      </c>
      <c r="G151" s="1676">
        <f t="shared" si="4"/>
        <v>2.7930000000000001</v>
      </c>
      <c r="H151" s="1654">
        <v>2340000</v>
      </c>
      <c r="I151" s="1141">
        <f t="shared" si="5"/>
        <v>6535620</v>
      </c>
      <c r="J151" s="1142">
        <f>A151</f>
        <v>141</v>
      </c>
      <c r="K151" s="1143">
        <f>VLOOKUP(B151,'[28]CN BC'!$F$10:$K$270,6,FALSE)</f>
        <v>0</v>
      </c>
    </row>
    <row r="152" spans="1:14" s="1148" customFormat="1" ht="28.5" customHeight="1">
      <c r="A152" s="1132">
        <f>_xlfn.AGGREGATE(4,7,A$10:A151)+1</f>
        <v>142</v>
      </c>
      <c r="B152" s="1133" t="s">
        <v>1878</v>
      </c>
      <c r="C152" s="1153" t="s">
        <v>1731</v>
      </c>
      <c r="D152" s="1154" t="s">
        <v>1314</v>
      </c>
      <c r="E152" s="383" t="str">
        <f>VLOOKUP(B152,TH.Q2!B70:E401,4,FALSE)</f>
        <v>Giảng viên khoa LLCT</v>
      </c>
      <c r="F152" s="1141">
        <v>5440500</v>
      </c>
      <c r="G152" s="1676">
        <f t="shared" si="4"/>
        <v>2.3250000000000002</v>
      </c>
      <c r="H152" s="1654">
        <v>2340000</v>
      </c>
      <c r="I152" s="1141">
        <f t="shared" si="5"/>
        <v>5440500</v>
      </c>
      <c r="J152" s="1142">
        <f>A152</f>
        <v>142</v>
      </c>
      <c r="K152" s="1143">
        <f>VLOOKUP(B152,'[28]CN BC'!$F$10:$K$270,6,FALSE)</f>
        <v>0</v>
      </c>
    </row>
    <row r="153" spans="1:14" s="1148" customFormat="1" ht="28.5" customHeight="1">
      <c r="A153" s="1132">
        <f>_xlfn.AGGREGATE(4,7,A$10:A152)+1</f>
        <v>143</v>
      </c>
      <c r="B153" s="1133" t="s">
        <v>1879</v>
      </c>
      <c r="C153" s="1153" t="s">
        <v>1732</v>
      </c>
      <c r="D153" s="1154" t="s">
        <v>1315</v>
      </c>
      <c r="E153" s="1058" t="str">
        <f>VLOOKUP(B153,TH.Q2!B71:E402,4,FALSE)</f>
        <v>Giảng viên khoa LLCT</v>
      </c>
      <c r="F153" s="1141">
        <v>8087040</v>
      </c>
      <c r="G153" s="1676">
        <f t="shared" si="4"/>
        <v>3.456</v>
      </c>
      <c r="H153" s="1654">
        <v>2340000</v>
      </c>
      <c r="I153" s="1141">
        <f t="shared" si="5"/>
        <v>8087040</v>
      </c>
      <c r="J153" s="1142">
        <f>A153</f>
        <v>143</v>
      </c>
      <c r="K153" s="1143">
        <f>VLOOKUP(B153,'[28]CN BC'!$F$10:$K$270,6,FALSE)</f>
        <v>0</v>
      </c>
      <c r="L153" s="1146"/>
      <c r="M153" s="1146"/>
      <c r="N153" s="1146"/>
    </row>
    <row r="154" spans="1:14" s="1148" customFormat="1" ht="28.5" customHeight="1">
      <c r="A154" s="1132">
        <f>_xlfn.AGGREGATE(4,7,A$10:A153)+1</f>
        <v>144</v>
      </c>
      <c r="B154" s="1133" t="s">
        <v>1502</v>
      </c>
      <c r="C154" s="1153" t="s">
        <v>1733</v>
      </c>
      <c r="D154" s="1154" t="s">
        <v>1318</v>
      </c>
      <c r="E154" s="383" t="str">
        <f>VLOOKUP(B154,TH.Q2!B72:E403,4,FALSE)</f>
        <v>Giảng viên khoa LLCT</v>
      </c>
      <c r="F154" s="1141">
        <v>7469280</v>
      </c>
      <c r="G154" s="1676">
        <f t="shared" si="4"/>
        <v>3.1920000000000002</v>
      </c>
      <c r="H154" s="1654">
        <v>2340000</v>
      </c>
      <c r="I154" s="1141">
        <f t="shared" si="5"/>
        <v>7469280</v>
      </c>
      <c r="J154" s="1142">
        <f>A154</f>
        <v>144</v>
      </c>
      <c r="K154" s="1143">
        <f>VLOOKUP(B154,'[28]CN BC'!$F$10:$K$270,6,FALSE)</f>
        <v>0</v>
      </c>
    </row>
    <row r="155" spans="1:14" s="1148" customFormat="1" ht="28.5" customHeight="1">
      <c r="A155" s="1132">
        <f>_xlfn.AGGREGATE(4,7,A$10:A154)+1</f>
        <v>145</v>
      </c>
      <c r="B155" s="1133" t="s">
        <v>1880</v>
      </c>
      <c r="C155" s="1153" t="s">
        <v>1734</v>
      </c>
      <c r="D155" s="1154" t="s">
        <v>375</v>
      </c>
      <c r="E155" s="383" t="str">
        <f>VLOOKUP(B155,TH.Q2!B73:E404,4,FALSE)</f>
        <v>Giảng viên khoa LLCT</v>
      </c>
      <c r="F155" s="1141">
        <v>6535620</v>
      </c>
      <c r="G155" s="1676">
        <f t="shared" si="4"/>
        <v>2.7930000000000001</v>
      </c>
      <c r="H155" s="1654">
        <v>2340000</v>
      </c>
      <c r="I155" s="1141">
        <f t="shared" si="5"/>
        <v>6535620</v>
      </c>
      <c r="J155" s="1142">
        <f>A155</f>
        <v>145</v>
      </c>
      <c r="K155" s="1143">
        <f>VLOOKUP(B155,'[28]CN BC'!$F$10:$K$270,6,FALSE)</f>
        <v>0</v>
      </c>
    </row>
    <row r="156" spans="1:14" s="1148" customFormat="1" ht="28.5" customHeight="1">
      <c r="A156" s="1132">
        <f>_xlfn.AGGREGATE(4,7,A$10:A155)+1</f>
        <v>146</v>
      </c>
      <c r="B156" s="1133" t="s">
        <v>1503</v>
      </c>
      <c r="C156" s="1153" t="s">
        <v>1735</v>
      </c>
      <c r="D156" s="1154" t="s">
        <v>376</v>
      </c>
      <c r="E156" s="383" t="str">
        <f>VLOOKUP(B156,TH.Q2!B74:E405,4,FALSE)</f>
        <v>Giảng viên khoa LLCT</v>
      </c>
      <c r="F156" s="1141">
        <v>5601960</v>
      </c>
      <c r="G156" s="1676">
        <f t="shared" si="4"/>
        <v>2.3940000000000001</v>
      </c>
      <c r="H156" s="1654">
        <v>2340000</v>
      </c>
      <c r="I156" s="1141">
        <f t="shared" si="5"/>
        <v>5601960</v>
      </c>
      <c r="J156" s="1142">
        <f>A156</f>
        <v>146</v>
      </c>
      <c r="K156" s="1143">
        <f>VLOOKUP(B156,'[28]CN BC'!$F$10:$K$270,6,FALSE)</f>
        <v>0</v>
      </c>
    </row>
    <row r="157" spans="1:14" s="1148" customFormat="1" ht="26.25" customHeight="1">
      <c r="A157" s="1132">
        <f>_xlfn.AGGREGATE(4,7,A$10:A156)+1</f>
        <v>147</v>
      </c>
      <c r="B157" s="1133" t="s">
        <v>1504</v>
      </c>
      <c r="C157" s="1153" t="s">
        <v>1736</v>
      </c>
      <c r="D157" s="1153" t="s">
        <v>503</v>
      </c>
      <c r="E157" s="1058" t="str">
        <f>VLOOKUP(B157,TH.Q2!B75:E406,4,FALSE)</f>
        <v>Giảng viên khoa LLCT</v>
      </c>
      <c r="F157" s="1141">
        <v>6065280</v>
      </c>
      <c r="G157" s="1676">
        <f t="shared" si="4"/>
        <v>2.5920000000000001</v>
      </c>
      <c r="H157" s="1654">
        <v>2340000</v>
      </c>
      <c r="I157" s="1141">
        <f t="shared" si="5"/>
        <v>6065280</v>
      </c>
      <c r="J157" s="1142">
        <f>A157</f>
        <v>147</v>
      </c>
      <c r="K157" s="1143">
        <f>VLOOKUP(B157,'[28]CN BC'!$F$10:$K$270,6,FALSE)</f>
        <v>0</v>
      </c>
      <c r="L157" s="1146"/>
      <c r="M157" s="1146"/>
      <c r="N157" s="1146"/>
    </row>
    <row r="158" spans="1:14" s="1148" customFormat="1" ht="27" customHeight="1">
      <c r="A158" s="1132">
        <f>_xlfn.AGGREGATE(4,7,A$10:A157)+1</f>
        <v>148</v>
      </c>
      <c r="B158" s="1133" t="s">
        <v>1505</v>
      </c>
      <c r="C158" s="1153" t="s">
        <v>1737</v>
      </c>
      <c r="D158" s="1150" t="s">
        <v>1592</v>
      </c>
      <c r="E158" s="383" t="str">
        <f>VLOOKUP(B158,TH.Q2!B76:E407,4,FALSE)</f>
        <v>Giảng viên khoa LLCT</v>
      </c>
      <c r="F158" s="1141">
        <v>6851520</v>
      </c>
      <c r="G158" s="1676">
        <f t="shared" si="4"/>
        <v>2.9279999999999999</v>
      </c>
      <c r="H158" s="1654">
        <v>2340000</v>
      </c>
      <c r="I158" s="1141">
        <f t="shared" si="5"/>
        <v>6851520</v>
      </c>
      <c r="J158" s="1142">
        <f>A158</f>
        <v>148</v>
      </c>
      <c r="K158" s="1143">
        <f>VLOOKUP(B158,'[28]CN BC'!$F$10:$K$270,6,FALSE)</f>
        <v>0</v>
      </c>
    </row>
    <row r="159" spans="1:14" s="1148" customFormat="1" ht="28.15" customHeight="1">
      <c r="A159" s="1132">
        <f>_xlfn.AGGREGATE(4,7,A$10:A158)+1</f>
        <v>149</v>
      </c>
      <c r="B159" s="1133" t="s">
        <v>1881</v>
      </c>
      <c r="C159" s="1153" t="s">
        <v>1738</v>
      </c>
      <c r="D159" s="1154" t="s">
        <v>379</v>
      </c>
      <c r="E159" s="1058" t="str">
        <f>VLOOKUP(B159,TH.Q2!B77:E408,4,FALSE)</f>
        <v>Giảng viên khoa LLCT</v>
      </c>
      <c r="F159" s="1141">
        <v>5138640</v>
      </c>
      <c r="G159" s="1676">
        <f t="shared" si="4"/>
        <v>2.1960000000000002</v>
      </c>
      <c r="H159" s="1654">
        <v>2340000</v>
      </c>
      <c r="I159" s="1141">
        <f t="shared" si="5"/>
        <v>5138640</v>
      </c>
      <c r="J159" s="1142">
        <f>A159</f>
        <v>149</v>
      </c>
      <c r="K159" s="1143">
        <f>VLOOKUP(B159,'[28]CN BC'!$F$10:$K$270,6,FALSE)</f>
        <v>0</v>
      </c>
      <c r="L159" s="1146"/>
      <c r="M159" s="1146"/>
      <c r="N159" s="1146"/>
    </row>
    <row r="160" spans="1:14" s="1148" customFormat="1" ht="27" customHeight="1">
      <c r="A160" s="1132">
        <f>_xlfn.AGGREGATE(4,7,A$10:A159)+1</f>
        <v>150</v>
      </c>
      <c r="B160" s="1133" t="s">
        <v>1882</v>
      </c>
      <c r="C160" s="1153" t="s">
        <v>1741</v>
      </c>
      <c r="D160" s="1154" t="s">
        <v>1341</v>
      </c>
      <c r="E160" s="1058" t="str">
        <f>VLOOKUP(B160,TH.Q2!B79:E410,4,FALSE)</f>
        <v>Giảng viên khoa CNTT</v>
      </c>
      <c r="F160" s="1141">
        <v>5054400</v>
      </c>
      <c r="G160" s="1676">
        <f t="shared" si="4"/>
        <v>2.16</v>
      </c>
      <c r="H160" s="1654">
        <v>2340000</v>
      </c>
      <c r="I160" s="1141">
        <f t="shared" si="5"/>
        <v>5054400</v>
      </c>
      <c r="J160" s="1142">
        <f>A160</f>
        <v>150</v>
      </c>
      <c r="K160" s="1143">
        <f>VLOOKUP(B160,'[28]CN BC'!$F$10:$K$270,6,FALSE)</f>
        <v>0</v>
      </c>
    </row>
    <row r="161" spans="1:18" s="1146" customFormat="1" ht="28.5" customHeight="1">
      <c r="A161" s="1132">
        <f>_xlfn.AGGREGATE(4,7,A$10:A160)+1</f>
        <v>151</v>
      </c>
      <c r="B161" s="1172" t="s">
        <v>1508</v>
      </c>
      <c r="C161" s="1149" t="s">
        <v>1742</v>
      </c>
      <c r="D161" s="1173" t="s">
        <v>1342</v>
      </c>
      <c r="E161" s="1058" t="str">
        <f>VLOOKUP(B161,TH.Q2!B80:E411,4,FALSE)</f>
        <v>Giảng viên khoa CNTT</v>
      </c>
      <c r="F161" s="1141">
        <v>4668300</v>
      </c>
      <c r="G161" s="1676">
        <f t="shared" si="4"/>
        <v>1.9950000000000001</v>
      </c>
      <c r="H161" s="1654">
        <v>2340000</v>
      </c>
      <c r="I161" s="1141">
        <f t="shared" si="5"/>
        <v>4668300</v>
      </c>
      <c r="J161" s="1142">
        <f>A161</f>
        <v>151</v>
      </c>
      <c r="K161" s="1143">
        <f>VLOOKUP(B161,'[28]CN BC'!$F$10:$K$270,6,FALSE)</f>
        <v>0</v>
      </c>
    </row>
    <row r="162" spans="1:18" s="1146" customFormat="1" ht="26.25" customHeight="1">
      <c r="A162" s="1132">
        <f>_xlfn.AGGREGATE(4,7,A$10:A161)+1</f>
        <v>152</v>
      </c>
      <c r="B162" s="1172" t="s">
        <v>1509</v>
      </c>
      <c r="C162" s="1149" t="s">
        <v>1743</v>
      </c>
      <c r="D162" s="1173" t="s">
        <v>1344</v>
      </c>
      <c r="E162" s="1058" t="str">
        <f>VLOOKUP(B162,TH.Q2!B81:E412,4,FALSE)</f>
        <v>Giảng viên khoa CNTT</v>
      </c>
      <c r="F162" s="1141">
        <v>5601960</v>
      </c>
      <c r="G162" s="1676">
        <f t="shared" si="4"/>
        <v>2.3940000000000001</v>
      </c>
      <c r="H162" s="1654">
        <v>2340000</v>
      </c>
      <c r="I162" s="1141">
        <f t="shared" si="5"/>
        <v>5601960</v>
      </c>
      <c r="J162" s="1142">
        <f>A162</f>
        <v>152</v>
      </c>
      <c r="K162" s="1143">
        <f>VLOOKUP(B162,'[28]CN BC'!$F$10:$K$270,6,FALSE)</f>
        <v>0</v>
      </c>
    </row>
    <row r="163" spans="1:18" s="1148" customFormat="1" ht="27" customHeight="1">
      <c r="A163" s="1132">
        <f>_xlfn.AGGREGATE(4,7,A$10:A162)+1</f>
        <v>153</v>
      </c>
      <c r="B163" s="1223" t="s">
        <v>1511</v>
      </c>
      <c r="C163" s="1153" t="s">
        <v>1745</v>
      </c>
      <c r="D163" s="1154" t="s">
        <v>1349</v>
      </c>
      <c r="E163" s="1058" t="str">
        <f>VLOOKUP(B163,TH.Q2!B83:E414,4,FALSE)</f>
        <v>Giảng viên khoa CNTT</v>
      </c>
      <c r="F163" s="1141">
        <v>5601960</v>
      </c>
      <c r="G163" s="1676">
        <f t="shared" si="4"/>
        <v>2.3940000000000001</v>
      </c>
      <c r="H163" s="1654">
        <v>2340000</v>
      </c>
      <c r="I163" s="1141">
        <f t="shared" si="5"/>
        <v>5601960</v>
      </c>
      <c r="J163" s="1142">
        <f>A163</f>
        <v>153</v>
      </c>
      <c r="K163" s="1143">
        <f>VLOOKUP(B163,'[28]CN BC'!$F$10:$K$270,6,FALSE)</f>
        <v>0</v>
      </c>
      <c r="L163" s="1146"/>
      <c r="M163" s="1146"/>
      <c r="N163" s="1146"/>
    </row>
    <row r="164" spans="1:18" s="1148" customFormat="1" ht="30.75" customHeight="1">
      <c r="A164" s="1132">
        <f>_xlfn.AGGREGATE(4,7,A$10:A163)+1</f>
        <v>154</v>
      </c>
      <c r="B164" s="1133" t="s">
        <v>1512</v>
      </c>
      <c r="C164" s="1153" t="s">
        <v>1746</v>
      </c>
      <c r="D164" s="1154" t="s">
        <v>1350</v>
      </c>
      <c r="E164" s="383" t="str">
        <f>VLOOKUP(B164,TH.Q2!B84:E415,4,FALSE)</f>
        <v>Giảng viên khoa CNTT</v>
      </c>
      <c r="F164" s="1141">
        <v>5601960</v>
      </c>
      <c r="G164" s="1676">
        <f t="shared" si="4"/>
        <v>2.3940000000000001</v>
      </c>
      <c r="H164" s="1654">
        <v>2340000</v>
      </c>
      <c r="I164" s="1141">
        <f t="shared" si="5"/>
        <v>5601960</v>
      </c>
      <c r="J164" s="1142">
        <f>A164</f>
        <v>154</v>
      </c>
      <c r="K164" s="1143">
        <f>VLOOKUP(B164,'[28]CN BC'!$F$10:$K$270,6,FALSE)</f>
        <v>0</v>
      </c>
    </row>
    <row r="165" spans="1:18" s="1146" customFormat="1" ht="27" customHeight="1">
      <c r="A165" s="1132">
        <f>_xlfn.AGGREGATE(4,7,A$10:A164)+1</f>
        <v>155</v>
      </c>
      <c r="B165" s="1172" t="s">
        <v>1513</v>
      </c>
      <c r="C165" s="1149" t="s">
        <v>1747</v>
      </c>
      <c r="D165" s="1173" t="s">
        <v>1353</v>
      </c>
      <c r="E165" s="1058" t="str">
        <f>VLOOKUP(B165,TH.Q2!B85:E416,4,FALSE)</f>
        <v>Trưởng BM khoa CNTT</v>
      </c>
      <c r="F165" s="1141">
        <v>7272720</v>
      </c>
      <c r="G165" s="1676">
        <f t="shared" si="4"/>
        <v>3.1080000000000001</v>
      </c>
      <c r="H165" s="1654">
        <v>2340000</v>
      </c>
      <c r="I165" s="1141">
        <f t="shared" si="5"/>
        <v>7272720</v>
      </c>
      <c r="J165" s="1142">
        <f>A165</f>
        <v>155</v>
      </c>
      <c r="K165" s="1143">
        <f>VLOOKUP(B165,'[28]CN BC'!$F$10:$K$270,6,FALSE)</f>
        <v>0</v>
      </c>
    </row>
    <row r="166" spans="1:18" s="1148" customFormat="1" ht="48">
      <c r="A166" s="1214">
        <f>_xlfn.AGGREGATE(4,7,A$10:A165)+1</f>
        <v>156</v>
      </c>
      <c r="B166" s="1215" t="s">
        <v>1514</v>
      </c>
      <c r="C166" s="1216" t="s">
        <v>1748</v>
      </c>
      <c r="D166" s="1347" t="s">
        <v>1354</v>
      </c>
      <c r="E166" s="579" t="str">
        <f>VLOOKUP(B166,TH.Q2!B86:E417,4,FALSE)</f>
        <v>Giảng viên khoa CNTT</v>
      </c>
      <c r="F166" s="1349">
        <v>3267810</v>
      </c>
      <c r="G166" s="1676">
        <f t="shared" si="4"/>
        <v>1.3965000000000001</v>
      </c>
      <c r="H166" s="1654">
        <v>2340000</v>
      </c>
      <c r="I166" s="1141">
        <f t="shared" si="5"/>
        <v>3267810</v>
      </c>
      <c r="J166" s="1221">
        <f>A166</f>
        <v>156</v>
      </c>
      <c r="K166" s="1350" t="s">
        <v>2424</v>
      </c>
    </row>
    <row r="167" spans="1:18" s="1148" customFormat="1" ht="24.75" customHeight="1">
      <c r="A167" s="1132">
        <f>_xlfn.AGGREGATE(4,7,A$10:A166)+1</f>
        <v>157</v>
      </c>
      <c r="B167" s="1133" t="s">
        <v>1515</v>
      </c>
      <c r="C167" s="1153" t="s">
        <v>1749</v>
      </c>
      <c r="D167" s="1154" t="s">
        <v>1355</v>
      </c>
      <c r="E167" s="383" t="str">
        <f>VLOOKUP(B167,TH.Q2!B87:E418,4,FALSE)</f>
        <v>Giảng viên khoa CNTT</v>
      </c>
      <c r="F167" s="1141">
        <v>5601960</v>
      </c>
      <c r="G167" s="1676">
        <f t="shared" si="4"/>
        <v>2.3940000000000001</v>
      </c>
      <c r="H167" s="1654">
        <v>2340000</v>
      </c>
      <c r="I167" s="1141">
        <f t="shared" si="5"/>
        <v>5601960</v>
      </c>
      <c r="J167" s="1142">
        <f>A167</f>
        <v>157</v>
      </c>
      <c r="K167" s="1143">
        <f>VLOOKUP(B167,'[28]CN BC'!$F$10:$K$270,6,FALSE)</f>
        <v>0</v>
      </c>
    </row>
    <row r="168" spans="1:18" s="1146" customFormat="1" ht="24.75" customHeight="1">
      <c r="A168" s="1132">
        <f>_xlfn.AGGREGATE(4,7,A$10:A167)+1</f>
        <v>158</v>
      </c>
      <c r="B168" s="1172" t="s">
        <v>1516</v>
      </c>
      <c r="C168" s="1149" t="s">
        <v>1750</v>
      </c>
      <c r="D168" s="1173" t="s">
        <v>1356</v>
      </c>
      <c r="E168" s="1058" t="str">
        <f>VLOOKUP(B168,TH.Q2!B88:E419,4,FALSE)</f>
        <v>Giảng viên khoa CNTT</v>
      </c>
      <c r="F168" s="1141">
        <v>4668300</v>
      </c>
      <c r="G168" s="1676">
        <f t="shared" si="4"/>
        <v>1.9950000000000001</v>
      </c>
      <c r="H168" s="1654">
        <v>2340000</v>
      </c>
      <c r="I168" s="1141">
        <f t="shared" si="5"/>
        <v>4668300</v>
      </c>
      <c r="J168" s="1142">
        <f>A168</f>
        <v>158</v>
      </c>
      <c r="K168" s="1143">
        <f>VLOOKUP(B168,'[28]CN BC'!$F$10:$K$270,6,FALSE)</f>
        <v>0</v>
      </c>
    </row>
    <row r="169" spans="1:18" s="1148" customFormat="1" ht="27" customHeight="1">
      <c r="A169" s="1132">
        <f>_xlfn.AGGREGATE(4,7,A$10:A168)+1</f>
        <v>159</v>
      </c>
      <c r="B169" s="1133" t="s">
        <v>1883</v>
      </c>
      <c r="C169" s="1153" t="s">
        <v>1751</v>
      </c>
      <c r="D169" s="1154" t="s">
        <v>381</v>
      </c>
      <c r="E169" s="383" t="str">
        <f>VLOOKUP(B169,TH.Q2!B89:E420,4,FALSE)</f>
        <v>Phó Trưởng khoa CNTT</v>
      </c>
      <c r="F169" s="1141">
        <v>6093360</v>
      </c>
      <c r="G169" s="1676">
        <f t="shared" si="4"/>
        <v>2.6040000000000001</v>
      </c>
      <c r="H169" s="1654">
        <v>2340000</v>
      </c>
      <c r="I169" s="1141">
        <f t="shared" si="5"/>
        <v>6093360</v>
      </c>
      <c r="J169" s="1142">
        <f>A169</f>
        <v>159</v>
      </c>
      <c r="K169" s="1143">
        <f>VLOOKUP(B169,'[28]CN BC'!$F$10:$K$270,6,FALSE)</f>
        <v>0</v>
      </c>
    </row>
    <row r="170" spans="1:18" s="1148" customFormat="1" ht="23.25" customHeight="1">
      <c r="A170" s="1132">
        <f>_xlfn.AGGREGATE(4,7,A$10:A169)+1</f>
        <v>160</v>
      </c>
      <c r="B170" s="1133" t="s">
        <v>1833</v>
      </c>
      <c r="C170" s="1153" t="s">
        <v>1966</v>
      </c>
      <c r="D170" s="1225">
        <v>1603215005649</v>
      </c>
      <c r="E170" s="1058" t="str">
        <f>VLOOKUP(B170,TH.Q2!B90:E421,4,FALSE)</f>
        <v>Giảng viên khoa CNTT</v>
      </c>
      <c r="F170" s="1141">
        <v>4282200</v>
      </c>
      <c r="G170" s="1676">
        <f t="shared" si="4"/>
        <v>1.83</v>
      </c>
      <c r="H170" s="1654">
        <v>2340000</v>
      </c>
      <c r="I170" s="1141">
        <f t="shared" si="5"/>
        <v>4282200</v>
      </c>
      <c r="J170" s="1142">
        <f>A170</f>
        <v>160</v>
      </c>
      <c r="K170" s="1143">
        <f>VLOOKUP(B170,'[28]CN BC'!$F$10:$K$270,6,FALSE)</f>
        <v>0</v>
      </c>
    </row>
    <row r="171" spans="1:18" s="1148" customFormat="1" ht="29.25" customHeight="1">
      <c r="A171" s="1132">
        <f>_xlfn.AGGREGATE(4,7,A$10:A170)+1</f>
        <v>161</v>
      </c>
      <c r="B171" s="1133" t="s">
        <v>1884</v>
      </c>
      <c r="C171" s="1149" t="s">
        <v>1752</v>
      </c>
      <c r="D171" s="1154" t="s">
        <v>1345</v>
      </c>
      <c r="E171" s="1058" t="str">
        <f>VLOOKUP(B171,TH.Q2!B91:E422,4,FALSE)</f>
        <v>Giảng viên khoa CNTT</v>
      </c>
      <c r="F171" s="1141">
        <v>6416280</v>
      </c>
      <c r="G171" s="1676">
        <f t="shared" si="4"/>
        <v>2.742</v>
      </c>
      <c r="H171" s="1654">
        <v>2340000</v>
      </c>
      <c r="I171" s="1141">
        <f t="shared" si="5"/>
        <v>6416280</v>
      </c>
      <c r="J171" s="1142">
        <f>A171</f>
        <v>161</v>
      </c>
      <c r="K171" s="1143">
        <f>VLOOKUP(B171,'[28]CN BC'!$F$10:$K$270,6,FALSE)</f>
        <v>0</v>
      </c>
      <c r="L171" s="1146"/>
      <c r="M171" s="1146"/>
      <c r="N171" s="1146"/>
      <c r="O171" s="1146"/>
      <c r="P171" s="1146"/>
      <c r="Q171" s="1146"/>
      <c r="R171" s="1146"/>
    </row>
    <row r="172" spans="1:18" s="1148" customFormat="1" ht="29.25" customHeight="1">
      <c r="A172" s="1132">
        <f>_xlfn.AGGREGATE(4,7,A$10:A171)+1</f>
        <v>162</v>
      </c>
      <c r="B172" s="1133" t="s">
        <v>1517</v>
      </c>
      <c r="C172" s="1153" t="s">
        <v>1753</v>
      </c>
      <c r="D172" s="1166">
        <v>1603205286594</v>
      </c>
      <c r="E172" s="383" t="str">
        <f>VLOOKUP(B172,TH.Q2!B92:E423,4,FALSE)</f>
        <v>Giảng viên khoa CNTT</v>
      </c>
      <c r="F172" s="1141">
        <v>4282200</v>
      </c>
      <c r="G172" s="1676">
        <f t="shared" si="4"/>
        <v>1.83</v>
      </c>
      <c r="H172" s="1654">
        <v>2340000</v>
      </c>
      <c r="I172" s="1141">
        <f t="shared" si="5"/>
        <v>4282200</v>
      </c>
      <c r="J172" s="1142">
        <f>A172</f>
        <v>162</v>
      </c>
      <c r="K172" s="1143">
        <f>VLOOKUP(B172,'[28]CN BC'!$F$10:$K$270,6,FALSE)</f>
        <v>0</v>
      </c>
    </row>
    <row r="173" spans="1:18" s="1148" customFormat="1" ht="28.5" customHeight="1">
      <c r="A173" s="1132">
        <f>_xlfn.AGGREGATE(4,7,A$10:A172)+1</f>
        <v>163</v>
      </c>
      <c r="B173" s="1133" t="s">
        <v>1518</v>
      </c>
      <c r="C173" s="1153" t="s">
        <v>1754</v>
      </c>
      <c r="D173" s="1154" t="s">
        <v>1346</v>
      </c>
      <c r="E173" s="383" t="str">
        <f>VLOOKUP(B173,TH.Q2!B93:E424,4,FALSE)</f>
        <v>Giảng viên khoa CNTT</v>
      </c>
      <c r="F173" s="1141">
        <v>5054400</v>
      </c>
      <c r="G173" s="1676">
        <f t="shared" si="4"/>
        <v>2.16</v>
      </c>
      <c r="H173" s="1654">
        <v>2340000</v>
      </c>
      <c r="I173" s="1141">
        <f t="shared" si="5"/>
        <v>5054400</v>
      </c>
      <c r="J173" s="1142">
        <f>A173</f>
        <v>163</v>
      </c>
      <c r="K173" s="1143">
        <f>VLOOKUP(B173,'[28]CN BC'!$F$10:$K$270,6,FALSE)</f>
        <v>0</v>
      </c>
    </row>
    <row r="174" spans="1:18" s="1148" customFormat="1" ht="28.5" customHeight="1">
      <c r="A174" s="1132">
        <f>_xlfn.AGGREGATE(4,7,A$10:A173)+1</f>
        <v>164</v>
      </c>
      <c r="B174" s="1133" t="s">
        <v>1519</v>
      </c>
      <c r="C174" s="1153" t="s">
        <v>1755</v>
      </c>
      <c r="D174" s="1154" t="s">
        <v>771</v>
      </c>
      <c r="E174" s="383" t="str">
        <f>VLOOKUP(B174,TH.Q2!B94:E425,4,FALSE)</f>
        <v>Giảng viên khoa CNTT</v>
      </c>
      <c r="F174" s="1141">
        <v>4668300</v>
      </c>
      <c r="G174" s="1676">
        <f t="shared" si="4"/>
        <v>1.9950000000000001</v>
      </c>
      <c r="H174" s="1654">
        <v>2340000</v>
      </c>
      <c r="I174" s="1141">
        <f t="shared" si="5"/>
        <v>4668300</v>
      </c>
      <c r="J174" s="1142">
        <f>A174</f>
        <v>164</v>
      </c>
      <c r="K174" s="1143">
        <f>VLOOKUP(B174,'[28]CN BC'!$F$10:$K$270,6,FALSE)</f>
        <v>0</v>
      </c>
    </row>
    <row r="175" spans="1:18" s="1148" customFormat="1" ht="25.5" customHeight="1">
      <c r="A175" s="1132">
        <f>_xlfn.AGGREGATE(4,7,A$10:A174)+1</f>
        <v>165</v>
      </c>
      <c r="B175" s="1133" t="s">
        <v>1520</v>
      </c>
      <c r="C175" s="1153" t="s">
        <v>1756</v>
      </c>
      <c r="D175" s="1226" t="s">
        <v>1593</v>
      </c>
      <c r="E175" s="1058" t="str">
        <f>VLOOKUP(B175,TH.Q2!B95:E426,4,FALSE)</f>
        <v>Giảng viên khoa CNTT</v>
      </c>
      <c r="F175" s="1141">
        <v>5952960</v>
      </c>
      <c r="G175" s="1676">
        <f t="shared" si="4"/>
        <v>2.544</v>
      </c>
      <c r="H175" s="1654">
        <v>2340000</v>
      </c>
      <c r="I175" s="1141">
        <f t="shared" si="5"/>
        <v>5952960</v>
      </c>
      <c r="J175" s="1142">
        <f>A175</f>
        <v>165</v>
      </c>
      <c r="K175" s="1143">
        <f>VLOOKUP(B175,'[28]CN BC'!$F$10:$K$270,6,FALSE)</f>
        <v>0</v>
      </c>
    </row>
    <row r="176" spans="1:18" s="1148" customFormat="1" ht="28.5" customHeight="1">
      <c r="A176" s="1132">
        <f>_xlfn.AGGREGATE(4,7,A$10:A175)+1</f>
        <v>166</v>
      </c>
      <c r="B176" s="1133" t="s">
        <v>1467</v>
      </c>
      <c r="C176" s="1153" t="s">
        <v>1674</v>
      </c>
      <c r="D176" s="1154" t="s">
        <v>1343</v>
      </c>
      <c r="E176" s="1058" t="str">
        <f>VLOOKUP(B176,TH.Q2!B96:E427,4,FALSE)</f>
        <v>Giảng viên khoa CNTT</v>
      </c>
      <c r="F176" s="1141">
        <v>5054400</v>
      </c>
      <c r="G176" s="1676">
        <f t="shared" si="4"/>
        <v>2.16</v>
      </c>
      <c r="H176" s="1654">
        <v>2340000</v>
      </c>
      <c r="I176" s="1141">
        <f t="shared" si="5"/>
        <v>5054400</v>
      </c>
      <c r="J176" s="1142">
        <f>A176</f>
        <v>166</v>
      </c>
      <c r="K176" s="1143">
        <f>VLOOKUP(B176,'[28]CN BC'!$F$10:$K$270,6,FALSE)</f>
        <v>0</v>
      </c>
      <c r="L176" s="1146"/>
      <c r="M176" s="1146"/>
      <c r="N176" s="1146"/>
    </row>
    <row r="177" spans="1:14" s="1148" customFormat="1" ht="28.5" customHeight="1">
      <c r="A177" s="1132">
        <f>_xlfn.AGGREGATE(4,7,A$10:A176)+1</f>
        <v>167</v>
      </c>
      <c r="B177" s="1133" t="s">
        <v>2011</v>
      </c>
      <c r="C177" s="1153"/>
      <c r="D177" s="1154"/>
      <c r="E177" s="1058" t="str">
        <f>VLOOKUP(B177,TH.Q2!B97:E428,4,FALSE)</f>
        <v>Giảng viên khoa CNTT</v>
      </c>
      <c r="F177" s="1141">
        <v>3748680</v>
      </c>
      <c r="G177" s="1676">
        <f t="shared" si="4"/>
        <v>1.6020000000000001</v>
      </c>
      <c r="H177" s="1654">
        <v>2340000</v>
      </c>
      <c r="I177" s="1141">
        <f t="shared" si="5"/>
        <v>3748680</v>
      </c>
      <c r="J177" s="1142">
        <f>A177</f>
        <v>167</v>
      </c>
      <c r="K177" s="1143">
        <f>VLOOKUP(B177,'[28]CN BC'!$F$10:$K$270,6,FALSE)</f>
        <v>0</v>
      </c>
    </row>
    <row r="178" spans="1:14" s="1148" customFormat="1" ht="28.5" customHeight="1">
      <c r="A178" s="1132">
        <f>_xlfn.AGGREGATE(4,7,A$10:A177)+1</f>
        <v>168</v>
      </c>
      <c r="B178" s="1133" t="s">
        <v>2017</v>
      </c>
      <c r="C178" s="1153"/>
      <c r="D178" s="1154"/>
      <c r="E178" s="383" t="str">
        <f>VLOOKUP(B178,TH.Q2!B98:E429,4,FALSE)</f>
        <v>Giảng viên khoa CNTT</v>
      </c>
      <c r="F178" s="1141">
        <v>3285360</v>
      </c>
      <c r="G178" s="1676">
        <f t="shared" si="4"/>
        <v>1.4039999999999999</v>
      </c>
      <c r="H178" s="1654">
        <v>2340000</v>
      </c>
      <c r="I178" s="1141">
        <f t="shared" si="5"/>
        <v>3285360</v>
      </c>
      <c r="J178" s="1142">
        <f>A178</f>
        <v>168</v>
      </c>
      <c r="K178" s="1143">
        <f>VLOOKUP(B178,'[28]CN BC'!$F$10:$K$270,6,FALSE)</f>
        <v>0</v>
      </c>
    </row>
    <row r="179" spans="1:14" s="1148" customFormat="1" ht="28.5" customHeight="1">
      <c r="A179" s="1132">
        <f>_xlfn.AGGREGATE(4,7,A$10:A178)+1</f>
        <v>169</v>
      </c>
      <c r="B179" s="1133" t="s">
        <v>1885</v>
      </c>
      <c r="C179" s="1153" t="s">
        <v>1757</v>
      </c>
      <c r="D179" s="1154" t="s">
        <v>1368</v>
      </c>
      <c r="E179" s="1058" t="str">
        <f>VLOOKUP(B179,TH.Q2!B99:E430,4,FALSE)</f>
        <v>Trưởng khoa Cơ khí</v>
      </c>
      <c r="F179" s="1141">
        <v>8353800.0000000009</v>
      </c>
      <c r="G179" s="1676">
        <f t="shared" si="4"/>
        <v>3.5700000000000003</v>
      </c>
      <c r="H179" s="1654">
        <v>2340000</v>
      </c>
      <c r="I179" s="1141">
        <f t="shared" si="5"/>
        <v>8353800.0000000009</v>
      </c>
      <c r="J179" s="1142">
        <f>A179</f>
        <v>169</v>
      </c>
      <c r="K179" s="1143">
        <f>VLOOKUP(B179,'[28]CN BC'!$F$10:$K$270,6,FALSE)</f>
        <v>0</v>
      </c>
      <c r="L179" s="1146"/>
      <c r="M179" s="1146"/>
      <c r="N179" s="1146"/>
    </row>
    <row r="180" spans="1:14" s="1146" customFormat="1" ht="26.25" customHeight="1">
      <c r="A180" s="1132">
        <f>_xlfn.AGGREGATE(4,7,A$10:A179)+1</f>
        <v>170</v>
      </c>
      <c r="B180" s="1172" t="s">
        <v>1886</v>
      </c>
      <c r="C180" s="1149" t="s">
        <v>1758</v>
      </c>
      <c r="D180" s="1173" t="s">
        <v>1363</v>
      </c>
      <c r="E180" s="1058" t="str">
        <f>VLOOKUP(B180,TH.Q2!B100:E431,4,FALSE)</f>
        <v>Giảng viên khoa Cơ khí</v>
      </c>
      <c r="F180" s="1141">
        <v>6292260</v>
      </c>
      <c r="G180" s="1676">
        <f t="shared" si="4"/>
        <v>2.6890000000000001</v>
      </c>
      <c r="H180" s="1654">
        <v>2340000</v>
      </c>
      <c r="I180" s="1141">
        <f t="shared" si="5"/>
        <v>6292260</v>
      </c>
      <c r="J180" s="1142">
        <f>A180</f>
        <v>170</v>
      </c>
      <c r="K180" s="1143">
        <f>VLOOKUP(B180,'[28]CN BC'!$F$10:$K$270,6,FALSE)</f>
        <v>0</v>
      </c>
    </row>
    <row r="181" spans="1:14" s="1148" customFormat="1" ht="31.5" customHeight="1">
      <c r="A181" s="1132">
        <f>_xlfn.AGGREGATE(4,7,A$10:A180)+1</f>
        <v>171</v>
      </c>
      <c r="B181" s="1133" t="s">
        <v>1887</v>
      </c>
      <c r="C181" s="1153" t="s">
        <v>1759</v>
      </c>
      <c r="D181" s="1154" t="s">
        <v>1364</v>
      </c>
      <c r="E181" s="383" t="str">
        <f>VLOOKUP(B181,TH.Q2!B101:E432,4,FALSE)</f>
        <v>Giảng viên khoa Cơ khí</v>
      </c>
      <c r="F181" s="1141">
        <v>7550712</v>
      </c>
      <c r="G181" s="1676">
        <f t="shared" si="4"/>
        <v>3.2267999999999999</v>
      </c>
      <c r="H181" s="1654">
        <v>2340000</v>
      </c>
      <c r="I181" s="1141">
        <f t="shared" si="5"/>
        <v>7550712</v>
      </c>
      <c r="J181" s="1142">
        <f>A181</f>
        <v>171</v>
      </c>
      <c r="K181" s="1143">
        <f>VLOOKUP(B181,'[28]CN BC'!$F$10:$K$270,6,FALSE)</f>
        <v>0</v>
      </c>
    </row>
    <row r="182" spans="1:14" s="1148" customFormat="1" ht="25.5" customHeight="1">
      <c r="A182" s="1132">
        <f>_xlfn.AGGREGATE(4,7,A$10:A181)+1</f>
        <v>172</v>
      </c>
      <c r="B182" s="1133" t="s">
        <v>1888</v>
      </c>
      <c r="C182" s="1153" t="s">
        <v>1760</v>
      </c>
      <c r="D182" s="1154" t="s">
        <v>1369</v>
      </c>
      <c r="E182" s="1058" t="str">
        <f>VLOOKUP(B182,TH.Q2!B102:E433,4,FALSE)</f>
        <v>Giảng viên khoa Cơ khí</v>
      </c>
      <c r="F182" s="1141">
        <v>6065280</v>
      </c>
      <c r="G182" s="1676">
        <f t="shared" si="4"/>
        <v>2.5920000000000001</v>
      </c>
      <c r="H182" s="1654">
        <v>2340000</v>
      </c>
      <c r="I182" s="1141">
        <f t="shared" si="5"/>
        <v>6065280</v>
      </c>
      <c r="J182" s="1142">
        <f>A182</f>
        <v>172</v>
      </c>
      <c r="K182" s="1143">
        <f>VLOOKUP(B182,'[28]CN BC'!$F$10:$K$270,6,FALSE)</f>
        <v>0</v>
      </c>
      <c r="L182" s="1146"/>
      <c r="M182" s="1146"/>
      <c r="N182" s="1146"/>
    </row>
    <row r="183" spans="1:14" s="1148" customFormat="1" ht="25.5" customHeight="1">
      <c r="A183" s="1132">
        <f>_xlfn.AGGREGATE(4,7,A$10:A182)+1</f>
        <v>173</v>
      </c>
      <c r="B183" s="1133" t="s">
        <v>1889</v>
      </c>
      <c r="C183" s="1153" t="s">
        <v>1761</v>
      </c>
      <c r="D183" s="1154" t="s">
        <v>42</v>
      </c>
      <c r="E183" s="1058" t="str">
        <f>VLOOKUP(B183,TH.Q2!B103:E434,4,FALSE)</f>
        <v>Giảng viên khoa Cơ khí</v>
      </c>
      <c r="F183" s="1141">
        <v>6759090</v>
      </c>
      <c r="G183" s="1676">
        <f t="shared" si="4"/>
        <v>2.8885000000000001</v>
      </c>
      <c r="H183" s="1654">
        <v>2340000</v>
      </c>
      <c r="I183" s="1141">
        <f t="shared" si="5"/>
        <v>6759090</v>
      </c>
      <c r="J183" s="1142">
        <f>A183</f>
        <v>173</v>
      </c>
      <c r="K183" s="1143">
        <f>VLOOKUP(B183,'[28]CN BC'!$F$10:$K$270,6,FALSE)</f>
        <v>0</v>
      </c>
      <c r="L183" s="1146"/>
      <c r="M183" s="1146"/>
      <c r="N183" s="1146"/>
    </row>
    <row r="184" spans="1:14" s="1148" customFormat="1" ht="25.5" customHeight="1">
      <c r="A184" s="1132">
        <f>_xlfn.AGGREGATE(4,7,A$10:A183)+1</f>
        <v>174</v>
      </c>
      <c r="B184" s="1133" t="s">
        <v>1890</v>
      </c>
      <c r="C184" s="1153" t="s">
        <v>1762</v>
      </c>
      <c r="D184" s="1154" t="s">
        <v>1367</v>
      </c>
      <c r="E184" s="1058" t="str">
        <f>VLOOKUP(B184,TH.Q2!B104:E435,4,FALSE)</f>
        <v>Giảng viên khoa Cơ khí</v>
      </c>
      <c r="F184" s="1141">
        <v>8026199.9999999991</v>
      </c>
      <c r="G184" s="1676">
        <f t="shared" si="4"/>
        <v>3.4299999999999997</v>
      </c>
      <c r="H184" s="1654">
        <v>2340000</v>
      </c>
      <c r="I184" s="1141">
        <f t="shared" si="5"/>
        <v>8026199.9999999991</v>
      </c>
      <c r="J184" s="1142">
        <f>A184</f>
        <v>174</v>
      </c>
      <c r="K184" s="1143">
        <f>VLOOKUP(B184,'[28]CN BC'!$F$10:$K$270,6,FALSE)</f>
        <v>0</v>
      </c>
      <c r="L184" s="1146"/>
      <c r="M184" s="1146"/>
      <c r="N184" s="1146"/>
    </row>
    <row r="185" spans="1:14" s="1148" customFormat="1" ht="25.5" customHeight="1">
      <c r="A185" s="1132">
        <f>_xlfn.AGGREGATE(4,7,A$10:A184)+1</f>
        <v>175</v>
      </c>
      <c r="B185" s="1133" t="s">
        <v>1891</v>
      </c>
      <c r="C185" s="1153" t="s">
        <v>1763</v>
      </c>
      <c r="D185" s="1154" t="s">
        <v>1377</v>
      </c>
      <c r="E185" s="383" t="str">
        <f>VLOOKUP(B185,TH.Q2!B105:E436,4,FALSE)</f>
        <v>Giảng viên khoa Cơ khí</v>
      </c>
      <c r="F185" s="1141">
        <v>7832916.0000000009</v>
      </c>
      <c r="G185" s="1676">
        <f t="shared" si="4"/>
        <v>3.3474000000000004</v>
      </c>
      <c r="H185" s="1654">
        <v>2340000</v>
      </c>
      <c r="I185" s="1141">
        <f t="shared" si="5"/>
        <v>7832916.0000000009</v>
      </c>
      <c r="J185" s="1142">
        <f>A185</f>
        <v>175</v>
      </c>
      <c r="K185" s="1143">
        <f>VLOOKUP(B185,'[28]CN BC'!$F$10:$K$270,6,FALSE)</f>
        <v>0</v>
      </c>
    </row>
    <row r="186" spans="1:14" s="1148" customFormat="1" ht="25.5" customHeight="1">
      <c r="A186" s="1132">
        <f>_xlfn.AGGREGATE(4,7,A$10:A185)+1</f>
        <v>176</v>
      </c>
      <c r="B186" s="1133" t="s">
        <v>1525</v>
      </c>
      <c r="C186" s="1153" t="s">
        <v>1764</v>
      </c>
      <c r="D186" s="1154" t="s">
        <v>1372</v>
      </c>
      <c r="E186" s="1058" t="str">
        <f>VLOOKUP(B186,TH.Q2!B106:E437,4,FALSE)</f>
        <v>Giảng viên khoa Cơ khí</v>
      </c>
      <c r="F186" s="1141">
        <v>5601960</v>
      </c>
      <c r="G186" s="1676">
        <f t="shared" si="4"/>
        <v>2.3940000000000001</v>
      </c>
      <c r="H186" s="1654">
        <v>2340000</v>
      </c>
      <c r="I186" s="1141">
        <f t="shared" si="5"/>
        <v>5601960</v>
      </c>
      <c r="J186" s="1142">
        <f>A186</f>
        <v>176</v>
      </c>
      <c r="K186" s="1143">
        <f>VLOOKUP(B186,'[28]CN BC'!$F$10:$K$270,6,FALSE)</f>
        <v>0</v>
      </c>
      <c r="L186" s="1146"/>
      <c r="M186" s="1146"/>
      <c r="N186" s="1146"/>
    </row>
    <row r="187" spans="1:14" s="1148" customFormat="1" ht="25.5" customHeight="1">
      <c r="A187" s="1132">
        <f>_xlfn.AGGREGATE(4,7,A$10:A186)+1</f>
        <v>177</v>
      </c>
      <c r="B187" s="1133" t="s">
        <v>1892</v>
      </c>
      <c r="C187" s="1153" t="s">
        <v>1765</v>
      </c>
      <c r="D187" s="1154" t="s">
        <v>1374</v>
      </c>
      <c r="E187" s="383" t="str">
        <f>VLOOKUP(B187,TH.Q2!B107:E438,4,FALSE)</f>
        <v>Giảng viên khoa Cơ khí</v>
      </c>
      <c r="F187" s="1141">
        <v>6176430.0000000009</v>
      </c>
      <c r="G187" s="1676">
        <f t="shared" si="4"/>
        <v>2.6395000000000004</v>
      </c>
      <c r="H187" s="1654">
        <v>2340000</v>
      </c>
      <c r="I187" s="1141">
        <f t="shared" si="5"/>
        <v>6176430.0000000009</v>
      </c>
      <c r="J187" s="1142">
        <f>A187</f>
        <v>177</v>
      </c>
      <c r="K187" s="1143">
        <f>VLOOKUP(B187,'[28]CN BC'!$F$10:$K$270,6,FALSE)</f>
        <v>0</v>
      </c>
    </row>
    <row r="188" spans="1:14" s="1148" customFormat="1" ht="25.5" customHeight="1">
      <c r="A188" s="1132">
        <f>_xlfn.AGGREGATE(4,7,A$10:A187)+1</f>
        <v>178</v>
      </c>
      <c r="B188" s="1133" t="s">
        <v>1526</v>
      </c>
      <c r="C188" s="1153" t="s">
        <v>1766</v>
      </c>
      <c r="D188" s="1188" t="s">
        <v>1939</v>
      </c>
      <c r="E188" s="383" t="str">
        <f>VLOOKUP(B188,TH.Q2!B108:E439,4,FALSE)</f>
        <v>Phó Trưởng khoa Cơ khí</v>
      </c>
      <c r="F188" s="1141">
        <v>6093360</v>
      </c>
      <c r="G188" s="1676">
        <f t="shared" si="4"/>
        <v>2.6040000000000001</v>
      </c>
      <c r="H188" s="1654">
        <v>2340000</v>
      </c>
      <c r="I188" s="1141">
        <f t="shared" si="5"/>
        <v>6093360</v>
      </c>
      <c r="J188" s="1142">
        <f>A188</f>
        <v>178</v>
      </c>
      <c r="K188" s="1143">
        <f>VLOOKUP(B188,'[28]CN BC'!$F$10:$K$270,6,FALSE)</f>
        <v>0</v>
      </c>
    </row>
    <row r="189" spans="1:14" s="1148" customFormat="1" ht="26.25" customHeight="1">
      <c r="A189" s="1132">
        <f>_xlfn.AGGREGATE(4,7,A$10:A188)+1</f>
        <v>179</v>
      </c>
      <c r="B189" s="1133" t="s">
        <v>1527</v>
      </c>
      <c r="C189" s="1153" t="s">
        <v>1767</v>
      </c>
      <c r="D189" s="1154" t="s">
        <v>1379</v>
      </c>
      <c r="E189" s="383" t="str">
        <f>VLOOKUP(B189,TH.Q2!B109:E440,4,FALSE)</f>
        <v>Giảng viên khoa Cơ khí</v>
      </c>
      <c r="F189" s="1141">
        <v>7469280</v>
      </c>
      <c r="G189" s="1676">
        <f t="shared" si="4"/>
        <v>3.1920000000000002</v>
      </c>
      <c r="H189" s="1654">
        <v>2340000</v>
      </c>
      <c r="I189" s="1141">
        <f t="shared" si="5"/>
        <v>7469280</v>
      </c>
      <c r="J189" s="1142">
        <f>A189</f>
        <v>179</v>
      </c>
      <c r="K189" s="1143">
        <f>VLOOKUP(B189,'[28]CN BC'!$F$10:$K$270,6,FALSE)</f>
        <v>0</v>
      </c>
    </row>
    <row r="190" spans="1:14" s="1148" customFormat="1" ht="27.75" customHeight="1">
      <c r="A190" s="1132">
        <f>_xlfn.AGGREGATE(4,7,A$10:A189)+1</f>
        <v>180</v>
      </c>
      <c r="B190" s="1133" t="s">
        <v>1893</v>
      </c>
      <c r="C190" s="1153" t="s">
        <v>1768</v>
      </c>
      <c r="D190" s="1154" t="s">
        <v>387</v>
      </c>
      <c r="E190" s="1058" t="str">
        <f>VLOOKUP(B190,TH.Q2!B110:E441,4,FALSE)</f>
        <v>Giảng viên khoa Cơ khí</v>
      </c>
      <c r="F190" s="1141">
        <v>5138640</v>
      </c>
      <c r="G190" s="1676">
        <f t="shared" si="4"/>
        <v>2.1960000000000002</v>
      </c>
      <c r="H190" s="1654">
        <v>2340000</v>
      </c>
      <c r="I190" s="1141">
        <f t="shared" si="5"/>
        <v>5138640</v>
      </c>
      <c r="J190" s="1142">
        <f>A190</f>
        <v>180</v>
      </c>
      <c r="K190" s="1143">
        <f>VLOOKUP(B190,'[28]CN BC'!$F$10:$K$270,6,FALSE)</f>
        <v>0</v>
      </c>
      <c r="L190" s="1146"/>
      <c r="M190" s="1146"/>
      <c r="N190" s="1146"/>
    </row>
    <row r="191" spans="1:14" s="1148" customFormat="1" ht="27.75" customHeight="1">
      <c r="A191" s="1132">
        <f>_xlfn.AGGREGATE(4,7,A$10:A190)+1</f>
        <v>181</v>
      </c>
      <c r="B191" s="1133" t="s">
        <v>1894</v>
      </c>
      <c r="C191" s="1153" t="s">
        <v>1769</v>
      </c>
      <c r="D191" s="1154" t="s">
        <v>388</v>
      </c>
      <c r="E191" s="1058" t="str">
        <f>VLOOKUP(B191,TH.Q2!B111:E442,4,FALSE)</f>
        <v>Giảng viên khoa Cơ khí</v>
      </c>
      <c r="F191" s="1141">
        <v>4282200</v>
      </c>
      <c r="G191" s="1676">
        <f t="shared" si="4"/>
        <v>1.83</v>
      </c>
      <c r="H191" s="1654">
        <v>2340000</v>
      </c>
      <c r="I191" s="1141">
        <f t="shared" si="5"/>
        <v>4282200</v>
      </c>
      <c r="J191" s="1142">
        <f>A191</f>
        <v>181</v>
      </c>
      <c r="K191" s="1143">
        <f>VLOOKUP(B191,'[28]CN BC'!$F$10:$K$270,6,FALSE)</f>
        <v>0</v>
      </c>
      <c r="L191" s="1146"/>
      <c r="M191" s="1146"/>
      <c r="N191" s="1146"/>
    </row>
    <row r="192" spans="1:14" s="1148" customFormat="1" ht="32.25" customHeight="1">
      <c r="A192" s="1132">
        <f>_xlfn.AGGREGATE(4,7,A$10:A191)+1</f>
        <v>182</v>
      </c>
      <c r="B192" s="1133" t="s">
        <v>2023</v>
      </c>
      <c r="C192" s="1153" t="s">
        <v>1770</v>
      </c>
      <c r="D192" s="1154" t="s">
        <v>386</v>
      </c>
      <c r="E192" s="1058" t="str">
        <f>VLOOKUP(B192,TH.Q2!B112:E443,4,FALSE)</f>
        <v>Giảng viên khoa Cơ khí</v>
      </c>
      <c r="F192" s="1141">
        <v>4282200</v>
      </c>
      <c r="G192" s="1676">
        <f t="shared" si="4"/>
        <v>1.83</v>
      </c>
      <c r="H192" s="1654">
        <v>2340000</v>
      </c>
      <c r="I192" s="1141">
        <f t="shared" si="5"/>
        <v>4282200</v>
      </c>
      <c r="J192" s="1142">
        <f>A192</f>
        <v>182</v>
      </c>
      <c r="K192" s="1143">
        <f>VLOOKUP(B192,'[28]CN BC'!$F$10:$K$270,6,FALSE)</f>
        <v>0</v>
      </c>
    </row>
    <row r="193" spans="1:18" s="1148" customFormat="1" ht="30.75" customHeight="1">
      <c r="A193" s="1132">
        <f>_xlfn.AGGREGATE(4,7,A$10:A192)+1</f>
        <v>183</v>
      </c>
      <c r="B193" s="1133" t="s">
        <v>1528</v>
      </c>
      <c r="C193" s="1153" t="s">
        <v>1771</v>
      </c>
      <c r="D193" s="1154" t="s">
        <v>456</v>
      </c>
      <c r="E193" s="383" t="str">
        <f>VLOOKUP(B193,TH.Q2!B113:E444,4,FALSE)</f>
        <v>Giảng viên khoa Cơ khí</v>
      </c>
      <c r="F193" s="1141">
        <v>4282200</v>
      </c>
      <c r="G193" s="1676">
        <f t="shared" si="4"/>
        <v>1.83</v>
      </c>
      <c r="H193" s="1654">
        <v>2340000</v>
      </c>
      <c r="I193" s="1141">
        <f t="shared" si="5"/>
        <v>4282200</v>
      </c>
      <c r="J193" s="1142">
        <f>A193</f>
        <v>183</v>
      </c>
      <c r="K193" s="1143">
        <f>VLOOKUP(B193,'[28]CN BC'!$F$10:$K$270,6,FALSE)</f>
        <v>0</v>
      </c>
    </row>
    <row r="194" spans="1:18" s="1148" customFormat="1" ht="30" customHeight="1">
      <c r="A194" s="1132">
        <f>_xlfn.AGGREGATE(4,7,A$10:A193)+1</f>
        <v>184</v>
      </c>
      <c r="B194" s="1133" t="s">
        <v>1529</v>
      </c>
      <c r="C194" s="1153" t="s">
        <v>1772</v>
      </c>
      <c r="D194" s="1154" t="s">
        <v>743</v>
      </c>
      <c r="E194" s="383" t="str">
        <f>VLOOKUP(B194,TH.Q2!B114:E445,4,FALSE)</f>
        <v>Giảng viên - Trưởng BM khoa Cơ khí</v>
      </c>
      <c r="F194" s="1141">
        <v>7319520</v>
      </c>
      <c r="G194" s="1676">
        <f t="shared" si="4"/>
        <v>3.1280000000000001</v>
      </c>
      <c r="H194" s="1654">
        <v>2340000</v>
      </c>
      <c r="I194" s="1141">
        <f t="shared" si="5"/>
        <v>7319520</v>
      </c>
      <c r="J194" s="1142">
        <f>A194</f>
        <v>184</v>
      </c>
      <c r="K194" s="1143">
        <f>VLOOKUP(B194,'[28]CN BC'!$F$10:$K$270,6,FALSE)</f>
        <v>0</v>
      </c>
    </row>
    <row r="195" spans="1:18" s="1148" customFormat="1" ht="30" customHeight="1">
      <c r="A195" s="1132">
        <f>_xlfn.AGGREGATE(4,7,A$10:A194)+1</f>
        <v>185</v>
      </c>
      <c r="B195" s="1133" t="s">
        <v>1530</v>
      </c>
      <c r="C195" s="1153" t="s">
        <v>1773</v>
      </c>
      <c r="D195" s="1179">
        <v>1603205357641</v>
      </c>
      <c r="E195" s="383" t="str">
        <f>VLOOKUP(B195,TH.Q2!B115:E446,4,FALSE)</f>
        <v>Giảng viên khoa Cơ khí</v>
      </c>
      <c r="F195" s="1141">
        <v>4282200</v>
      </c>
      <c r="G195" s="1676">
        <f t="shared" si="4"/>
        <v>1.83</v>
      </c>
      <c r="H195" s="1654">
        <v>2340000</v>
      </c>
      <c r="I195" s="1141">
        <f t="shared" si="5"/>
        <v>4282200</v>
      </c>
      <c r="J195" s="1142">
        <f>A195</f>
        <v>185</v>
      </c>
      <c r="K195" s="1143">
        <f>VLOOKUP(B195,'[28]CN BC'!$F$10:$K$270,6,FALSE)</f>
        <v>0</v>
      </c>
    </row>
    <row r="196" spans="1:18" s="1148" customFormat="1" ht="25.9" customHeight="1">
      <c r="A196" s="1132">
        <f>_xlfn.AGGREGATE(4,7,A$10:A195)+1</f>
        <v>186</v>
      </c>
      <c r="B196" s="1133" t="s">
        <v>1531</v>
      </c>
      <c r="C196" s="1149" t="s">
        <v>1774</v>
      </c>
      <c r="D196" s="1179">
        <v>1603205357120</v>
      </c>
      <c r="E196" s="1058" t="str">
        <f>VLOOKUP(B196,TH.Q2!B116:E447,4,FALSE)</f>
        <v>Giảng viên khoa Cơ khí</v>
      </c>
      <c r="F196" s="1141">
        <v>4675320</v>
      </c>
      <c r="G196" s="1676">
        <f t="shared" si="4"/>
        <v>1.998</v>
      </c>
      <c r="H196" s="1654">
        <v>2340000</v>
      </c>
      <c r="I196" s="1141">
        <f t="shared" si="5"/>
        <v>4675320</v>
      </c>
      <c r="J196" s="1142">
        <f>A196</f>
        <v>186</v>
      </c>
      <c r="K196" s="1143">
        <f>VLOOKUP(B196,'[28]CN BC'!$F$10:$K$270,6,FALSE)</f>
        <v>0</v>
      </c>
      <c r="L196" s="1146"/>
      <c r="M196" s="1146"/>
      <c r="N196" s="1146"/>
      <c r="O196" s="1146"/>
      <c r="P196" s="1146"/>
      <c r="Q196" s="1146"/>
      <c r="R196" s="1146"/>
    </row>
    <row r="197" spans="1:18" s="1148" customFormat="1" ht="32.25" customHeight="1">
      <c r="A197" s="1132">
        <f>_xlfn.AGGREGATE(4,7,A$10:A196)+1</f>
        <v>187</v>
      </c>
      <c r="B197" s="1133" t="s">
        <v>1895</v>
      </c>
      <c r="C197" s="1153" t="s">
        <v>1775</v>
      </c>
      <c r="D197" s="1154" t="s">
        <v>1261</v>
      </c>
      <c r="E197" s="383" t="str">
        <f>VLOOKUP(B197,TH.Q2!B117:E448,4,FALSE)</f>
        <v>Giảng viên khoa Cơ khí</v>
      </c>
      <c r="F197" s="1141">
        <v>6292260</v>
      </c>
      <c r="G197" s="1676">
        <f t="shared" si="4"/>
        <v>2.6890000000000001</v>
      </c>
      <c r="H197" s="1654">
        <v>2340000</v>
      </c>
      <c r="I197" s="1141">
        <f t="shared" si="5"/>
        <v>6292260</v>
      </c>
      <c r="J197" s="1142">
        <f>A197</f>
        <v>187</v>
      </c>
      <c r="K197" s="1143">
        <f>VLOOKUP(B197,'[28]CN BC'!$F$10:$K$270,6,FALSE)</f>
        <v>0</v>
      </c>
    </row>
    <row r="198" spans="1:18" s="1148" customFormat="1" ht="29.25" customHeight="1">
      <c r="A198" s="1132">
        <f>_xlfn.AGGREGATE(4,7,A$10:A197)+1</f>
        <v>188</v>
      </c>
      <c r="B198" s="1133" t="s">
        <v>1532</v>
      </c>
      <c r="C198" s="1149" t="s">
        <v>1777</v>
      </c>
      <c r="D198" s="1150" t="s">
        <v>1594</v>
      </c>
      <c r="E198" s="1058" t="str">
        <f>VLOOKUP(B198,TH.Q2!B119:E450,4,FALSE)</f>
        <v>Giảng viên khoa Cơ khí</v>
      </c>
      <c r="F198" s="1141">
        <v>6233760</v>
      </c>
      <c r="G198" s="1676">
        <f t="shared" si="4"/>
        <v>2.6640000000000001</v>
      </c>
      <c r="H198" s="1654">
        <v>2340000</v>
      </c>
      <c r="I198" s="1141">
        <f t="shared" si="5"/>
        <v>6233760</v>
      </c>
      <c r="J198" s="1142">
        <f>A198</f>
        <v>188</v>
      </c>
      <c r="K198" s="1143">
        <f>VLOOKUP(B198,'[28]CN BC'!$F$10:$K$270,6,FALSE)</f>
        <v>0</v>
      </c>
      <c r="L198" s="1146"/>
      <c r="M198" s="1146"/>
      <c r="N198" s="1146"/>
      <c r="O198" s="1146"/>
      <c r="P198" s="1146"/>
      <c r="Q198" s="1146"/>
      <c r="R198" s="1146"/>
    </row>
    <row r="199" spans="1:18" s="1148" customFormat="1" ht="25.5" customHeight="1">
      <c r="A199" s="1132">
        <f>_xlfn.AGGREGATE(4,7,A$10:A198)+1</f>
        <v>189</v>
      </c>
      <c r="B199" s="1133" t="s">
        <v>1608</v>
      </c>
      <c r="C199" s="1229" t="s">
        <v>1968</v>
      </c>
      <c r="D199" s="1159">
        <v>1603215003955</v>
      </c>
      <c r="E199" s="1058" t="str">
        <f>VLOOKUP(B199,TH.Q2!B120:E451,4,FALSE)</f>
        <v>Giảng viên khoa Cơ khí</v>
      </c>
      <c r="F199" s="1141">
        <v>3896100</v>
      </c>
      <c r="G199" s="1676">
        <f t="shared" si="4"/>
        <v>1.665</v>
      </c>
      <c r="H199" s="1654">
        <v>2340000</v>
      </c>
      <c r="I199" s="1141">
        <f t="shared" si="5"/>
        <v>3896100</v>
      </c>
      <c r="J199" s="1142">
        <f>A199</f>
        <v>189</v>
      </c>
      <c r="K199" s="1143">
        <f>VLOOKUP(B199,'[28]CN BC'!$F$10:$K$270,6,FALSE)</f>
        <v>0</v>
      </c>
      <c r="L199" s="1146"/>
      <c r="M199" s="1146"/>
      <c r="N199" s="1146"/>
    </row>
    <row r="200" spans="1:18" s="1148" customFormat="1" ht="24.75" customHeight="1">
      <c r="A200" s="1132">
        <f>_xlfn.AGGREGATE(4,7,A$10:A199)+1</f>
        <v>190</v>
      </c>
      <c r="B200" s="1133" t="s">
        <v>1835</v>
      </c>
      <c r="C200" s="1153" t="s">
        <v>1970</v>
      </c>
      <c r="D200" s="1230" t="s">
        <v>1969</v>
      </c>
      <c r="E200" s="1058" t="str">
        <f>VLOOKUP(B200,TH.Q2!B121:E452,4,FALSE)</f>
        <v>Giảng viên khoa Cơ khí</v>
      </c>
      <c r="F200" s="1141">
        <v>4212000</v>
      </c>
      <c r="G200" s="1676">
        <f t="shared" si="4"/>
        <v>1.8</v>
      </c>
      <c r="H200" s="1654">
        <v>2340000</v>
      </c>
      <c r="I200" s="1141">
        <f t="shared" si="5"/>
        <v>4212000</v>
      </c>
      <c r="J200" s="1142">
        <f>A200</f>
        <v>190</v>
      </c>
      <c r="K200" s="1143">
        <f>VLOOKUP(B200,'[28]CN BC'!$F$10:$K$270,6,FALSE)</f>
        <v>0</v>
      </c>
      <c r="L200" s="1146"/>
      <c r="M200" s="1146"/>
      <c r="N200" s="1146"/>
    </row>
    <row r="201" spans="1:18" s="1148" customFormat="1" ht="29.25" customHeight="1">
      <c r="A201" s="1132">
        <f>_xlfn.AGGREGATE(4,7,A$10:A200)+1</f>
        <v>191</v>
      </c>
      <c r="B201" s="1133" t="s">
        <v>1897</v>
      </c>
      <c r="C201" s="1153" t="s">
        <v>1670</v>
      </c>
      <c r="D201" s="1154" t="s">
        <v>1286</v>
      </c>
      <c r="E201" s="1058" t="str">
        <f>VLOOKUP(B201,TH.Q2!B122:E453,4,FALSE)</f>
        <v>Giảng viên khoa Cơ khí</v>
      </c>
      <c r="F201" s="1141">
        <v>6583590.0000000009</v>
      </c>
      <c r="G201" s="1676">
        <f t="shared" si="4"/>
        <v>2.8135000000000003</v>
      </c>
      <c r="H201" s="1654">
        <v>2340000</v>
      </c>
      <c r="I201" s="1141">
        <f t="shared" si="5"/>
        <v>6583590.0000000009</v>
      </c>
      <c r="J201" s="1142">
        <f>A201</f>
        <v>191</v>
      </c>
      <c r="K201" s="1143">
        <f>VLOOKUP(B201,'[28]CN BC'!$F$10:$K$270,6,FALSE)</f>
        <v>0</v>
      </c>
    </row>
    <row r="202" spans="1:18" s="1148" customFormat="1" ht="25.5" customHeight="1">
      <c r="A202" s="1132">
        <f>_xlfn.AGGREGATE(4,7,A$10:A201)+1</f>
        <v>192</v>
      </c>
      <c r="B202" s="1133" t="s">
        <v>1840</v>
      </c>
      <c r="C202" s="1153" t="s">
        <v>1971</v>
      </c>
      <c r="D202" s="1159">
        <v>1603205596180</v>
      </c>
      <c r="E202" s="1058" t="str">
        <f>VLOOKUP(B202,TH.Q2!B123:E454,4,FALSE)</f>
        <v>Giảng viên khoa Cơ khí</v>
      </c>
      <c r="F202" s="1141">
        <v>4914000</v>
      </c>
      <c r="G202" s="1676">
        <f t="shared" si="4"/>
        <v>2.1</v>
      </c>
      <c r="H202" s="1654">
        <v>2340000</v>
      </c>
      <c r="I202" s="1141">
        <f t="shared" si="5"/>
        <v>4914000</v>
      </c>
      <c r="J202" s="1142">
        <f>A202</f>
        <v>192</v>
      </c>
      <c r="K202" s="1143">
        <f>VLOOKUP(B202,'[28]CN BC'!$F$10:$K$270,6,FALSE)</f>
        <v>0</v>
      </c>
      <c r="L202" s="1146"/>
      <c r="M202" s="1146"/>
      <c r="N202" s="1146"/>
    </row>
    <row r="203" spans="1:18" s="1148" customFormat="1" ht="24.75" customHeight="1">
      <c r="A203" s="1132">
        <f>_xlfn.AGGREGATE(4,7,A$10:A202)+1</f>
        <v>193</v>
      </c>
      <c r="B203" s="1133" t="s">
        <v>1943</v>
      </c>
      <c r="C203" s="1153" t="s">
        <v>1972</v>
      </c>
      <c r="D203" s="1154"/>
      <c r="E203" s="1058" t="str">
        <f>VLOOKUP(B203,TH.Q2!B124:E455,4,FALSE)</f>
        <v>Giảng viên khoa Cơ khí</v>
      </c>
      <c r="F203" s="1141">
        <v>5454540</v>
      </c>
      <c r="G203" s="1676">
        <f t="shared" si="4"/>
        <v>2.331</v>
      </c>
      <c r="H203" s="1654">
        <v>2340000</v>
      </c>
      <c r="I203" s="1141">
        <f t="shared" si="5"/>
        <v>5454540</v>
      </c>
      <c r="J203" s="1142">
        <f>A203</f>
        <v>193</v>
      </c>
      <c r="K203" s="1143">
        <f>VLOOKUP(B203,'[28]CN BC'!$F$10:$K$270,6,FALSE)</f>
        <v>0</v>
      </c>
    </row>
    <row r="204" spans="1:18" s="1148" customFormat="1" ht="26.25" customHeight="1">
      <c r="A204" s="1132">
        <f>_xlfn.AGGREGATE(4,7,A$10:A203)+1</f>
        <v>194</v>
      </c>
      <c r="B204" s="1133" t="s">
        <v>1994</v>
      </c>
      <c r="C204" s="1153"/>
      <c r="D204" s="1154"/>
      <c r="E204" s="1058" t="str">
        <f>VLOOKUP(B204,TH.Q2!B125:E456,4,FALSE)</f>
        <v>Giảng viên khoa Cơ khí</v>
      </c>
      <c r="F204" s="1141">
        <v>5440500</v>
      </c>
      <c r="G204" s="1676">
        <f t="shared" ref="G204:G267" si="6">F204/H204</f>
        <v>2.3250000000000002</v>
      </c>
      <c r="H204" s="1654">
        <v>2340000</v>
      </c>
      <c r="I204" s="1141">
        <f t="shared" si="5"/>
        <v>5440500</v>
      </c>
      <c r="J204" s="1142">
        <f>A204</f>
        <v>194</v>
      </c>
      <c r="K204" s="1143">
        <f>VLOOKUP(B204,'[28]CN BC'!$F$10:$K$270,6,FALSE)</f>
        <v>0</v>
      </c>
      <c r="L204" s="1146"/>
      <c r="M204" s="1146"/>
      <c r="N204" s="1146"/>
    </row>
    <row r="205" spans="1:18" s="1148" customFormat="1" ht="25.5" customHeight="1">
      <c r="A205" s="1132">
        <f>_xlfn.AGGREGATE(4,7,A$10:A204)+1</f>
        <v>195</v>
      </c>
      <c r="B205" s="1133" t="s">
        <v>2000</v>
      </c>
      <c r="C205" s="1153"/>
      <c r="D205" s="1154"/>
      <c r="E205" s="1058" t="str">
        <f>VLOOKUP(B205,TH.Q2!B126:E457,4,FALSE)</f>
        <v>Giảng viên khoa Cơ khí</v>
      </c>
      <c r="F205" s="1141">
        <v>4212000</v>
      </c>
      <c r="G205" s="1676">
        <f t="shared" si="6"/>
        <v>1.8</v>
      </c>
      <c r="H205" s="1654">
        <v>2340000</v>
      </c>
      <c r="I205" s="1141">
        <f t="shared" ref="I205:I268" si="7">G205*H205</f>
        <v>4212000</v>
      </c>
      <c r="J205" s="1142">
        <f>A205</f>
        <v>195</v>
      </c>
      <c r="K205" s="1143">
        <f>VLOOKUP(B205,'[28]CN BC'!$F$10:$K$270,6,FALSE)</f>
        <v>0</v>
      </c>
    </row>
    <row r="206" spans="1:18" s="1148" customFormat="1" ht="27" customHeight="1">
      <c r="A206" s="1132">
        <f>_xlfn.AGGREGATE(4,7,A$10:A205)+1</f>
        <v>196</v>
      </c>
      <c r="B206" s="1133" t="s">
        <v>1855</v>
      </c>
      <c r="C206" s="1153" t="s">
        <v>1651</v>
      </c>
      <c r="D206" s="1154" t="s">
        <v>1292</v>
      </c>
      <c r="E206" s="1058" t="str">
        <f>VLOOKUP(B206,TH.Q2!B127:E458,4,FALSE)</f>
        <v>Giảng viên khoa Cơ khí</v>
      </c>
      <c r="F206" s="1141">
        <v>7550712</v>
      </c>
      <c r="G206" s="1676">
        <f t="shared" si="6"/>
        <v>3.2267999999999999</v>
      </c>
      <c r="H206" s="1654">
        <v>2340000</v>
      </c>
      <c r="I206" s="1141">
        <f t="shared" si="7"/>
        <v>7550712</v>
      </c>
      <c r="J206" s="1142">
        <f>A206</f>
        <v>196</v>
      </c>
      <c r="K206" s="1143">
        <f>VLOOKUP(B206,'[28]CN BC'!$F$10:$K$270,6,FALSE)</f>
        <v>0</v>
      </c>
    </row>
    <row r="207" spans="1:18" s="1146" customFormat="1" ht="25.5" customHeight="1">
      <c r="A207" s="1132">
        <f>_xlfn.AGGREGATE(4,7,A$10:A206)+1</f>
        <v>197</v>
      </c>
      <c r="B207" s="1172" t="s">
        <v>1898</v>
      </c>
      <c r="C207" s="1149" t="s">
        <v>1781</v>
      </c>
      <c r="D207" s="1173" t="s">
        <v>1386</v>
      </c>
      <c r="E207" s="1058" t="str">
        <f>VLOOKUP(B207,TH.Q2!B128:E459,4,FALSE)</f>
        <v>Trưởng khoa Điện - Điện tử</v>
      </c>
      <c r="F207" s="1141">
        <v>10164960.000000002</v>
      </c>
      <c r="G207" s="1676">
        <f t="shared" si="6"/>
        <v>4.3440000000000012</v>
      </c>
      <c r="H207" s="1654">
        <v>2340000</v>
      </c>
      <c r="I207" s="1141">
        <f t="shared" si="7"/>
        <v>10164960.000000002</v>
      </c>
      <c r="J207" s="1142">
        <f>A207</f>
        <v>197</v>
      </c>
      <c r="K207" s="1143">
        <f>VLOOKUP(B207,'[28]CN BC'!$F$10:$K$270,6,FALSE)</f>
        <v>0</v>
      </c>
    </row>
    <row r="208" spans="1:18" s="1148" customFormat="1" ht="27.75" customHeight="1">
      <c r="A208" s="1132">
        <f>_xlfn.AGGREGATE(4,7,A$10:A207)+1</f>
        <v>198</v>
      </c>
      <c r="B208" s="1133" t="s">
        <v>526</v>
      </c>
      <c r="C208" s="1149" t="s">
        <v>1646</v>
      </c>
      <c r="D208" s="1154" t="s">
        <v>1398</v>
      </c>
      <c r="E208" s="1058" t="str">
        <f>VLOOKUP(B208,TH.Q2!B129:E460,4,FALSE)</f>
        <v>Phó Trưởng khoa Điện - Điện tử</v>
      </c>
      <c r="F208" s="1141">
        <v>8672508</v>
      </c>
      <c r="G208" s="1676">
        <f t="shared" si="6"/>
        <v>3.7061999999999999</v>
      </c>
      <c r="H208" s="1654">
        <v>2340000</v>
      </c>
      <c r="I208" s="1141">
        <f t="shared" si="7"/>
        <v>8672508</v>
      </c>
      <c r="J208" s="1142">
        <f>A208</f>
        <v>198</v>
      </c>
      <c r="K208" s="1143">
        <f>VLOOKUP(B208,'[28]CN BC'!$F$10:$K$270,6,FALSE)</f>
        <v>0</v>
      </c>
      <c r="L208" s="1146"/>
      <c r="M208" s="1146"/>
      <c r="N208" s="1146"/>
      <c r="O208" s="1146"/>
      <c r="P208" s="1146"/>
      <c r="Q208" s="1146"/>
      <c r="R208" s="1146"/>
    </row>
    <row r="209" spans="1:18" s="1148" customFormat="1" ht="24.75" customHeight="1">
      <c r="A209" s="1132">
        <f>_xlfn.AGGREGATE(4,7,A$10:A208)+1</f>
        <v>199</v>
      </c>
      <c r="B209" s="1133" t="s">
        <v>1899</v>
      </c>
      <c r="C209" s="1153" t="s">
        <v>1778</v>
      </c>
      <c r="D209" s="1154" t="s">
        <v>1381</v>
      </c>
      <c r="E209" s="383" t="str">
        <f>VLOOKUP(B209,TH.Q2!B130:E461,4,FALSE)</f>
        <v>Giảng viên khoa Điện - Điện tử</v>
      </c>
      <c r="F209" s="1141">
        <v>8728902</v>
      </c>
      <c r="G209" s="1676">
        <f t="shared" si="6"/>
        <v>3.7303000000000002</v>
      </c>
      <c r="H209" s="1654">
        <v>2340000</v>
      </c>
      <c r="I209" s="1141">
        <f t="shared" si="7"/>
        <v>8728902</v>
      </c>
      <c r="J209" s="1142">
        <f>A209</f>
        <v>199</v>
      </c>
      <c r="K209" s="1143">
        <f>VLOOKUP(B209,'[28]CN BC'!$F$10:$K$270,6,FALSE)</f>
        <v>0</v>
      </c>
    </row>
    <row r="210" spans="1:18" s="1148" customFormat="1" ht="28.5" customHeight="1">
      <c r="A210" s="1132">
        <f>_xlfn.AGGREGATE(4,7,A$10:A209)+1</f>
        <v>200</v>
      </c>
      <c r="B210" s="1133" t="s">
        <v>461</v>
      </c>
      <c r="C210" s="1153" t="s">
        <v>1779</v>
      </c>
      <c r="D210" s="1154" t="s">
        <v>1384</v>
      </c>
      <c r="E210" s="383" t="str">
        <f>VLOOKUP(B210,TH.Q2!B131:E462,4,FALSE)</f>
        <v>Giảng viên khoa Điện - Điện tử</v>
      </c>
      <c r="F210" s="1141">
        <v>6234930.0000000009</v>
      </c>
      <c r="G210" s="1676">
        <f t="shared" si="6"/>
        <v>2.6645000000000003</v>
      </c>
      <c r="H210" s="1654">
        <v>2340000</v>
      </c>
      <c r="I210" s="1141">
        <f t="shared" si="7"/>
        <v>6234930.0000000009</v>
      </c>
      <c r="J210" s="1142">
        <f>A210</f>
        <v>200</v>
      </c>
      <c r="K210" s="1143">
        <f>VLOOKUP(B210,'[28]CN BC'!$F$10:$K$270,6,FALSE)</f>
        <v>0</v>
      </c>
    </row>
    <row r="211" spans="1:18" s="1148" customFormat="1" ht="25.5" customHeight="1">
      <c r="A211" s="1132">
        <f>_xlfn.AGGREGATE(4,7,A$10:A210)+1</f>
        <v>201</v>
      </c>
      <c r="B211" s="1133" t="s">
        <v>1900</v>
      </c>
      <c r="C211" s="1153" t="s">
        <v>1780</v>
      </c>
      <c r="D211" s="1154" t="s">
        <v>1385</v>
      </c>
      <c r="E211" s="383" t="str">
        <f>VLOOKUP(B211,TH.Q2!B132:E463,4,FALSE)</f>
        <v>Giảng viên khoa Điện - Điện tử</v>
      </c>
      <c r="F211" s="1141">
        <v>6991920.0000000009</v>
      </c>
      <c r="G211" s="1676">
        <f t="shared" si="6"/>
        <v>2.9880000000000004</v>
      </c>
      <c r="H211" s="1654">
        <v>2340000</v>
      </c>
      <c r="I211" s="1141">
        <f t="shared" si="7"/>
        <v>6991920.0000000009</v>
      </c>
      <c r="J211" s="1142">
        <f>A211</f>
        <v>201</v>
      </c>
      <c r="K211" s="1143">
        <f>VLOOKUP(B211,'[28]CN BC'!$F$10:$K$270,6,FALSE)</f>
        <v>0</v>
      </c>
    </row>
    <row r="212" spans="1:18" s="1148" customFormat="1" ht="25.5" customHeight="1">
      <c r="A212" s="1132">
        <f>_xlfn.AGGREGATE(4,7,A$10:A211)+1</f>
        <v>202</v>
      </c>
      <c r="B212" s="1133" t="s">
        <v>1901</v>
      </c>
      <c r="C212" s="1153" t="s">
        <v>1782</v>
      </c>
      <c r="D212" s="1154" t="s">
        <v>1387</v>
      </c>
      <c r="E212" s="383" t="str">
        <f>VLOOKUP(B212,TH.Q2!B133:E464,4,FALSE)</f>
        <v>Giảng viên khoa Điện - Điện tử</v>
      </c>
      <c r="F212" s="1141">
        <v>5054400</v>
      </c>
      <c r="G212" s="1676">
        <f t="shared" si="6"/>
        <v>2.16</v>
      </c>
      <c r="H212" s="1654">
        <v>2340000</v>
      </c>
      <c r="I212" s="1141">
        <f t="shared" si="7"/>
        <v>5054400</v>
      </c>
      <c r="J212" s="1142">
        <f>A212</f>
        <v>202</v>
      </c>
      <c r="K212" s="1143">
        <f>VLOOKUP(B212,'[28]CN BC'!$F$10:$K$270,6,FALSE)</f>
        <v>0</v>
      </c>
    </row>
    <row r="213" spans="1:18" s="1148" customFormat="1" ht="25.5" customHeight="1">
      <c r="A213" s="1132">
        <f>_xlfn.AGGREGATE(4,7,A$10:A212)+1</f>
        <v>203</v>
      </c>
      <c r="B213" s="1133" t="s">
        <v>1534</v>
      </c>
      <c r="C213" s="1153" t="s">
        <v>1783</v>
      </c>
      <c r="D213" s="1154" t="s">
        <v>1388</v>
      </c>
      <c r="E213" s="383" t="str">
        <f>VLOOKUP(B213,TH.Q2!B134:E465,4,FALSE)</f>
        <v>Giảng viên khoa
Điện - Điện tử</v>
      </c>
      <c r="F213" s="1141">
        <v>5440500</v>
      </c>
      <c r="G213" s="1676">
        <f t="shared" si="6"/>
        <v>2.3250000000000002</v>
      </c>
      <c r="H213" s="1654">
        <v>2340000</v>
      </c>
      <c r="I213" s="1141">
        <f t="shared" si="7"/>
        <v>5440500</v>
      </c>
      <c r="J213" s="1142">
        <f>A213</f>
        <v>203</v>
      </c>
      <c r="K213" s="1143">
        <f>VLOOKUP(B213,'[28]CN BC'!$F$10:$K$270,6,FALSE)</f>
        <v>0</v>
      </c>
    </row>
    <row r="214" spans="1:18" s="1148" customFormat="1" ht="25.5" customHeight="1">
      <c r="A214" s="1132">
        <f>_xlfn.AGGREGATE(4,7,A$10:A213)+1</f>
        <v>204</v>
      </c>
      <c r="B214" s="1133" t="s">
        <v>1535</v>
      </c>
      <c r="C214" s="1153" t="s">
        <v>1784</v>
      </c>
      <c r="D214" s="1150" t="s">
        <v>1595</v>
      </c>
      <c r="E214" s="383" t="str">
        <f>VLOOKUP(B214,TH.Q2!B135:E466,4,FALSE)</f>
        <v>Trưởng BM Cơ điện tử và Tự động hóa</v>
      </c>
      <c r="F214" s="1141">
        <v>5489640</v>
      </c>
      <c r="G214" s="1676">
        <f t="shared" si="6"/>
        <v>2.3460000000000001</v>
      </c>
      <c r="H214" s="1654">
        <v>2340000</v>
      </c>
      <c r="I214" s="1141">
        <f t="shared" si="7"/>
        <v>5489640</v>
      </c>
      <c r="J214" s="1142">
        <f>A214</f>
        <v>204</v>
      </c>
      <c r="K214" s="1143">
        <f>VLOOKUP(B214,'[28]CN BC'!$F$10:$K$270,6,FALSE)</f>
        <v>0</v>
      </c>
    </row>
    <row r="215" spans="1:18" s="1148" customFormat="1" ht="24.75" customHeight="1">
      <c r="A215" s="1132">
        <f>_xlfn.AGGREGATE(4,7,A$10:A214)+1</f>
        <v>205</v>
      </c>
      <c r="B215" s="1223" t="s">
        <v>1903</v>
      </c>
      <c r="C215" s="1153" t="s">
        <v>1786</v>
      </c>
      <c r="D215" s="1154" t="s">
        <v>1392</v>
      </c>
      <c r="E215" s="1058" t="str">
        <f>VLOOKUP(B215,TH.Q2!B136:E467,4,FALSE)</f>
        <v>Giảng viên khoa Điện - Điện tử</v>
      </c>
      <c r="F215" s="1141">
        <v>5054400</v>
      </c>
      <c r="G215" s="1676">
        <f t="shared" si="6"/>
        <v>2.16</v>
      </c>
      <c r="H215" s="1654">
        <v>2340000</v>
      </c>
      <c r="I215" s="1141">
        <f t="shared" si="7"/>
        <v>5054400</v>
      </c>
      <c r="J215" s="1142">
        <f>A215</f>
        <v>205</v>
      </c>
      <c r="K215" s="1143">
        <f>VLOOKUP(B215,'[28]CN BC'!$F$10:$K$270,6,FALSE)</f>
        <v>0</v>
      </c>
      <c r="L215" s="1146"/>
      <c r="M215" s="1146"/>
      <c r="N215" s="1146"/>
    </row>
    <row r="216" spans="1:18" s="1148" customFormat="1" ht="24.75" customHeight="1">
      <c r="A216" s="1132">
        <f>_xlfn.AGGREGATE(4,7,A$10:A215)+1</f>
        <v>206</v>
      </c>
      <c r="B216" s="1133" t="s">
        <v>1904</v>
      </c>
      <c r="C216" s="1149" t="s">
        <v>1787</v>
      </c>
      <c r="D216" s="1154" t="s">
        <v>1396</v>
      </c>
      <c r="E216" s="1058" t="str">
        <f>VLOOKUP(B216,TH.Q2!B137:E468,4,FALSE)</f>
        <v>Giảng viên khoa Điện - Điện tử</v>
      </c>
      <c r="F216" s="1141">
        <v>6528600</v>
      </c>
      <c r="G216" s="1676">
        <f t="shared" si="6"/>
        <v>2.79</v>
      </c>
      <c r="H216" s="1654">
        <v>2340000</v>
      </c>
      <c r="I216" s="1141">
        <f t="shared" si="7"/>
        <v>6528600</v>
      </c>
      <c r="J216" s="1142">
        <f>A216</f>
        <v>206</v>
      </c>
      <c r="K216" s="1143">
        <f>VLOOKUP(B216,'[28]CN BC'!$F$10:$K$270,6,FALSE)</f>
        <v>0</v>
      </c>
      <c r="L216" s="1146"/>
      <c r="M216" s="1146"/>
      <c r="N216" s="1146"/>
      <c r="O216" s="1146"/>
      <c r="P216" s="1146"/>
      <c r="Q216" s="1146"/>
      <c r="R216" s="1146"/>
    </row>
    <row r="217" spans="1:18" s="1148" customFormat="1" ht="24.75" customHeight="1">
      <c r="A217" s="1132">
        <f>_xlfn.AGGREGATE(4,7,A$10:A216)+1</f>
        <v>207</v>
      </c>
      <c r="B217" s="1133" t="s">
        <v>1536</v>
      </c>
      <c r="C217" s="1153" t="s">
        <v>1788</v>
      </c>
      <c r="D217" s="1154" t="s">
        <v>389</v>
      </c>
      <c r="E217" s="1058" t="str">
        <f>VLOOKUP(B217,TH.Q2!B138:E469,4,FALSE)</f>
        <v>Giảng viên khoa
Điện - Điện tử</v>
      </c>
      <c r="F217" s="1141">
        <v>5138640</v>
      </c>
      <c r="G217" s="1676">
        <f t="shared" si="6"/>
        <v>2.1960000000000002</v>
      </c>
      <c r="H217" s="1654">
        <v>2340000</v>
      </c>
      <c r="I217" s="1141">
        <f t="shared" si="7"/>
        <v>5138640</v>
      </c>
      <c r="J217" s="1142">
        <f>A217</f>
        <v>207</v>
      </c>
      <c r="K217" s="1143">
        <f>VLOOKUP(B217,'[28]CN BC'!$F$10:$K$270,6,FALSE)</f>
        <v>0</v>
      </c>
      <c r="L217" s="1146"/>
      <c r="M217" s="1146"/>
      <c r="N217" s="1146"/>
    </row>
    <row r="218" spans="1:18" s="1148" customFormat="1" ht="24.75" customHeight="1">
      <c r="A218" s="1132">
        <f>_xlfn.AGGREGATE(4,7,A$10:A217)+1</f>
        <v>208</v>
      </c>
      <c r="B218" s="1133" t="s">
        <v>1537</v>
      </c>
      <c r="C218" s="1153" t="s">
        <v>1789</v>
      </c>
      <c r="D218" s="1154" t="s">
        <v>1334</v>
      </c>
      <c r="E218" s="383" t="str">
        <f>VLOOKUP(B218,TH.Q2!B139:E470,4,FALSE)</f>
        <v>Giảng viên khoa
Điện - Điện tử</v>
      </c>
      <c r="F218" s="1141">
        <v>6065280</v>
      </c>
      <c r="G218" s="1676">
        <f t="shared" si="6"/>
        <v>2.5920000000000001</v>
      </c>
      <c r="H218" s="1654">
        <v>2340000</v>
      </c>
      <c r="I218" s="1141">
        <f t="shared" si="7"/>
        <v>6065280</v>
      </c>
      <c r="J218" s="1142">
        <f>A218</f>
        <v>208</v>
      </c>
      <c r="K218" s="1143">
        <f>VLOOKUP(B218,'[28]CN BC'!$F$10:$K$270,6,FALSE)</f>
        <v>0</v>
      </c>
    </row>
    <row r="219" spans="1:18" s="1148" customFormat="1" ht="24.75" customHeight="1">
      <c r="A219" s="1132">
        <f>_xlfn.AGGREGATE(4,7,A$10:A218)+1</f>
        <v>209</v>
      </c>
      <c r="B219" s="1133" t="s">
        <v>1905</v>
      </c>
      <c r="C219" s="1149" t="s">
        <v>1790</v>
      </c>
      <c r="D219" s="1168" t="s">
        <v>463</v>
      </c>
      <c r="E219" s="1058" t="str">
        <f>VLOOKUP(B219,TH.Q2!B140:E471,4,FALSE)</f>
        <v>Giảng viên khoa Điện - Điện tử</v>
      </c>
      <c r="F219" s="1141">
        <v>5138640</v>
      </c>
      <c r="G219" s="1676">
        <f t="shared" si="6"/>
        <v>2.1960000000000002</v>
      </c>
      <c r="H219" s="1654">
        <v>2340000</v>
      </c>
      <c r="I219" s="1141">
        <f t="shared" si="7"/>
        <v>5138640</v>
      </c>
      <c r="J219" s="1142">
        <f>A219</f>
        <v>209</v>
      </c>
      <c r="K219" s="1143">
        <f>VLOOKUP(B219,'[28]CN BC'!$F$10:$K$270,6,FALSE)</f>
        <v>0</v>
      </c>
      <c r="L219" s="1146"/>
      <c r="M219" s="1146"/>
      <c r="N219" s="1146"/>
      <c r="O219" s="1146"/>
      <c r="P219" s="1146"/>
      <c r="Q219" s="1146"/>
      <c r="R219" s="1146"/>
    </row>
    <row r="220" spans="1:18" s="1148" customFormat="1" ht="34.5" customHeight="1">
      <c r="A220" s="1132">
        <f>_xlfn.AGGREGATE(4,7,A$10:A219)+1</f>
        <v>210</v>
      </c>
      <c r="B220" s="1133" t="s">
        <v>1538</v>
      </c>
      <c r="C220" s="1149" t="s">
        <v>1791</v>
      </c>
      <c r="D220" s="1168" t="s">
        <v>510</v>
      </c>
      <c r="E220" s="1058" t="str">
        <f>VLOOKUP(B220,TH.Q2!B141:E472,4,FALSE)</f>
        <v>Giảng viên khoa
Điện - Điện tử</v>
      </c>
      <c r="F220" s="1141">
        <v>5601960</v>
      </c>
      <c r="G220" s="1676">
        <f t="shared" si="6"/>
        <v>2.3940000000000001</v>
      </c>
      <c r="H220" s="1654">
        <v>2340000</v>
      </c>
      <c r="I220" s="1141">
        <f t="shared" si="7"/>
        <v>5601960</v>
      </c>
      <c r="J220" s="1142">
        <f>A220</f>
        <v>210</v>
      </c>
      <c r="K220" s="1143">
        <f>VLOOKUP(B220,'[28]CN BC'!$F$10:$K$270,6,FALSE)</f>
        <v>0</v>
      </c>
      <c r="L220" s="1146"/>
      <c r="M220" s="1146"/>
      <c r="N220" s="1146"/>
      <c r="O220" s="1146"/>
      <c r="P220" s="1146"/>
      <c r="Q220" s="1146"/>
      <c r="R220" s="1146"/>
    </row>
    <row r="221" spans="1:18" s="1148" customFormat="1" ht="25.5" customHeight="1">
      <c r="A221" s="1132">
        <f>_xlfn.AGGREGATE(4,7,A$10:A220)+1</f>
        <v>211</v>
      </c>
      <c r="B221" s="1133" t="s">
        <v>1906</v>
      </c>
      <c r="C221" s="1153" t="s">
        <v>1792</v>
      </c>
      <c r="D221" s="1154" t="s">
        <v>1399</v>
      </c>
      <c r="E221" s="1058" t="str">
        <f>VLOOKUP(B221,TH.Q2!B142:E473,4,FALSE)</f>
        <v>Giảng viên khoa Điện - Điện tử</v>
      </c>
      <c r="F221" s="1141">
        <v>8182512</v>
      </c>
      <c r="G221" s="1676">
        <f t="shared" si="6"/>
        <v>3.4967999999999999</v>
      </c>
      <c r="H221" s="1654">
        <v>2340000</v>
      </c>
      <c r="I221" s="1141">
        <f t="shared" si="7"/>
        <v>8182512</v>
      </c>
      <c r="J221" s="1142">
        <f>A221</f>
        <v>211</v>
      </c>
      <c r="K221" s="1143">
        <f>VLOOKUP(B221,'[28]CN BC'!$F$10:$K$270,6,FALSE)</f>
        <v>0</v>
      </c>
      <c r="L221" s="1146"/>
      <c r="M221" s="1146"/>
      <c r="N221" s="1146"/>
    </row>
    <row r="222" spans="1:18" s="1148" customFormat="1" ht="25.5" customHeight="1">
      <c r="A222" s="1132">
        <f>_xlfn.AGGREGATE(4,7,A$10:A221)+1</f>
        <v>212</v>
      </c>
      <c r="B222" s="1133" t="s">
        <v>1907</v>
      </c>
      <c r="C222" s="1153" t="s">
        <v>1793</v>
      </c>
      <c r="D222" s="1154" t="s">
        <v>1400</v>
      </c>
      <c r="E222" s="1058" t="str">
        <f>VLOOKUP(B222,TH.Q2!B143:E474,4,FALSE)</f>
        <v>Giảng viên khoa Điện - Điện tử</v>
      </c>
      <c r="F222" s="1141">
        <v>6583590.0000000009</v>
      </c>
      <c r="G222" s="1676">
        <f t="shared" si="6"/>
        <v>2.8135000000000003</v>
      </c>
      <c r="H222" s="1654">
        <v>2340000</v>
      </c>
      <c r="I222" s="1141">
        <f t="shared" si="7"/>
        <v>6583590.0000000009</v>
      </c>
      <c r="J222" s="1142">
        <f>A222</f>
        <v>212</v>
      </c>
      <c r="K222" s="1143">
        <f>VLOOKUP(B222,'[28]CN BC'!$F$10:$K$270,6,FALSE)</f>
        <v>0</v>
      </c>
    </row>
    <row r="223" spans="1:18" s="1148" customFormat="1" ht="25.5" customHeight="1">
      <c r="A223" s="1132">
        <f>_xlfn.AGGREGATE(4,7,A$10:A222)+1</f>
        <v>213</v>
      </c>
      <c r="B223" s="1133" t="s">
        <v>1908</v>
      </c>
      <c r="C223" s="1153" t="s">
        <v>1794</v>
      </c>
      <c r="D223" s="1154" t="s">
        <v>1401</v>
      </c>
      <c r="E223" s="1058" t="str">
        <f>VLOOKUP(B223,TH.Q2!B144:E475,4,FALSE)</f>
        <v>Giảng viên khoa Điện - Điện tử</v>
      </c>
      <c r="F223" s="1141">
        <v>7691112.0000000009</v>
      </c>
      <c r="G223" s="1676">
        <f t="shared" si="6"/>
        <v>3.2868000000000004</v>
      </c>
      <c r="H223" s="1654">
        <v>2340000</v>
      </c>
      <c r="I223" s="1141">
        <f t="shared" si="7"/>
        <v>7691112.0000000009</v>
      </c>
      <c r="J223" s="1142">
        <f>A223</f>
        <v>213</v>
      </c>
      <c r="K223" s="1143">
        <f>VLOOKUP(B223,'[28]CN BC'!$F$10:$K$270,6,FALSE)</f>
        <v>0</v>
      </c>
      <c r="L223" s="1146"/>
      <c r="M223" s="1146"/>
      <c r="N223" s="1146"/>
    </row>
    <row r="224" spans="1:18" s="1148" customFormat="1" ht="24" customHeight="1">
      <c r="A224" s="1132">
        <f>_xlfn.AGGREGATE(4,7,A$10:A223)+1</f>
        <v>214</v>
      </c>
      <c r="B224" s="1133" t="s">
        <v>1909</v>
      </c>
      <c r="C224" s="1153" t="s">
        <v>1795</v>
      </c>
      <c r="D224" s="1154" t="s">
        <v>1404</v>
      </c>
      <c r="E224" s="383" t="str">
        <f>VLOOKUP(B224,TH.Q2!B145:E476,4,FALSE)</f>
        <v>Giảng viên khoa Điện - Điện tử</v>
      </c>
      <c r="F224" s="1141">
        <v>6528600</v>
      </c>
      <c r="G224" s="1676">
        <f t="shared" si="6"/>
        <v>2.79</v>
      </c>
      <c r="H224" s="1654">
        <v>2340000</v>
      </c>
      <c r="I224" s="1141">
        <f t="shared" si="7"/>
        <v>6528600</v>
      </c>
      <c r="J224" s="1142">
        <f>A224</f>
        <v>214</v>
      </c>
      <c r="K224" s="1143">
        <f>VLOOKUP(B224,'[28]CN BC'!$F$10:$K$270,6,FALSE)</f>
        <v>0</v>
      </c>
    </row>
    <row r="225" spans="1:18" s="1148" customFormat="1" ht="27.75" customHeight="1">
      <c r="A225" s="1132">
        <f>_xlfn.AGGREGATE(4,7,A$10:A224)+1</f>
        <v>215</v>
      </c>
      <c r="B225" s="1133" t="s">
        <v>1539</v>
      </c>
      <c r="C225" s="1153" t="s">
        <v>1796</v>
      </c>
      <c r="D225" s="1154" t="s">
        <v>1405</v>
      </c>
      <c r="E225" s="383" t="str">
        <f>VLOOKUP(B225,TH.Q2!B146:E477,4,FALSE)</f>
        <v>Giảng viên khoa
Điện - Điện tử</v>
      </c>
      <c r="F225" s="1141">
        <v>6528600</v>
      </c>
      <c r="G225" s="1676">
        <f t="shared" si="6"/>
        <v>2.79</v>
      </c>
      <c r="H225" s="1654">
        <v>2340000</v>
      </c>
      <c r="I225" s="1141">
        <f t="shared" si="7"/>
        <v>6528600</v>
      </c>
      <c r="J225" s="1142">
        <f>A225</f>
        <v>215</v>
      </c>
      <c r="K225" s="1143">
        <f>VLOOKUP(B225,'[28]CN BC'!$F$10:$K$270,6,FALSE)</f>
        <v>0</v>
      </c>
    </row>
    <row r="226" spans="1:18" s="1148" customFormat="1" ht="24" customHeight="1">
      <c r="A226" s="1132">
        <f>_xlfn.AGGREGATE(4,7,A$10:A225)+1</f>
        <v>216</v>
      </c>
      <c r="B226" s="1133" t="s">
        <v>1910</v>
      </c>
      <c r="C226" s="1149" t="s">
        <v>1797</v>
      </c>
      <c r="D226" s="1154" t="s">
        <v>1406</v>
      </c>
      <c r="E226" s="1058" t="str">
        <f>VLOOKUP(B226,TH.Q2!B147:E478,4,FALSE)</f>
        <v>Giảng viên khoa Điện - Điện tử</v>
      </c>
      <c r="F226" s="1141">
        <v>6528600</v>
      </c>
      <c r="G226" s="1676">
        <f t="shared" si="6"/>
        <v>2.79</v>
      </c>
      <c r="H226" s="1654">
        <v>2340000</v>
      </c>
      <c r="I226" s="1141">
        <f t="shared" si="7"/>
        <v>6528600</v>
      </c>
      <c r="J226" s="1142">
        <f>A226</f>
        <v>216</v>
      </c>
      <c r="K226" s="1143">
        <f>VLOOKUP(B226,'[28]CN BC'!$F$10:$K$270,6,FALSE)</f>
        <v>0</v>
      </c>
      <c r="L226" s="1146"/>
      <c r="M226" s="1146"/>
      <c r="N226" s="1146"/>
      <c r="O226" s="1146"/>
      <c r="P226" s="1146"/>
      <c r="Q226" s="1146"/>
      <c r="R226" s="1146"/>
    </row>
    <row r="227" spans="1:18" s="1148" customFormat="1" ht="24.75" customHeight="1">
      <c r="A227" s="1132">
        <f>_xlfn.AGGREGATE(4,7,A$10:A226)+1</f>
        <v>217</v>
      </c>
      <c r="B227" s="1133" t="s">
        <v>1911</v>
      </c>
      <c r="C227" s="1153" t="s">
        <v>1798</v>
      </c>
      <c r="D227" s="1154" t="s">
        <v>1407</v>
      </c>
      <c r="E227" s="1058" t="str">
        <f>VLOOKUP(B227,TH.Q2!B148:E479,4,FALSE)</f>
        <v>Giảng viên khoa Điện - Điện tử</v>
      </c>
      <c r="F227" s="1141">
        <v>5440500</v>
      </c>
      <c r="G227" s="1676">
        <f t="shared" si="6"/>
        <v>2.3250000000000002</v>
      </c>
      <c r="H227" s="1654">
        <v>2340000</v>
      </c>
      <c r="I227" s="1141">
        <f t="shared" si="7"/>
        <v>5440500</v>
      </c>
      <c r="J227" s="1142">
        <f>A227</f>
        <v>217</v>
      </c>
      <c r="K227" s="1143">
        <f>VLOOKUP(B227,'[28]CN BC'!$F$10:$K$270,6,FALSE)</f>
        <v>0</v>
      </c>
      <c r="L227" s="1146"/>
      <c r="M227" s="1146"/>
      <c r="N227" s="1146"/>
    </row>
    <row r="228" spans="1:18" s="1146" customFormat="1" ht="24.75" customHeight="1">
      <c r="A228" s="1132">
        <f>_xlfn.AGGREGATE(4,7,A$10:A227)+1</f>
        <v>218</v>
      </c>
      <c r="B228" s="1172" t="s">
        <v>1912</v>
      </c>
      <c r="C228" s="1149" t="s">
        <v>1799</v>
      </c>
      <c r="D228" s="1173" t="s">
        <v>1409</v>
      </c>
      <c r="E228" s="1058" t="str">
        <f>VLOOKUP(B228,TH.Q2!B149:E480,4,FALSE)</f>
        <v>Giảng viên khoa Điện - Điện tử</v>
      </c>
      <c r="F228" s="1141">
        <v>6528600</v>
      </c>
      <c r="G228" s="1676">
        <f t="shared" si="6"/>
        <v>2.79</v>
      </c>
      <c r="H228" s="1654">
        <v>2340000</v>
      </c>
      <c r="I228" s="1141">
        <f t="shared" si="7"/>
        <v>6528600</v>
      </c>
      <c r="J228" s="1142">
        <f>A228</f>
        <v>218</v>
      </c>
      <c r="K228" s="1143">
        <f>VLOOKUP(B228,'[28]CN BC'!$F$10:$K$270,6,FALSE)</f>
        <v>0</v>
      </c>
    </row>
    <row r="229" spans="1:18" s="1146" customFormat="1" ht="24.75" customHeight="1">
      <c r="A229" s="1132">
        <f>_xlfn.AGGREGATE(4,7,A$10:A228)+1</f>
        <v>219</v>
      </c>
      <c r="B229" s="1172" t="s">
        <v>1913</v>
      </c>
      <c r="C229" s="1149" t="s">
        <v>1800</v>
      </c>
      <c r="D229" s="1173" t="s">
        <v>1410</v>
      </c>
      <c r="E229" s="1058" t="str">
        <f>VLOOKUP(B229,TH.Q2!B150:E481,4,FALSE)</f>
        <v>Giảng viên khoa Điện - Điện tử</v>
      </c>
      <c r="F229" s="1141">
        <v>6528600</v>
      </c>
      <c r="G229" s="1676">
        <f t="shared" si="6"/>
        <v>2.79</v>
      </c>
      <c r="H229" s="1654">
        <v>2340000</v>
      </c>
      <c r="I229" s="1141">
        <f t="shared" si="7"/>
        <v>6528600</v>
      </c>
      <c r="J229" s="1142">
        <f>A229</f>
        <v>219</v>
      </c>
      <c r="K229" s="1143">
        <f>VLOOKUP(B229,'[28]CN BC'!$F$10:$K$270,6,FALSE)</f>
        <v>0</v>
      </c>
    </row>
    <row r="230" spans="1:18" s="1146" customFormat="1" ht="24.75" customHeight="1">
      <c r="A230" s="1132">
        <f>_xlfn.AGGREGATE(4,7,A$10:A229)+1</f>
        <v>220</v>
      </c>
      <c r="B230" s="1172" t="s">
        <v>1540</v>
      </c>
      <c r="C230" s="1149" t="s">
        <v>1801</v>
      </c>
      <c r="D230" s="1173" t="s">
        <v>1412</v>
      </c>
      <c r="E230" s="1058" t="str">
        <f>VLOOKUP(B230,TH.Q2!B151:E482,4,FALSE)</f>
        <v>Giảng viên khoa
Điện - Điện tử</v>
      </c>
      <c r="F230" s="1141">
        <v>6065280</v>
      </c>
      <c r="G230" s="1676">
        <f t="shared" si="6"/>
        <v>2.5920000000000001</v>
      </c>
      <c r="H230" s="1654">
        <v>2340000</v>
      </c>
      <c r="I230" s="1141">
        <f t="shared" si="7"/>
        <v>6065280</v>
      </c>
      <c r="J230" s="1142">
        <f>A230</f>
        <v>220</v>
      </c>
      <c r="K230" s="1143">
        <f>VLOOKUP(B230,'[28]CN BC'!$F$10:$K$270,6,FALSE)</f>
        <v>0</v>
      </c>
    </row>
    <row r="231" spans="1:18" s="1148" customFormat="1" ht="25.5" customHeight="1">
      <c r="A231" s="1132">
        <f>_xlfn.AGGREGATE(4,7,A$10:A230)+1</f>
        <v>221</v>
      </c>
      <c r="B231" s="1133" t="s">
        <v>1609</v>
      </c>
      <c r="C231" s="1153" t="s">
        <v>1973</v>
      </c>
      <c r="D231" s="1166" t="s">
        <v>1611</v>
      </c>
      <c r="E231" s="1058" t="str">
        <f>VLOOKUP(B231,TH.Q2!B152:E483,4,FALSE)</f>
        <v>Giảng viên khoa
Điện - Điện tử</v>
      </c>
      <c r="F231" s="1141">
        <v>4675320</v>
      </c>
      <c r="G231" s="1676">
        <f t="shared" si="6"/>
        <v>1.998</v>
      </c>
      <c r="H231" s="1654">
        <v>2340000</v>
      </c>
      <c r="I231" s="1141">
        <f t="shared" si="7"/>
        <v>4675320</v>
      </c>
      <c r="J231" s="1142">
        <f>A231</f>
        <v>221</v>
      </c>
      <c r="K231" s="1143">
        <f>VLOOKUP(B231,'[28]CN BC'!$F$10:$K$270,6,FALSE)</f>
        <v>0</v>
      </c>
      <c r="L231" s="1146"/>
      <c r="M231" s="1146"/>
      <c r="N231" s="1146"/>
    </row>
    <row r="232" spans="1:18" s="1148" customFormat="1" ht="25.5" customHeight="1">
      <c r="A232" s="1132">
        <f>_xlfn.AGGREGATE(4,7,A$10:A231)+1</f>
        <v>222</v>
      </c>
      <c r="B232" s="1133" t="s">
        <v>1610</v>
      </c>
      <c r="C232" s="1153" t="s">
        <v>1974</v>
      </c>
      <c r="D232" s="1166" t="s">
        <v>1612</v>
      </c>
      <c r="E232" s="1058" t="str">
        <f>VLOOKUP(B232,TH.Q2!B153:E484,4,FALSE)</f>
        <v>Giảng viên khoa
Điện - Điện tử</v>
      </c>
      <c r="F232" s="1141">
        <v>5323500</v>
      </c>
      <c r="G232" s="1676">
        <f t="shared" si="6"/>
        <v>2.2749999999999999</v>
      </c>
      <c r="H232" s="1654">
        <v>2340000</v>
      </c>
      <c r="I232" s="1141">
        <f t="shared" si="7"/>
        <v>5323500</v>
      </c>
      <c r="J232" s="1142">
        <f>A232</f>
        <v>222</v>
      </c>
      <c r="K232" s="1143">
        <f>VLOOKUP(B232,'[28]CN BC'!$F$10:$K$270,6,FALSE)</f>
        <v>0</v>
      </c>
      <c r="L232" s="1146"/>
      <c r="M232" s="1146"/>
      <c r="N232" s="1146"/>
    </row>
    <row r="233" spans="1:18" s="1148" customFormat="1" ht="25.5" customHeight="1">
      <c r="A233" s="1132">
        <f>_xlfn.AGGREGATE(4,7,A$10:A232)+1</f>
        <v>223</v>
      </c>
      <c r="B233" s="1223" t="s">
        <v>1838</v>
      </c>
      <c r="C233" s="1153" t="s">
        <v>1975</v>
      </c>
      <c r="D233" s="1159">
        <v>1603205590132</v>
      </c>
      <c r="E233" s="1058" t="str">
        <f>VLOOKUP(B233,TH.Q2!B154:E485,4,FALSE)</f>
        <v>Giảng viên khoa
Điện - Điện tử</v>
      </c>
      <c r="F233" s="1141">
        <v>4563000</v>
      </c>
      <c r="G233" s="1676">
        <f t="shared" si="6"/>
        <v>1.95</v>
      </c>
      <c r="H233" s="1654">
        <v>2340000</v>
      </c>
      <c r="I233" s="1141">
        <f t="shared" si="7"/>
        <v>4563000</v>
      </c>
      <c r="J233" s="1142">
        <f>A233</f>
        <v>223</v>
      </c>
      <c r="K233" s="1143">
        <f>VLOOKUP(B233,'[28]CN BC'!$F$10:$K$270,6,FALSE)</f>
        <v>0</v>
      </c>
      <c r="L233" s="1146"/>
      <c r="M233" s="1146"/>
      <c r="N233" s="1146"/>
    </row>
    <row r="234" spans="1:18" s="1148" customFormat="1" ht="25.5" customHeight="1">
      <c r="A234" s="1132">
        <f>_xlfn.AGGREGATE(4,7,A$10:A233)+1</f>
        <v>224</v>
      </c>
      <c r="B234" s="1223" t="s">
        <v>1993</v>
      </c>
      <c r="C234" s="1153"/>
      <c r="D234" s="1225"/>
      <c r="E234" s="1058" t="str">
        <f>VLOOKUP(B234,TH.Q2!B155:E486,4,FALSE)</f>
        <v>Giảng viên khoa Điện - Điện tử</v>
      </c>
      <c r="F234" s="1141">
        <v>6065280</v>
      </c>
      <c r="G234" s="1676">
        <f t="shared" si="6"/>
        <v>2.5920000000000001</v>
      </c>
      <c r="H234" s="1654">
        <v>2340000</v>
      </c>
      <c r="I234" s="1141">
        <f t="shared" si="7"/>
        <v>6065280</v>
      </c>
      <c r="J234" s="1142">
        <f>A234</f>
        <v>224</v>
      </c>
      <c r="K234" s="1143">
        <f>VLOOKUP(B234,'[28]CN BC'!$F$10:$K$270,6,FALSE)</f>
        <v>0</v>
      </c>
      <c r="L234" s="1146"/>
      <c r="M234" s="1146"/>
      <c r="N234" s="1146"/>
    </row>
    <row r="235" spans="1:18" s="1148" customFormat="1" ht="30.75" customHeight="1">
      <c r="A235" s="1132">
        <f>_xlfn.AGGREGATE(4,7,A$10:A234)+1</f>
        <v>225</v>
      </c>
      <c r="B235" s="1223" t="s">
        <v>2002</v>
      </c>
      <c r="C235" s="1153"/>
      <c r="D235" s="1225"/>
      <c r="E235" s="1058" t="str">
        <f>VLOOKUP(B235,TH.Q2!B156:E487,4,FALSE)</f>
        <v>Giảng viên khoa Điện - Điện tử</v>
      </c>
      <c r="F235" s="1141">
        <v>3748680</v>
      </c>
      <c r="G235" s="1676">
        <f t="shared" si="6"/>
        <v>1.6020000000000001</v>
      </c>
      <c r="H235" s="1654">
        <v>2340000</v>
      </c>
      <c r="I235" s="1141">
        <f t="shared" si="7"/>
        <v>3748680</v>
      </c>
      <c r="J235" s="1142">
        <f>A235</f>
        <v>225</v>
      </c>
      <c r="K235" s="1143">
        <f>VLOOKUP(B235,'[28]CN BC'!$F$10:$K$270,6,FALSE)</f>
        <v>0</v>
      </c>
    </row>
    <row r="236" spans="1:18" s="1148" customFormat="1" ht="32.25" customHeight="1">
      <c r="A236" s="1132">
        <f>_xlfn.AGGREGATE(4,7,A$10:A235)+1</f>
        <v>226</v>
      </c>
      <c r="B236" s="1223" t="s">
        <v>2004</v>
      </c>
      <c r="C236" s="1153"/>
      <c r="D236" s="1225"/>
      <c r="E236" s="1058" t="str">
        <f>VLOOKUP(B236,TH.Q2!B157:E488,4,FALSE)</f>
        <v>Giảng viên khoa Điện - Điện tử</v>
      </c>
      <c r="F236" s="1141">
        <v>2737800</v>
      </c>
      <c r="G236" s="1676">
        <f t="shared" si="6"/>
        <v>1.17</v>
      </c>
      <c r="H236" s="1654">
        <v>2340000</v>
      </c>
      <c r="I236" s="1141">
        <f t="shared" si="7"/>
        <v>2737800</v>
      </c>
      <c r="J236" s="1142">
        <f>A236</f>
        <v>226</v>
      </c>
      <c r="K236" s="1143">
        <f>VLOOKUP(B236,'[28]CN BC'!$F$10:$K$270,6,FALSE)</f>
        <v>0</v>
      </c>
    </row>
    <row r="237" spans="1:18" s="1148" customFormat="1" ht="33.75" customHeight="1">
      <c r="A237" s="1132">
        <f>_xlfn.AGGREGATE(4,7,A$10:A236)+1</f>
        <v>227</v>
      </c>
      <c r="B237" s="1424" t="s">
        <v>1458</v>
      </c>
      <c r="C237" s="1657" t="s">
        <v>1995</v>
      </c>
      <c r="D237" s="1462" t="s">
        <v>1577</v>
      </c>
      <c r="E237" s="1532" t="s">
        <v>2453</v>
      </c>
      <c r="F237" s="1421">
        <v>0</v>
      </c>
      <c r="G237" s="1789">
        <f t="shared" si="6"/>
        <v>0</v>
      </c>
      <c r="H237" s="1790">
        <v>2340000</v>
      </c>
      <c r="I237" s="1421">
        <f t="shared" si="7"/>
        <v>0</v>
      </c>
      <c r="J237" s="1422">
        <f>A237</f>
        <v>227</v>
      </c>
      <c r="K237" s="1423" t="s">
        <v>2425</v>
      </c>
    </row>
    <row r="238" spans="1:18" s="1148" customFormat="1" ht="29.25" customHeight="1">
      <c r="A238" s="1132">
        <f>_xlfn.AGGREGATE(4,7,A$10:A237)+1</f>
        <v>228</v>
      </c>
      <c r="B238" s="1133" t="s">
        <v>1914</v>
      </c>
      <c r="C238" s="1153" t="s">
        <v>1803</v>
      </c>
      <c r="D238" s="1154" t="s">
        <v>0</v>
      </c>
      <c r="E238" s="1058" t="str">
        <f>VLOOKUP(B238,TH.Q2!B158:E489,4,FALSE)</f>
        <v>Trưởng khoa Động lực</v>
      </c>
      <c r="F238" s="1141">
        <v>9547200.0000000019</v>
      </c>
      <c r="G238" s="1676">
        <f t="shared" si="6"/>
        <v>4.080000000000001</v>
      </c>
      <c r="H238" s="1654">
        <v>2340000</v>
      </c>
      <c r="I238" s="1141">
        <f t="shared" si="7"/>
        <v>9547200.0000000019</v>
      </c>
      <c r="J238" s="1142">
        <f>A238</f>
        <v>228</v>
      </c>
      <c r="K238" s="1143">
        <f>VLOOKUP(B238,'[28]CN BC'!$F$10:$K$270,6,FALSE)</f>
        <v>0</v>
      </c>
      <c r="L238" s="1146"/>
      <c r="M238" s="1146"/>
      <c r="N238" s="1146"/>
    </row>
    <row r="239" spans="1:18" s="1148" customFormat="1" ht="27.75" customHeight="1">
      <c r="A239" s="1132">
        <f>_xlfn.AGGREGATE(4,7,A$10:A238)+1</f>
        <v>229</v>
      </c>
      <c r="B239" s="1133" t="s">
        <v>1915</v>
      </c>
      <c r="C239" s="1153" t="s">
        <v>1804</v>
      </c>
      <c r="D239" s="1154" t="s">
        <v>1420</v>
      </c>
      <c r="E239" s="1058" t="str">
        <f>VLOOKUP(B239,TH.Q2!B159:E490,4,FALSE)</f>
        <v>Phó Trưởng khoa
 Động lực</v>
      </c>
      <c r="F239" s="1141">
        <v>8730540</v>
      </c>
      <c r="G239" s="1676">
        <f t="shared" si="6"/>
        <v>3.7309999999999999</v>
      </c>
      <c r="H239" s="1654">
        <v>2340000</v>
      </c>
      <c r="I239" s="1141">
        <f t="shared" si="7"/>
        <v>8730540</v>
      </c>
      <c r="J239" s="1142">
        <f>A239</f>
        <v>229</v>
      </c>
      <c r="K239" s="1143">
        <f>VLOOKUP(B239,'[28]CN BC'!$F$10:$K$270,6,FALSE)</f>
        <v>0</v>
      </c>
      <c r="L239" s="1146"/>
      <c r="M239" s="1146"/>
      <c r="N239" s="1146"/>
    </row>
    <row r="240" spans="1:18" s="1148" customFormat="1" ht="27.75" customHeight="1">
      <c r="A240" s="1132">
        <f>_xlfn.AGGREGATE(4,7,A$10:A239)+1</f>
        <v>230</v>
      </c>
      <c r="B240" s="1133" t="s">
        <v>1916</v>
      </c>
      <c r="C240" s="1153" t="s">
        <v>1805</v>
      </c>
      <c r="D240" s="1154" t="s">
        <v>1</v>
      </c>
      <c r="E240" s="1058" t="str">
        <f>VLOOKUP(B240,TH.Q2!B160:E491,4,FALSE)</f>
        <v>Giảng viên khoa Động lực</v>
      </c>
      <c r="F240" s="1141">
        <v>6416280</v>
      </c>
      <c r="G240" s="1676">
        <f t="shared" si="6"/>
        <v>2.742</v>
      </c>
      <c r="H240" s="1654">
        <v>2340000</v>
      </c>
      <c r="I240" s="1141">
        <f t="shared" si="7"/>
        <v>6416280</v>
      </c>
      <c r="J240" s="1142">
        <f>A240</f>
        <v>230</v>
      </c>
      <c r="K240" s="1143">
        <f>VLOOKUP(B240,'[28]CN BC'!$F$10:$K$270,6,FALSE)</f>
        <v>0</v>
      </c>
      <c r="L240" s="1146"/>
      <c r="M240" s="1146"/>
      <c r="N240" s="1146"/>
    </row>
    <row r="241" spans="1:14" s="1148" customFormat="1" ht="27.75" customHeight="1">
      <c r="A241" s="1132">
        <f>_xlfn.AGGREGATE(4,7,A$10:A240)+1</f>
        <v>231</v>
      </c>
      <c r="B241" s="1133" t="s">
        <v>1542</v>
      </c>
      <c r="C241" s="1153" t="s">
        <v>1806</v>
      </c>
      <c r="D241" s="1154" t="s">
        <v>3</v>
      </c>
      <c r="E241" s="383" t="str">
        <f>VLOOKUP(B241,TH.Q2!B161:E492,4,FALSE)</f>
        <v>Giảng viên - Trưởng BM khoa Động lực</v>
      </c>
      <c r="F241" s="1141">
        <v>5054400</v>
      </c>
      <c r="G241" s="1676">
        <f t="shared" si="6"/>
        <v>2.16</v>
      </c>
      <c r="H241" s="1654">
        <v>2340000</v>
      </c>
      <c r="I241" s="1141">
        <f t="shared" si="7"/>
        <v>5054400</v>
      </c>
      <c r="J241" s="1142">
        <f>A241</f>
        <v>231</v>
      </c>
      <c r="K241" s="1143">
        <f>VLOOKUP(B241,'[28]CN BC'!$F$10:$K$270,6,FALSE)</f>
        <v>0</v>
      </c>
    </row>
    <row r="242" spans="1:14" s="1148" customFormat="1" ht="27.75" customHeight="1">
      <c r="A242" s="1132">
        <f>_xlfn.AGGREGATE(4,7,A$10:A241)+1</f>
        <v>232</v>
      </c>
      <c r="B242" s="1133" t="s">
        <v>1543</v>
      </c>
      <c r="C242" s="1153" t="s">
        <v>1807</v>
      </c>
      <c r="D242" s="1154" t="s">
        <v>4</v>
      </c>
      <c r="E242" s="1058" t="str">
        <f>VLOOKUP(B242,TH.Q2!B162:E493,4,FALSE)</f>
        <v>Giảng viên - Trưởng BM khoa Động lực</v>
      </c>
      <c r="F242" s="1141">
        <v>6416280</v>
      </c>
      <c r="G242" s="1676">
        <f t="shared" si="6"/>
        <v>2.742</v>
      </c>
      <c r="H242" s="1654">
        <v>2340000</v>
      </c>
      <c r="I242" s="1141">
        <f t="shared" si="7"/>
        <v>6416280</v>
      </c>
      <c r="J242" s="1142">
        <f>A242</f>
        <v>232</v>
      </c>
      <c r="K242" s="1143">
        <f>VLOOKUP(B242,'[28]CN BC'!$F$10:$K$270,6,FALSE)</f>
        <v>0</v>
      </c>
      <c r="L242" s="1146"/>
      <c r="M242" s="1146"/>
      <c r="N242" s="1146"/>
    </row>
    <row r="243" spans="1:14" s="1148" customFormat="1" ht="23.25" customHeight="1">
      <c r="A243" s="1132">
        <f>_xlfn.AGGREGATE(4,7,A$10:A242)+1</f>
        <v>233</v>
      </c>
      <c r="B243" s="1133" t="s">
        <v>1544</v>
      </c>
      <c r="C243" s="1153" t="s">
        <v>1808</v>
      </c>
      <c r="D243" s="1154" t="s">
        <v>5</v>
      </c>
      <c r="E243" s="383" t="str">
        <f>VLOOKUP(B243,TH.Q2!B163:E494,4,FALSE)</f>
        <v>Giảng viên khoa Động lực</v>
      </c>
      <c r="F243" s="1141">
        <v>4668300</v>
      </c>
      <c r="G243" s="1676">
        <f t="shared" si="6"/>
        <v>1.9950000000000001</v>
      </c>
      <c r="H243" s="1654">
        <v>2340000</v>
      </c>
      <c r="I243" s="1141">
        <f t="shared" si="7"/>
        <v>4668300</v>
      </c>
      <c r="J243" s="1142">
        <f>A243</f>
        <v>233</v>
      </c>
      <c r="K243" s="1143">
        <f>VLOOKUP(B243,'[28]CN BC'!$F$10:$K$270,6,FALSE)</f>
        <v>0</v>
      </c>
    </row>
    <row r="244" spans="1:14" s="1148" customFormat="1" ht="27.75" customHeight="1">
      <c r="A244" s="1132">
        <f>_xlfn.AGGREGATE(4,7,A$10:A243)+1</f>
        <v>234</v>
      </c>
      <c r="B244" s="1133" t="s">
        <v>1917</v>
      </c>
      <c r="C244" s="1153" t="s">
        <v>1809</v>
      </c>
      <c r="D244" s="1154" t="s">
        <v>394</v>
      </c>
      <c r="E244" s="383" t="str">
        <f>VLOOKUP(B244,TH.Q2!B164:E495,4,FALSE)</f>
        <v>Giảng viên khoa Động lực</v>
      </c>
      <c r="F244" s="1141">
        <v>4668300</v>
      </c>
      <c r="G244" s="1676">
        <f t="shared" si="6"/>
        <v>1.9950000000000001</v>
      </c>
      <c r="H244" s="1654">
        <v>2340000</v>
      </c>
      <c r="I244" s="1141">
        <f t="shared" si="7"/>
        <v>4668300</v>
      </c>
      <c r="J244" s="1142">
        <f>A244</f>
        <v>234</v>
      </c>
      <c r="K244" s="1143">
        <f>VLOOKUP(B244,'[28]CN BC'!$F$10:$K$270,6,FALSE)</f>
        <v>0</v>
      </c>
    </row>
    <row r="245" spans="1:14" s="1148" customFormat="1" ht="26.25" customHeight="1">
      <c r="A245" s="1132">
        <f>_xlfn.AGGREGATE(4,7,A$10:A244)+1</f>
        <v>235</v>
      </c>
      <c r="B245" s="1223" t="s">
        <v>1918</v>
      </c>
      <c r="C245" s="1153" t="s">
        <v>1810</v>
      </c>
      <c r="D245" s="1154" t="s">
        <v>393</v>
      </c>
      <c r="E245" s="383" t="str">
        <f>VLOOKUP(B245,TH.Q2!B165:E496,4,FALSE)</f>
        <v>Giảng viên khoa Động lực</v>
      </c>
      <c r="F245" s="1141">
        <v>4668300</v>
      </c>
      <c r="G245" s="1676">
        <f t="shared" si="6"/>
        <v>1.9950000000000001</v>
      </c>
      <c r="H245" s="1654">
        <v>2340000</v>
      </c>
      <c r="I245" s="1141">
        <f t="shared" si="7"/>
        <v>4668300</v>
      </c>
      <c r="J245" s="1142">
        <f>A245</f>
        <v>235</v>
      </c>
      <c r="K245" s="1143">
        <f>VLOOKUP(B245,'[28]CN BC'!$F$10:$K$270,6,FALSE)</f>
        <v>0</v>
      </c>
    </row>
    <row r="246" spans="1:14" s="1148" customFormat="1" ht="27.75" customHeight="1">
      <c r="A246" s="1132">
        <f>_xlfn.AGGREGATE(4,7,A$10:A245)+1</f>
        <v>236</v>
      </c>
      <c r="B246" s="1133" t="s">
        <v>1545</v>
      </c>
      <c r="C246" s="1153" t="s">
        <v>1811</v>
      </c>
      <c r="D246" s="1154" t="s">
        <v>395</v>
      </c>
      <c r="E246" s="383" t="str">
        <f>VLOOKUP(B246,TH.Q2!B166:E497,4,FALSE)</f>
        <v>Giảng viên khoa Động lực</v>
      </c>
      <c r="F246" s="1141">
        <v>4668300</v>
      </c>
      <c r="G246" s="1676">
        <f t="shared" si="6"/>
        <v>1.9950000000000001</v>
      </c>
      <c r="H246" s="1654">
        <v>2340000</v>
      </c>
      <c r="I246" s="1141">
        <f t="shared" si="7"/>
        <v>4668300</v>
      </c>
      <c r="J246" s="1142">
        <f>A246</f>
        <v>236</v>
      </c>
      <c r="K246" s="1143">
        <f>VLOOKUP(B246,'[28]CN BC'!$F$10:$K$270,6,FALSE)</f>
        <v>0</v>
      </c>
    </row>
    <row r="247" spans="1:14" s="1148" customFormat="1" ht="27.75" customHeight="1">
      <c r="A247" s="1132">
        <f>_xlfn.AGGREGATE(4,7,A$10:A246)+1</f>
        <v>237</v>
      </c>
      <c r="B247" s="1133" t="s">
        <v>1546</v>
      </c>
      <c r="C247" s="1153" t="s">
        <v>1812</v>
      </c>
      <c r="D247" s="1154" t="s">
        <v>473</v>
      </c>
      <c r="E247" s="1058" t="str">
        <f>VLOOKUP(B247,TH.Q2!B167:E498,4,FALSE)</f>
        <v>Giảng viên khoa Động lực</v>
      </c>
      <c r="F247" s="1141">
        <v>4282200</v>
      </c>
      <c r="G247" s="1676">
        <f t="shared" si="6"/>
        <v>1.83</v>
      </c>
      <c r="H247" s="1654">
        <v>2340000</v>
      </c>
      <c r="I247" s="1141">
        <f t="shared" si="7"/>
        <v>4282200</v>
      </c>
      <c r="J247" s="1142">
        <f>A247</f>
        <v>237</v>
      </c>
      <c r="K247" s="1143">
        <f>VLOOKUP(B247,'[28]CN BC'!$F$10:$K$270,6,FALSE)</f>
        <v>0</v>
      </c>
      <c r="L247" s="1146"/>
      <c r="M247" s="1146"/>
      <c r="N247" s="1146"/>
    </row>
    <row r="248" spans="1:14" s="1148" customFormat="1" ht="25.5" customHeight="1">
      <c r="A248" s="1132">
        <f>_xlfn.AGGREGATE(4,7,A$10:A247)+1</f>
        <v>238</v>
      </c>
      <c r="B248" s="1133" t="s">
        <v>1547</v>
      </c>
      <c r="C248" s="1153" t="s">
        <v>1813</v>
      </c>
      <c r="D248" s="1226" t="s">
        <v>490</v>
      </c>
      <c r="E248" s="1058" t="str">
        <f>VLOOKUP(B248,TH.Q2!B168:E499,4,FALSE)</f>
        <v>Giảng viên khoa Động lực</v>
      </c>
      <c r="F248" s="1141">
        <v>4282200</v>
      </c>
      <c r="G248" s="1676">
        <f t="shared" si="6"/>
        <v>1.83</v>
      </c>
      <c r="H248" s="1654">
        <v>2340000</v>
      </c>
      <c r="I248" s="1141">
        <f t="shared" si="7"/>
        <v>4282200</v>
      </c>
      <c r="J248" s="1142">
        <f>A248</f>
        <v>238</v>
      </c>
      <c r="K248" s="1143">
        <f>VLOOKUP(B248,'[28]CN BC'!$F$10:$K$270,6,FALSE)</f>
        <v>0</v>
      </c>
      <c r="L248" s="1146"/>
      <c r="M248" s="1146"/>
      <c r="N248" s="1146"/>
    </row>
    <row r="249" spans="1:14" s="1148" customFormat="1" ht="23.25" customHeight="1">
      <c r="A249" s="1132">
        <f>_xlfn.AGGREGATE(4,7,A$10:A248)+1</f>
        <v>239</v>
      </c>
      <c r="B249" s="1133" t="s">
        <v>1919</v>
      </c>
      <c r="C249" s="1153" t="s">
        <v>1814</v>
      </c>
      <c r="D249" s="1154" t="s">
        <v>750</v>
      </c>
      <c r="E249" s="1058" t="str">
        <f>VLOOKUP(B249,TH.Q2!B169:E500,4,FALSE)</f>
        <v>Giảng viên khoa Động lực</v>
      </c>
      <c r="F249" s="1141">
        <v>4282200</v>
      </c>
      <c r="G249" s="1676">
        <f t="shared" si="6"/>
        <v>1.83</v>
      </c>
      <c r="H249" s="1654">
        <v>2340000</v>
      </c>
      <c r="I249" s="1141">
        <f t="shared" si="7"/>
        <v>4282200</v>
      </c>
      <c r="J249" s="1142">
        <f>A249</f>
        <v>239</v>
      </c>
      <c r="K249" s="1143">
        <f>VLOOKUP(B249,'[28]CN BC'!$F$10:$K$270,6,FALSE)</f>
        <v>0</v>
      </c>
      <c r="L249" s="1146"/>
      <c r="M249" s="1146"/>
      <c r="N249" s="1146"/>
    </row>
    <row r="250" spans="1:14" s="1148" customFormat="1" ht="25.5" customHeight="1">
      <c r="A250" s="1132">
        <f>_xlfn.AGGREGATE(4,7,A$10:A249)+1</f>
        <v>240</v>
      </c>
      <c r="B250" s="1133" t="s">
        <v>1548</v>
      </c>
      <c r="C250" s="1153" t="s">
        <v>1815</v>
      </c>
      <c r="D250" s="1154" t="s">
        <v>752</v>
      </c>
      <c r="E250" s="1058" t="str">
        <f>VLOOKUP(B250,TH.Q2!B170:E501,4,FALSE)</f>
        <v>Giảng viên khoa Động lực</v>
      </c>
      <c r="F250" s="1141">
        <v>4282200</v>
      </c>
      <c r="G250" s="1676">
        <f t="shared" si="6"/>
        <v>1.83</v>
      </c>
      <c r="H250" s="1654">
        <v>2340000</v>
      </c>
      <c r="I250" s="1141">
        <f t="shared" si="7"/>
        <v>4282200</v>
      </c>
      <c r="J250" s="1142">
        <f>A250</f>
        <v>240</v>
      </c>
      <c r="K250" s="1143">
        <f>VLOOKUP(B250,'[28]CN BC'!$F$10:$K$270,6,FALSE)</f>
        <v>0</v>
      </c>
    </row>
    <row r="251" spans="1:14" s="1148" customFormat="1" ht="25.5" customHeight="1">
      <c r="A251" s="1132">
        <f>_xlfn.AGGREGATE(4,7,A$10:A250)+1</f>
        <v>241</v>
      </c>
      <c r="B251" s="1133" t="s">
        <v>1549</v>
      </c>
      <c r="C251" s="1153" t="s">
        <v>1816</v>
      </c>
      <c r="D251" s="1150" t="s">
        <v>1429</v>
      </c>
      <c r="E251" s="383" t="str">
        <f>VLOOKUP(B251,TH.Q2!B171:E502,4,FALSE)</f>
        <v>Giảng viên khoa Động lực</v>
      </c>
      <c r="F251" s="1141">
        <v>5489640</v>
      </c>
      <c r="G251" s="1676">
        <f t="shared" si="6"/>
        <v>2.3460000000000001</v>
      </c>
      <c r="H251" s="1654">
        <v>2340000</v>
      </c>
      <c r="I251" s="1141">
        <f t="shared" si="7"/>
        <v>5489640</v>
      </c>
      <c r="J251" s="1142">
        <f>A251</f>
        <v>241</v>
      </c>
      <c r="K251" s="1143">
        <f>VLOOKUP(B251,'[28]CN BC'!$F$10:$K$270,6,FALSE)</f>
        <v>0</v>
      </c>
    </row>
    <row r="252" spans="1:14" s="1148" customFormat="1" ht="25.5" customHeight="1">
      <c r="A252" s="1132">
        <f>_xlfn.AGGREGATE(4,7,A$10:A251)+1</f>
        <v>242</v>
      </c>
      <c r="B252" s="1133" t="s">
        <v>1550</v>
      </c>
      <c r="C252" s="1153" t="s">
        <v>1817</v>
      </c>
      <c r="D252" s="1150" t="s">
        <v>1430</v>
      </c>
      <c r="E252" s="383" t="str">
        <f>VLOOKUP(B252,TH.Q2!B172:E503,4,FALSE)</f>
        <v>Giảng viên khoa Động lực</v>
      </c>
      <c r="F252" s="1141">
        <v>4282200</v>
      </c>
      <c r="G252" s="1676">
        <f t="shared" si="6"/>
        <v>1.83</v>
      </c>
      <c r="H252" s="1654">
        <v>2340000</v>
      </c>
      <c r="I252" s="1141">
        <f t="shared" si="7"/>
        <v>4282200</v>
      </c>
      <c r="J252" s="1142">
        <f>A252</f>
        <v>242</v>
      </c>
      <c r="K252" s="1143">
        <f>VLOOKUP(B252,'[28]CN BC'!$F$10:$K$270,6,FALSE)</f>
        <v>0</v>
      </c>
    </row>
    <row r="253" spans="1:14" s="1148" customFormat="1" ht="25.5" customHeight="1">
      <c r="A253" s="1132">
        <f>_xlfn.AGGREGATE(4,7,A$10:A252)+1</f>
        <v>243</v>
      </c>
      <c r="B253" s="1133" t="s">
        <v>1836</v>
      </c>
      <c r="C253" s="1153" t="s">
        <v>1976</v>
      </c>
      <c r="D253" s="1198" t="s">
        <v>1977</v>
      </c>
      <c r="E253" s="1058" t="str">
        <f>VLOOKUP(B253,TH.Q2!B173:E504,4,FALSE)</f>
        <v>Giảng viên khoa Động lực</v>
      </c>
      <c r="F253" s="1141">
        <v>3510000</v>
      </c>
      <c r="G253" s="1676">
        <f t="shared" si="6"/>
        <v>1.5</v>
      </c>
      <c r="H253" s="1654">
        <v>2340000</v>
      </c>
      <c r="I253" s="1141">
        <f t="shared" si="7"/>
        <v>3510000</v>
      </c>
      <c r="J253" s="1142">
        <f>A253</f>
        <v>243</v>
      </c>
      <c r="K253" s="1143">
        <f>VLOOKUP(B253,'[28]CN BC'!$F$10:$K$270,6,FALSE)</f>
        <v>0</v>
      </c>
      <c r="L253" s="1146"/>
      <c r="M253" s="1146"/>
      <c r="N253" s="1146"/>
    </row>
    <row r="254" spans="1:14" s="1148" customFormat="1" ht="25.5" customHeight="1">
      <c r="A254" s="1132">
        <f>_xlfn.AGGREGATE(4,7,A$10:A253)+1</f>
        <v>244</v>
      </c>
      <c r="B254" s="1133" t="s">
        <v>1837</v>
      </c>
      <c r="C254" s="1153" t="s">
        <v>1978</v>
      </c>
      <c r="D254" s="1198" t="s">
        <v>1979</v>
      </c>
      <c r="E254" s="1058" t="str">
        <f>VLOOKUP(B254,TH.Q2!B174:E505,4,FALSE)</f>
        <v>Giảng viên khoa Động lực</v>
      </c>
      <c r="F254" s="1141">
        <v>3123900</v>
      </c>
      <c r="G254" s="1676">
        <f t="shared" si="6"/>
        <v>1.335</v>
      </c>
      <c r="H254" s="1654">
        <v>2340000</v>
      </c>
      <c r="I254" s="1141">
        <f t="shared" si="7"/>
        <v>3123900</v>
      </c>
      <c r="J254" s="1142">
        <f>A254</f>
        <v>244</v>
      </c>
      <c r="K254" s="1143">
        <f>VLOOKUP(B254,'[28]CN BC'!$F$10:$K$270,6,FALSE)</f>
        <v>0</v>
      </c>
      <c r="L254" s="1146"/>
      <c r="M254" s="1146"/>
      <c r="N254" s="1146"/>
    </row>
    <row r="255" spans="1:14" s="1148" customFormat="1" ht="25.5" customHeight="1">
      <c r="A255" s="1132">
        <f>_xlfn.AGGREGATE(4,7,A$10:A254)+1</f>
        <v>245</v>
      </c>
      <c r="B255" s="1223" t="s">
        <v>1839</v>
      </c>
      <c r="C255" s="1153" t="s">
        <v>1980</v>
      </c>
      <c r="D255" s="1198" t="s">
        <v>1981</v>
      </c>
      <c r="E255" s="1058" t="str">
        <f>VLOOKUP(B255,TH.Q2!B175:E506,4,FALSE)</f>
        <v>Giảng viên khoa Động lực</v>
      </c>
      <c r="F255" s="1141">
        <v>3896100</v>
      </c>
      <c r="G255" s="1676">
        <f t="shared" si="6"/>
        <v>1.665</v>
      </c>
      <c r="H255" s="1654">
        <v>2340000</v>
      </c>
      <c r="I255" s="1141">
        <f t="shared" si="7"/>
        <v>3896100</v>
      </c>
      <c r="J255" s="1142">
        <f>A255</f>
        <v>245</v>
      </c>
      <c r="K255" s="1143">
        <f>VLOOKUP(B255,'[28]CN BC'!$F$10:$K$270,6,FALSE)</f>
        <v>0</v>
      </c>
      <c r="L255" s="1146"/>
      <c r="M255" s="1146"/>
      <c r="N255" s="1146"/>
    </row>
    <row r="256" spans="1:14" s="1148" customFormat="1" ht="25.5" customHeight="1">
      <c r="A256" s="1132">
        <f>_xlfn.AGGREGATE(4,7,A$10:A255)+1</f>
        <v>246</v>
      </c>
      <c r="B256" s="1223" t="s">
        <v>1844</v>
      </c>
      <c r="C256" s="1153" t="s">
        <v>1982</v>
      </c>
      <c r="D256" s="1198" t="s">
        <v>1983</v>
      </c>
      <c r="E256" s="1058" t="str">
        <f>VLOOKUP(B256,TH.Q2!B176:E507,4,FALSE)</f>
        <v>Giảng viên khoa Động lực</v>
      </c>
      <c r="F256" s="1141">
        <v>4282200</v>
      </c>
      <c r="G256" s="1676">
        <f t="shared" si="6"/>
        <v>1.83</v>
      </c>
      <c r="H256" s="1654">
        <v>2340000</v>
      </c>
      <c r="I256" s="1141">
        <f t="shared" si="7"/>
        <v>4282200</v>
      </c>
      <c r="J256" s="1142">
        <f>A256</f>
        <v>246</v>
      </c>
      <c r="K256" s="1143">
        <f>VLOOKUP(B256,'[28]CN BC'!$F$10:$K$270,6,FALSE)</f>
        <v>0</v>
      </c>
      <c r="L256" s="1146"/>
      <c r="M256" s="1146"/>
      <c r="N256" s="1146"/>
    </row>
    <row r="257" spans="1:18" s="1148" customFormat="1" ht="24" customHeight="1">
      <c r="A257" s="1132">
        <f>_xlfn.AGGREGATE(4,7,A$10:A256)+1</f>
        <v>247</v>
      </c>
      <c r="B257" s="1223" t="s">
        <v>1926</v>
      </c>
      <c r="C257" s="1153" t="s">
        <v>1984</v>
      </c>
      <c r="D257" s="1230" t="s">
        <v>1985</v>
      </c>
      <c r="E257" s="1058" t="str">
        <f>VLOOKUP(B257,TH.Q2!B177:E508,4,FALSE)</f>
        <v>Giảng viên khoa Động lực</v>
      </c>
      <c r="F257" s="1141">
        <v>3748680</v>
      </c>
      <c r="G257" s="1676">
        <f t="shared" si="6"/>
        <v>1.6020000000000001</v>
      </c>
      <c r="H257" s="1654">
        <v>2340000</v>
      </c>
      <c r="I257" s="1141">
        <f t="shared" si="7"/>
        <v>3748680</v>
      </c>
      <c r="J257" s="1142">
        <f>A257</f>
        <v>247</v>
      </c>
      <c r="K257" s="1143">
        <f>VLOOKUP(B257,'[28]CN BC'!$F$10:$K$270,6,FALSE)</f>
        <v>0</v>
      </c>
      <c r="L257" s="1146"/>
      <c r="M257" s="1146"/>
      <c r="N257" s="1146"/>
    </row>
    <row r="258" spans="1:18" s="1148" customFormat="1" ht="24" customHeight="1">
      <c r="A258" s="1132">
        <f>_xlfn.AGGREGATE(4,7,A$10:A257)+1</f>
        <v>248</v>
      </c>
      <c r="B258" s="1223" t="s">
        <v>1941</v>
      </c>
      <c r="C258" s="1153" t="s">
        <v>1989</v>
      </c>
      <c r="D258" s="1230" t="s">
        <v>1988</v>
      </c>
      <c r="E258" s="1058" t="str">
        <f>VLOOKUP(B258,TH.Q2!B178:E509,4,FALSE)</f>
        <v>Giảng viên khoa Động lực</v>
      </c>
      <c r="F258" s="1141">
        <v>3123900</v>
      </c>
      <c r="G258" s="1676">
        <f t="shared" si="6"/>
        <v>1.335</v>
      </c>
      <c r="H258" s="1654">
        <v>2340000</v>
      </c>
      <c r="I258" s="1141">
        <f t="shared" si="7"/>
        <v>3123900</v>
      </c>
      <c r="J258" s="1142">
        <f>A258</f>
        <v>248</v>
      </c>
      <c r="K258" s="1143">
        <f>VLOOKUP(B258,'[28]CN BC'!$F$10:$K$270,6,FALSE)</f>
        <v>0</v>
      </c>
      <c r="L258" s="1146"/>
      <c r="M258" s="1146"/>
      <c r="N258" s="1146"/>
    </row>
    <row r="259" spans="1:18" s="1148" customFormat="1" ht="24" customHeight="1">
      <c r="A259" s="1132">
        <f>_xlfn.AGGREGATE(4,7,A$10:A258)+1</f>
        <v>249</v>
      </c>
      <c r="B259" s="1223" t="s">
        <v>1945</v>
      </c>
      <c r="C259" s="1132" t="s">
        <v>1948</v>
      </c>
      <c r="D259" s="1150" t="s">
        <v>1949</v>
      </c>
      <c r="E259" s="1058" t="str">
        <f>VLOOKUP(B259,TH.Q2!B180:E511,4,FALSE)</f>
        <v>Giảng viên khoa Động lực</v>
      </c>
      <c r="F259" s="1141">
        <v>4282200</v>
      </c>
      <c r="G259" s="1676">
        <f t="shared" si="6"/>
        <v>1.83</v>
      </c>
      <c r="H259" s="1654">
        <v>2340000</v>
      </c>
      <c r="I259" s="1141">
        <f t="shared" si="7"/>
        <v>4282200</v>
      </c>
      <c r="J259" s="1142">
        <f>A259</f>
        <v>249</v>
      </c>
      <c r="K259" s="1143">
        <f>VLOOKUP(B259,'[28]CN BC'!$F$10:$K$270,6,FALSE)</f>
        <v>0</v>
      </c>
    </row>
    <row r="260" spans="1:18" s="1148" customFormat="1" ht="24" customHeight="1">
      <c r="A260" s="1132">
        <f>_xlfn.AGGREGATE(4,7,A$10:A259)+1</f>
        <v>250</v>
      </c>
      <c r="B260" s="1223" t="s">
        <v>2003</v>
      </c>
      <c r="C260" s="1132"/>
      <c r="D260" s="1150"/>
      <c r="E260" s="1058" t="str">
        <f>VLOOKUP(B260,TH.Q2!B181:E512,4,FALSE)</f>
        <v>Giảng viên khoa Động lực</v>
      </c>
      <c r="F260" s="1141">
        <v>3896100</v>
      </c>
      <c r="G260" s="1676">
        <f t="shared" si="6"/>
        <v>1.665</v>
      </c>
      <c r="H260" s="1654">
        <v>2340000</v>
      </c>
      <c r="I260" s="1141">
        <f t="shared" si="7"/>
        <v>3896100</v>
      </c>
      <c r="J260" s="1142">
        <f>A260</f>
        <v>250</v>
      </c>
      <c r="K260" s="1143">
        <f>VLOOKUP(B260,'[28]CN BC'!$F$10:$K$270,6,FALSE)</f>
        <v>0</v>
      </c>
    </row>
    <row r="261" spans="1:18" s="1148" customFormat="1" ht="24" customHeight="1">
      <c r="A261" s="1132">
        <f>_xlfn.AGGREGATE(4,7,A$10:A260)+1</f>
        <v>251</v>
      </c>
      <c r="B261" s="1223" t="s">
        <v>2010</v>
      </c>
      <c r="C261" s="1132"/>
      <c r="D261" s="1150"/>
      <c r="E261" s="1058" t="str">
        <f>VLOOKUP(B261,TH.Q2!B182:E513,4,FALSE)</f>
        <v>Giảng viên khoa Động lực</v>
      </c>
      <c r="F261" s="1141">
        <v>2737800</v>
      </c>
      <c r="G261" s="1676">
        <f t="shared" si="6"/>
        <v>1.17</v>
      </c>
      <c r="H261" s="1654">
        <v>2340000</v>
      </c>
      <c r="I261" s="1141">
        <f t="shared" si="7"/>
        <v>2737800</v>
      </c>
      <c r="J261" s="1142">
        <f>A261</f>
        <v>251</v>
      </c>
      <c r="K261" s="1143">
        <f>VLOOKUP(B261,'[28]CN BC'!$F$10:$K$270,6,FALSE)</f>
        <v>0</v>
      </c>
    </row>
    <row r="262" spans="1:18" s="1148" customFormat="1" ht="30" customHeight="1">
      <c r="A262" s="1132">
        <f>_xlfn.AGGREGATE(4,7,A$10:A261)+1</f>
        <v>252</v>
      </c>
      <c r="B262" s="1133" t="s">
        <v>1920</v>
      </c>
      <c r="C262" s="1153" t="s">
        <v>1819</v>
      </c>
      <c r="D262" s="1154" t="s">
        <v>1414</v>
      </c>
      <c r="E262" s="1058" t="str">
        <f>VLOOKUP(B262,TH.Q2!B184:E515,4,FALSE)</f>
        <v>Giảng viên khoa Xây dựng - Nhiệt lạnh</v>
      </c>
      <c r="F262" s="1141">
        <v>6879600</v>
      </c>
      <c r="G262" s="1676">
        <f t="shared" si="6"/>
        <v>2.94</v>
      </c>
      <c r="H262" s="1654">
        <v>2340000</v>
      </c>
      <c r="I262" s="1141">
        <f t="shared" si="7"/>
        <v>6879600</v>
      </c>
      <c r="J262" s="1142">
        <f>A262</f>
        <v>252</v>
      </c>
      <c r="K262" s="1143">
        <f>VLOOKUP(B262,'[28]CN BC'!$F$10:$K$270,6,FALSE)</f>
        <v>0</v>
      </c>
      <c r="L262" s="1146"/>
      <c r="M262" s="1146"/>
      <c r="N262" s="1146"/>
    </row>
    <row r="263" spans="1:18" s="1148" customFormat="1" ht="30" customHeight="1">
      <c r="A263" s="1132">
        <f>_xlfn.AGGREGATE(4,7,A$10:A262)+1</f>
        <v>253</v>
      </c>
      <c r="B263" s="1133" t="s">
        <v>1921</v>
      </c>
      <c r="C263" s="1149" t="s">
        <v>1820</v>
      </c>
      <c r="D263" s="1154" t="s">
        <v>1415</v>
      </c>
      <c r="E263" s="1058" t="str">
        <f>VLOOKUP(B263,TH.Q2!B185:E516,4,FALSE)</f>
        <v>Giảng viên khoa Xây dựng - Nhiệt lạnh</v>
      </c>
      <c r="F263" s="1141">
        <v>5733000</v>
      </c>
      <c r="G263" s="1676">
        <f t="shared" si="6"/>
        <v>2.4500000000000002</v>
      </c>
      <c r="H263" s="1654">
        <v>2340000</v>
      </c>
      <c r="I263" s="1141">
        <f t="shared" si="7"/>
        <v>5733000</v>
      </c>
      <c r="J263" s="1142">
        <f>A263</f>
        <v>253</v>
      </c>
      <c r="K263" s="1143">
        <f>VLOOKUP(B263,'[28]CN BC'!$F$10:$K$270,6,FALSE)</f>
        <v>0</v>
      </c>
      <c r="L263" s="1146"/>
      <c r="M263" s="1146"/>
      <c r="N263" s="1146"/>
      <c r="O263" s="1146"/>
      <c r="P263" s="1146"/>
      <c r="Q263" s="1146"/>
      <c r="R263" s="1146"/>
    </row>
    <row r="264" spans="1:18" s="1148" customFormat="1" ht="30" customHeight="1">
      <c r="A264" s="1132">
        <f>_xlfn.AGGREGATE(4,7,A$10:A263)+1</f>
        <v>254</v>
      </c>
      <c r="B264" s="1133" t="s">
        <v>1922</v>
      </c>
      <c r="C264" s="1153" t="s">
        <v>1821</v>
      </c>
      <c r="D264" s="1154" t="s">
        <v>392</v>
      </c>
      <c r="E264" s="1058" t="str">
        <f>VLOOKUP(B264,TH.Q2!B186:E517,4,FALSE)</f>
        <v>Giảng viên khoa Xây dựng - Nhiệt lạnh</v>
      </c>
      <c r="F264" s="1141">
        <v>4282200</v>
      </c>
      <c r="G264" s="1676">
        <f t="shared" si="6"/>
        <v>1.83</v>
      </c>
      <c r="H264" s="1654">
        <v>2340000</v>
      </c>
      <c r="I264" s="1141">
        <f t="shared" si="7"/>
        <v>4282200</v>
      </c>
      <c r="J264" s="1142">
        <f>A264</f>
        <v>254</v>
      </c>
      <c r="K264" s="1143">
        <f>VLOOKUP(B264,'[28]CN BC'!$F$10:$K$270,6,FALSE)</f>
        <v>0</v>
      </c>
    </row>
    <row r="265" spans="1:18" s="1148" customFormat="1" ht="30" customHeight="1">
      <c r="A265" s="1132">
        <f>_xlfn.AGGREGATE(4,7,A$10:A264)+1</f>
        <v>255</v>
      </c>
      <c r="B265" s="1133" t="s">
        <v>1923</v>
      </c>
      <c r="C265" s="1153" t="s">
        <v>1822</v>
      </c>
      <c r="D265" s="1168" t="s">
        <v>511</v>
      </c>
      <c r="E265" s="1058" t="str">
        <f>VLOOKUP(B265,TH.Q2!B187:E518,4,FALSE)</f>
        <v>Giảng viên khoa Xây dựng - Nhiệt lạnh</v>
      </c>
      <c r="F265" s="1141">
        <v>4282200</v>
      </c>
      <c r="G265" s="1676">
        <f t="shared" si="6"/>
        <v>1.83</v>
      </c>
      <c r="H265" s="1654">
        <v>2340000</v>
      </c>
      <c r="I265" s="1141">
        <f t="shared" si="7"/>
        <v>4282200</v>
      </c>
      <c r="J265" s="1142">
        <f>A265</f>
        <v>255</v>
      </c>
      <c r="K265" s="1143">
        <f>VLOOKUP(B265,'[28]CN BC'!$F$10:$K$270,6,FALSE)</f>
        <v>0</v>
      </c>
    </row>
    <row r="266" spans="1:18" s="1148" customFormat="1" ht="30" customHeight="1">
      <c r="A266" s="1132">
        <f>_xlfn.AGGREGATE(4,7,A$10:A265)+1</f>
        <v>256</v>
      </c>
      <c r="B266" s="1133" t="s">
        <v>1552</v>
      </c>
      <c r="C266" s="1153" t="s">
        <v>1823</v>
      </c>
      <c r="D266" s="1154" t="s">
        <v>1418</v>
      </c>
      <c r="E266" s="1058" t="str">
        <f>VLOOKUP(B266,TH.Q2!B188:E519,4,FALSE)</f>
        <v>Giảng viên khoa Xây dựng - Nhiệt lạnh</v>
      </c>
      <c r="F266" s="1141">
        <v>5054400</v>
      </c>
      <c r="G266" s="1676">
        <f t="shared" si="6"/>
        <v>2.16</v>
      </c>
      <c r="H266" s="1654">
        <v>2340000</v>
      </c>
      <c r="I266" s="1141">
        <f t="shared" si="7"/>
        <v>5054400</v>
      </c>
      <c r="J266" s="1142">
        <f>A266</f>
        <v>256</v>
      </c>
      <c r="K266" s="1143">
        <f>VLOOKUP(B266,'[28]CN BC'!$F$10:$K$270,6,FALSE)</f>
        <v>0</v>
      </c>
    </row>
    <row r="267" spans="1:18" s="1148" customFormat="1" ht="30" customHeight="1">
      <c r="A267" s="1132">
        <f>_xlfn.AGGREGATE(4,7,A$10:A266)+1</f>
        <v>257</v>
      </c>
      <c r="B267" s="1133" t="s">
        <v>1940</v>
      </c>
      <c r="C267" s="1153" t="s">
        <v>1991</v>
      </c>
      <c r="D267" s="1154" t="s">
        <v>1992</v>
      </c>
      <c r="E267" s="1058" t="str">
        <f>VLOOKUP(B267,TH.Q2!B189:E520,4,FALSE)</f>
        <v>Giảng viên khoa Xây dựng - Nhiệt lạnh</v>
      </c>
      <c r="F267" s="1141">
        <v>4675320</v>
      </c>
      <c r="G267" s="1676">
        <f t="shared" si="6"/>
        <v>1.998</v>
      </c>
      <c r="H267" s="1654">
        <v>2340000</v>
      </c>
      <c r="I267" s="1141">
        <f t="shared" si="7"/>
        <v>4675320</v>
      </c>
      <c r="J267" s="1142">
        <f>A267</f>
        <v>257</v>
      </c>
      <c r="K267" s="1143">
        <f>VLOOKUP(B267,'[28]CN BC'!$F$10:$K$270,6,FALSE)</f>
        <v>0</v>
      </c>
      <c r="L267" s="1146"/>
      <c r="M267" s="1146"/>
      <c r="N267" s="1146"/>
    </row>
    <row r="268" spans="1:18" s="1146" customFormat="1" ht="30" customHeight="1">
      <c r="A268" s="1132">
        <f>_xlfn.AGGREGATE(4,7,A$10:A267)+1</f>
        <v>258</v>
      </c>
      <c r="B268" s="1172" t="s">
        <v>1553</v>
      </c>
      <c r="C268" s="1149" t="s">
        <v>1824</v>
      </c>
      <c r="D268" s="1233">
        <v>1603205246186</v>
      </c>
      <c r="E268" s="1058" t="str">
        <f>VLOOKUP(B268,TH.Q2!B190:E521,4,FALSE)</f>
        <v>Giảng viên khoa Xây dựng - Nhiệt lạnh</v>
      </c>
      <c r="F268" s="1141">
        <v>7341516</v>
      </c>
      <c r="G268" s="1676">
        <f t="shared" ref="G268:G331" si="8">F268/H268</f>
        <v>3.1374</v>
      </c>
      <c r="H268" s="1654">
        <v>2340000</v>
      </c>
      <c r="I268" s="1141">
        <f t="shared" si="7"/>
        <v>7341516</v>
      </c>
      <c r="J268" s="1142">
        <f>A268</f>
        <v>258</v>
      </c>
      <c r="K268" s="1143">
        <f>VLOOKUP(B268,'[28]CN BC'!$F$10:$K$270,6,FALSE)</f>
        <v>0</v>
      </c>
    </row>
    <row r="269" spans="1:18" s="1148" customFormat="1" ht="27.75" customHeight="1">
      <c r="A269" s="1132">
        <f>_xlfn.AGGREGATE(4,7,A$10:A268)+1</f>
        <v>259</v>
      </c>
      <c r="B269" s="1133" t="s">
        <v>1560</v>
      </c>
      <c r="C269" s="1234" t="s">
        <v>1825</v>
      </c>
      <c r="D269" s="1235">
        <v>1603215002692</v>
      </c>
      <c r="E269" s="1058" t="str">
        <f>VLOOKUP(B269,TH.Q2!B191:E522,4,FALSE)</f>
        <v>Phó Trưởng khoa Xây dựng - Nhiệt lạnh</v>
      </c>
      <c r="F269" s="1141">
        <v>6568380</v>
      </c>
      <c r="G269" s="1676">
        <f t="shared" si="8"/>
        <v>2.8069999999999999</v>
      </c>
      <c r="H269" s="1654">
        <v>2340000</v>
      </c>
      <c r="I269" s="1141">
        <f t="shared" ref="I269:I332" si="9">G269*H269</f>
        <v>6568380</v>
      </c>
      <c r="J269" s="1142">
        <f>A269</f>
        <v>259</v>
      </c>
      <c r="K269" s="1143">
        <f>VLOOKUP(B269,'[28]CN BC'!$F$10:$K$270,6,FALSE)</f>
        <v>0</v>
      </c>
      <c r="L269" s="1146"/>
      <c r="M269" s="1146"/>
      <c r="N269" s="1146"/>
      <c r="O269" s="1146"/>
      <c r="P269" s="1146"/>
      <c r="Q269" s="1146"/>
      <c r="R269" s="1146"/>
    </row>
    <row r="270" spans="1:18" s="1146" customFormat="1" ht="30" customHeight="1">
      <c r="A270" s="1132">
        <f>_xlfn.AGGREGATE(4,7,A$10:A269)+1</f>
        <v>260</v>
      </c>
      <c r="B270" s="1172" t="s">
        <v>2029</v>
      </c>
      <c r="C270" s="1149"/>
      <c r="D270" s="1233"/>
      <c r="E270" s="1058" t="str">
        <f>VLOOKUP(B270,TH.Q2!B192:E523,4,FALSE)</f>
        <v xml:space="preserve">NV Bảo vệ </v>
      </c>
      <c r="F270" s="1141">
        <v>2564863</v>
      </c>
      <c r="G270" s="1676">
        <f t="shared" si="8"/>
        <v>1.0960952991452992</v>
      </c>
      <c r="H270" s="1654">
        <v>2340000</v>
      </c>
      <c r="I270" s="1141">
        <f t="shared" si="9"/>
        <v>2564863</v>
      </c>
      <c r="J270" s="1142">
        <f>A270</f>
        <v>260</v>
      </c>
      <c r="K270" s="1143"/>
    </row>
    <row r="271" spans="1:18" s="1146" customFormat="1" ht="30" customHeight="1">
      <c r="A271" s="1132">
        <f>_xlfn.AGGREGATE(4,7,A$10:A270)+1</f>
        <v>261</v>
      </c>
      <c r="B271" s="1172" t="s">
        <v>2035</v>
      </c>
      <c r="C271" s="1149"/>
      <c r="D271" s="1233"/>
      <c r="E271" s="1058" t="str">
        <f>VLOOKUP(B271,TH.Q2!B193:E524,4,FALSE)</f>
        <v>NV Bảo vệ</v>
      </c>
      <c r="F271" s="1141">
        <v>1913940</v>
      </c>
      <c r="G271" s="1676">
        <f t="shared" si="8"/>
        <v>0.81792307692307697</v>
      </c>
      <c r="H271" s="1654">
        <v>2340000</v>
      </c>
      <c r="I271" s="1141">
        <f t="shared" si="9"/>
        <v>1913940.0000000002</v>
      </c>
      <c r="J271" s="1142">
        <f>A271</f>
        <v>261</v>
      </c>
      <c r="K271" s="1143"/>
    </row>
    <row r="272" spans="1:18" s="1146" customFormat="1" ht="30" customHeight="1">
      <c r="A272" s="1132">
        <f>_xlfn.AGGREGATE(4,7,A$10:A271)+1</f>
        <v>262</v>
      </c>
      <c r="B272" s="1172" t="s">
        <v>2037</v>
      </c>
      <c r="C272" s="1149"/>
      <c r="D272" s="1233"/>
      <c r="E272" s="1058" t="str">
        <f>VLOOKUP(B272,TH.Q2!B194:E525,4,FALSE)</f>
        <v>NV Bảo vệ</v>
      </c>
      <c r="F272" s="1141">
        <v>5519488</v>
      </c>
      <c r="G272" s="1676">
        <f t="shared" si="8"/>
        <v>2.3587555555555557</v>
      </c>
      <c r="H272" s="1654">
        <v>2340000</v>
      </c>
      <c r="I272" s="1141">
        <f t="shared" si="9"/>
        <v>5519488</v>
      </c>
      <c r="J272" s="1142">
        <f>A272</f>
        <v>262</v>
      </c>
      <c r="K272" s="1143"/>
    </row>
    <row r="273" spans="1:11" s="1146" customFormat="1" ht="30" customHeight="1">
      <c r="A273" s="1132">
        <f>_xlfn.AGGREGATE(4,7,A$10:A272)+1</f>
        <v>263</v>
      </c>
      <c r="B273" s="1172" t="s">
        <v>2039</v>
      </c>
      <c r="C273" s="1149"/>
      <c r="D273" s="1233"/>
      <c r="E273" s="1058" t="str">
        <f>VLOOKUP(B273,TH.Q2!B195:E526,4,FALSE)</f>
        <v xml:space="preserve">NV Bảo vệ </v>
      </c>
      <c r="F273" s="1141">
        <v>3231727</v>
      </c>
      <c r="G273" s="1676">
        <f t="shared" si="8"/>
        <v>1.3810799145299146</v>
      </c>
      <c r="H273" s="1654">
        <v>2340000</v>
      </c>
      <c r="I273" s="1141">
        <f t="shared" si="9"/>
        <v>3231727.0000000005</v>
      </c>
      <c r="J273" s="1142">
        <f>A273</f>
        <v>263</v>
      </c>
      <c r="K273" s="1143"/>
    </row>
    <row r="274" spans="1:11" s="1146" customFormat="1" ht="30" customHeight="1">
      <c r="A274" s="1132">
        <f>_xlfn.AGGREGATE(4,7,A$10:A273)+1</f>
        <v>264</v>
      </c>
      <c r="B274" s="1172" t="s">
        <v>2043</v>
      </c>
      <c r="C274" s="1149"/>
      <c r="D274" s="1233"/>
      <c r="E274" s="1058" t="str">
        <f>VLOOKUP(B274,TH.Q2!B196:E527,4,FALSE)</f>
        <v xml:space="preserve">NV Bảo vệ </v>
      </c>
      <c r="F274" s="1141">
        <v>3562979</v>
      </c>
      <c r="G274" s="1676">
        <f t="shared" si="8"/>
        <v>1.5226405982905984</v>
      </c>
      <c r="H274" s="1654">
        <v>2340000</v>
      </c>
      <c r="I274" s="1141">
        <f t="shared" si="9"/>
        <v>3562979.0000000005</v>
      </c>
      <c r="J274" s="1142">
        <f>A274</f>
        <v>264</v>
      </c>
      <c r="K274" s="1143" t="s">
        <v>2430</v>
      </c>
    </row>
    <row r="275" spans="1:11" s="1146" customFormat="1" ht="30" customHeight="1">
      <c r="A275" s="1132">
        <f>_xlfn.AGGREGATE(4,7,A$10:A274)+1</f>
        <v>265</v>
      </c>
      <c r="B275" s="1172" t="s">
        <v>2046</v>
      </c>
      <c r="C275" s="1149"/>
      <c r="D275" s="1233"/>
      <c r="E275" s="1058" t="str">
        <f>VLOOKUP(B275,TH.Q2!B197:E528,4,FALSE)</f>
        <v>NV Bảo vệ</v>
      </c>
      <c r="F275" s="1141">
        <v>2442726.125</v>
      </c>
      <c r="G275" s="1676">
        <f t="shared" si="8"/>
        <v>1.0439000534188034</v>
      </c>
      <c r="H275" s="1654">
        <v>2340000</v>
      </c>
      <c r="I275" s="1141">
        <f t="shared" si="9"/>
        <v>2442726.125</v>
      </c>
      <c r="J275" s="1142">
        <f>A275</f>
        <v>265</v>
      </c>
      <c r="K275" s="1143" t="s">
        <v>2431</v>
      </c>
    </row>
    <row r="276" spans="1:11" s="1146" customFormat="1" ht="30" customHeight="1">
      <c r="A276" s="1132">
        <f>_xlfn.AGGREGATE(4,7,A$10:A275)+1</f>
        <v>266</v>
      </c>
      <c r="B276" s="1172" t="s">
        <v>2049</v>
      </c>
      <c r="C276" s="1149"/>
      <c r="D276" s="1233"/>
      <c r="E276" s="1058" t="str">
        <f>VLOOKUP(B276,TH.Q2!B198:E529,4,FALSE)</f>
        <v>NV Bảo vệ</v>
      </c>
      <c r="F276" s="1141">
        <v>2215625</v>
      </c>
      <c r="G276" s="1676">
        <f t="shared" si="8"/>
        <v>0.94684829059829057</v>
      </c>
      <c r="H276" s="1654">
        <v>2340000</v>
      </c>
      <c r="I276" s="1141">
        <f t="shared" si="9"/>
        <v>2215625</v>
      </c>
      <c r="J276" s="1142">
        <f>A276</f>
        <v>266</v>
      </c>
      <c r="K276" s="1143"/>
    </row>
    <row r="277" spans="1:11" s="1146" customFormat="1" ht="30" customHeight="1">
      <c r="A277" s="1132">
        <f>_xlfn.AGGREGATE(4,7,A$10:A276)+1</f>
        <v>267</v>
      </c>
      <c r="B277" s="1172" t="s">
        <v>2052</v>
      </c>
      <c r="C277" s="1149"/>
      <c r="D277" s="1233"/>
      <c r="E277" s="1058" t="str">
        <f>VLOOKUP(B277,TH.Q2!B199:E530,4,FALSE)</f>
        <v>NV Bảo vệ</v>
      </c>
      <c r="F277" s="1141">
        <v>3949538</v>
      </c>
      <c r="G277" s="1676">
        <f t="shared" si="8"/>
        <v>1.6878367521367521</v>
      </c>
      <c r="H277" s="1654">
        <v>2340000</v>
      </c>
      <c r="I277" s="1141">
        <f t="shared" si="9"/>
        <v>3949538</v>
      </c>
      <c r="J277" s="1142">
        <f>A277</f>
        <v>267</v>
      </c>
      <c r="K277" s="1143" t="s">
        <v>2432</v>
      </c>
    </row>
    <row r="278" spans="1:11" s="1146" customFormat="1" ht="30" customHeight="1">
      <c r="A278" s="1132">
        <f>_xlfn.AGGREGATE(4,7,A$10:A277)+1</f>
        <v>268</v>
      </c>
      <c r="B278" s="1172" t="s">
        <v>2053</v>
      </c>
      <c r="C278" s="1149"/>
      <c r="D278" s="1233"/>
      <c r="E278" s="1058" t="str">
        <f>VLOOKUP(B278,TH.Q2!B200:E531,4,FALSE)</f>
        <v>NV Bảo vệ</v>
      </c>
      <c r="F278" s="1141">
        <v>2083200</v>
      </c>
      <c r="G278" s="1676">
        <f t="shared" si="8"/>
        <v>0.89025641025641022</v>
      </c>
      <c r="H278" s="1654">
        <v>2340000</v>
      </c>
      <c r="I278" s="1141">
        <f t="shared" si="9"/>
        <v>2083200</v>
      </c>
      <c r="J278" s="1142">
        <f>A278</f>
        <v>268</v>
      </c>
      <c r="K278" s="1143"/>
    </row>
    <row r="279" spans="1:11" s="1146" customFormat="1" ht="30" customHeight="1">
      <c r="A279" s="1132">
        <f>_xlfn.AGGREGATE(4,7,A$10:A278)+1</f>
        <v>269</v>
      </c>
      <c r="B279" s="1172" t="s">
        <v>2420</v>
      </c>
      <c r="C279" s="1149"/>
      <c r="D279" s="1233"/>
      <c r="E279" s="1058" t="s">
        <v>2421</v>
      </c>
      <c r="F279" s="1141">
        <v>2083200</v>
      </c>
      <c r="G279" s="1676">
        <f t="shared" si="8"/>
        <v>0.89025641025641022</v>
      </c>
      <c r="H279" s="1654">
        <v>2340000</v>
      </c>
      <c r="I279" s="1141">
        <f t="shared" si="9"/>
        <v>2083200</v>
      </c>
      <c r="J279" s="1142">
        <f>A279</f>
        <v>269</v>
      </c>
      <c r="K279" s="1143"/>
    </row>
    <row r="280" spans="1:11" s="1146" customFormat="1" ht="30" customHeight="1">
      <c r="A280" s="1132">
        <f>_xlfn.AGGREGATE(4,7,A$10:A279)+1</f>
        <v>270</v>
      </c>
      <c r="B280" s="1172" t="s">
        <v>2054</v>
      </c>
      <c r="C280" s="1149"/>
      <c r="D280" s="1233"/>
      <c r="E280" s="1058" t="str">
        <f>VLOOKUP(B280,TH.Q2!B202:E533,4,FALSE)</f>
        <v>NV Lái xe</v>
      </c>
      <c r="F280" s="1141">
        <v>4563927</v>
      </c>
      <c r="G280" s="1676">
        <f t="shared" si="8"/>
        <v>1.9503961538461538</v>
      </c>
      <c r="H280" s="1654">
        <v>2340000</v>
      </c>
      <c r="I280" s="1141">
        <f t="shared" si="9"/>
        <v>4563927</v>
      </c>
      <c r="J280" s="1142">
        <f>A280</f>
        <v>270</v>
      </c>
      <c r="K280" s="1143"/>
    </row>
    <row r="281" spans="1:11" s="1146" customFormat="1" ht="30" customHeight="1">
      <c r="A281" s="1132">
        <f>_xlfn.AGGREGATE(4,7,A$10:A280)+1</f>
        <v>271</v>
      </c>
      <c r="B281" s="1172" t="s">
        <v>2055</v>
      </c>
      <c r="C281" s="1149"/>
      <c r="D281" s="1233"/>
      <c r="E281" s="1058" t="str">
        <f>VLOOKUP(B281,TH.Q2!B203:E534,4,FALSE)</f>
        <v>NV Phuc vụ Phòng TC - HC - TH</v>
      </c>
      <c r="F281" s="1141">
        <v>2411564</v>
      </c>
      <c r="G281" s="1676">
        <f t="shared" si="8"/>
        <v>1.0305829059829059</v>
      </c>
      <c r="H281" s="1654">
        <v>2340000</v>
      </c>
      <c r="I281" s="1141">
        <f t="shared" si="9"/>
        <v>2411564</v>
      </c>
      <c r="J281" s="1142">
        <f>A281</f>
        <v>271</v>
      </c>
      <c r="K281" s="1143"/>
    </row>
    <row r="282" spans="1:11" s="1146" customFormat="1" ht="30" customHeight="1">
      <c r="A282" s="1132">
        <f>_xlfn.AGGREGATE(4,7,A$10:A281)+1</f>
        <v>272</v>
      </c>
      <c r="B282" s="1172" t="s">
        <v>2056</v>
      </c>
      <c r="C282" s="1149"/>
      <c r="D282" s="1233"/>
      <c r="E282" s="1675" t="str">
        <f>VLOOKUP(B282,TH.Q2!B204:E535,4,FALSE)</f>
        <v>Nhân viên phòng Thanh tra GD - Công tác SV</v>
      </c>
      <c r="F282" s="1141">
        <v>4739446</v>
      </c>
      <c r="G282" s="1676">
        <f t="shared" si="8"/>
        <v>2.0254042735042734</v>
      </c>
      <c r="H282" s="1654">
        <v>2340000</v>
      </c>
      <c r="I282" s="1141">
        <f t="shared" si="9"/>
        <v>4739446</v>
      </c>
      <c r="J282" s="1142">
        <f>A282</f>
        <v>272</v>
      </c>
      <c r="K282" s="1143"/>
    </row>
    <row r="283" spans="1:11" s="1146" customFormat="1" ht="30" customHeight="1">
      <c r="A283" s="1132">
        <f>_xlfn.AGGREGATE(4,7,A$10:A282)+1</f>
        <v>273</v>
      </c>
      <c r="B283" s="1172" t="s">
        <v>2057</v>
      </c>
      <c r="C283" s="1149"/>
      <c r="D283" s="1233"/>
      <c r="E283" s="1058" t="str">
        <f>VLOOKUP(B283,TH.Q2!B205:E536,4,FALSE)</f>
        <v>NV Phòng Tổ chức - Hành chính - Tổng hợp</v>
      </c>
      <c r="F283" s="1141">
        <v>7504957</v>
      </c>
      <c r="G283" s="1676">
        <f t="shared" si="8"/>
        <v>3.2072465811965811</v>
      </c>
      <c r="H283" s="1654">
        <v>2340000</v>
      </c>
      <c r="I283" s="1141">
        <f t="shared" si="9"/>
        <v>7504957</v>
      </c>
      <c r="J283" s="1142">
        <f>A283</f>
        <v>273</v>
      </c>
      <c r="K283" s="1143" t="s">
        <v>2433</v>
      </c>
    </row>
    <row r="284" spans="1:11" s="1146" customFormat="1" ht="30" customHeight="1">
      <c r="A284" s="1132">
        <f>_xlfn.AGGREGATE(4,7,A$10:A283)+1</f>
        <v>274</v>
      </c>
      <c r="B284" s="1172" t="s">
        <v>2059</v>
      </c>
      <c r="C284" s="1149"/>
      <c r="D284" s="1233"/>
      <c r="E284" s="1058" t="str">
        <f>VLOOKUP(B284,TH.Q2!B206:E537,4,FALSE)</f>
        <v>Nhân viên bảo vệ</v>
      </c>
      <c r="F284" s="1141">
        <v>2083200</v>
      </c>
      <c r="G284" s="1676">
        <f t="shared" si="8"/>
        <v>0.89025641025641022</v>
      </c>
      <c r="H284" s="1654">
        <v>2340000</v>
      </c>
      <c r="I284" s="1141">
        <f t="shared" si="9"/>
        <v>2083200</v>
      </c>
      <c r="J284" s="1142">
        <f>A284</f>
        <v>274</v>
      </c>
      <c r="K284" s="1143" t="s">
        <v>2434</v>
      </c>
    </row>
    <row r="285" spans="1:11" s="1146" customFormat="1" ht="30" customHeight="1">
      <c r="A285" s="1132">
        <f>_xlfn.AGGREGATE(4,7,A$10:A284)+1</f>
        <v>275</v>
      </c>
      <c r="B285" s="1172" t="s">
        <v>2060</v>
      </c>
      <c r="C285" s="1149"/>
      <c r="D285" s="1233"/>
      <c r="E285" s="1058" t="str">
        <f>VLOOKUP(B285,TH.Q2!B207:E538,4,FALSE)</f>
        <v>NV Phòng Tổ chức - Hành chính - Tổng hợp</v>
      </c>
      <c r="F285" s="1141">
        <v>6370346.416666666</v>
      </c>
      <c r="G285" s="1676">
        <f t="shared" si="8"/>
        <v>2.7223702635327633</v>
      </c>
      <c r="H285" s="1654">
        <v>2340000</v>
      </c>
      <c r="I285" s="1141">
        <f t="shared" si="9"/>
        <v>6370346.416666666</v>
      </c>
      <c r="J285" s="1142">
        <f>A285</f>
        <v>275</v>
      </c>
      <c r="K285" s="1143" t="s">
        <v>2435</v>
      </c>
    </row>
    <row r="286" spans="1:11" s="1146" customFormat="1" ht="30" customHeight="1">
      <c r="A286" s="1132">
        <f>_xlfn.AGGREGATE(4,7,A$10:A285)+1</f>
        <v>276</v>
      </c>
      <c r="B286" s="1172" t="s">
        <v>2062</v>
      </c>
      <c r="C286" s="1149"/>
      <c r="D286" s="1233"/>
      <c r="E286" s="1058" t="str">
        <f>VLOOKUP(B286,TH.Q2!B208:E539,4,FALSE)</f>
        <v>NV P. QT 
Dịch vụ</v>
      </c>
      <c r="F286" s="1141">
        <v>7247855</v>
      </c>
      <c r="G286" s="1676">
        <f t="shared" si="8"/>
        <v>3.0973739316239315</v>
      </c>
      <c r="H286" s="1654">
        <v>2340000</v>
      </c>
      <c r="I286" s="1141">
        <f t="shared" si="9"/>
        <v>7247855</v>
      </c>
      <c r="J286" s="1142">
        <f>A286</f>
        <v>276</v>
      </c>
      <c r="K286" s="1143"/>
    </row>
    <row r="287" spans="1:11" s="1146" customFormat="1" ht="30" customHeight="1">
      <c r="A287" s="1132">
        <f>_xlfn.AGGREGATE(4,7,A$10:A286)+1</f>
        <v>277</v>
      </c>
      <c r="B287" s="1172" t="s">
        <v>2065</v>
      </c>
      <c r="C287" s="1149"/>
      <c r="D287" s="1233"/>
      <c r="E287" s="1058" t="str">
        <f>VLOOKUP(B287,TH.Q2!B209:E540,4,FALSE)</f>
        <v>NV Phòng Quản trị - Dịch vụ</v>
      </c>
      <c r="F287" s="1141">
        <v>6472062</v>
      </c>
      <c r="G287" s="1676">
        <f t="shared" si="8"/>
        <v>2.7658384615384617</v>
      </c>
      <c r="H287" s="1654">
        <v>2340000</v>
      </c>
      <c r="I287" s="1141">
        <f t="shared" si="9"/>
        <v>6472062</v>
      </c>
      <c r="J287" s="1142">
        <f>A287</f>
        <v>277</v>
      </c>
      <c r="K287" s="1143"/>
    </row>
    <row r="288" spans="1:11" s="1146" customFormat="1" ht="30" customHeight="1">
      <c r="A288" s="1132">
        <f>_xlfn.AGGREGATE(4,7,A$10:A287)+1</f>
        <v>278</v>
      </c>
      <c r="B288" s="1172" t="s">
        <v>2067</v>
      </c>
      <c r="C288" s="1149"/>
      <c r="D288" s="1233"/>
      <c r="E288" s="1058" t="str">
        <f>VLOOKUP(B288,TH.Q2!B210:E541,4,FALSE)</f>
        <v>NV bảo trì</v>
      </c>
      <c r="F288" s="1141">
        <v>7755205</v>
      </c>
      <c r="G288" s="1676">
        <f t="shared" si="8"/>
        <v>3.3141901709401709</v>
      </c>
      <c r="H288" s="1654">
        <v>2340000</v>
      </c>
      <c r="I288" s="1141">
        <f t="shared" si="9"/>
        <v>7755205</v>
      </c>
      <c r="J288" s="1142">
        <f>A288</f>
        <v>278</v>
      </c>
      <c r="K288" s="1143"/>
    </row>
    <row r="289" spans="1:11" s="1146" customFormat="1" ht="30" customHeight="1">
      <c r="A289" s="1132">
        <f>_xlfn.AGGREGATE(4,7,A$10:A288)+1</f>
        <v>279</v>
      </c>
      <c r="B289" s="1172" t="s">
        <v>2069</v>
      </c>
      <c r="C289" s="1149"/>
      <c r="D289" s="1233"/>
      <c r="E289" s="1058" t="str">
        <f>VLOOKUP(B289,TH.Q2!B211:E542,4,FALSE)</f>
        <v>NV P. QT 
Dịch vụ</v>
      </c>
      <c r="F289" s="1141">
        <v>6123267.958333334</v>
      </c>
      <c r="G289" s="1676">
        <f t="shared" si="8"/>
        <v>2.6167811787749291</v>
      </c>
      <c r="H289" s="1654">
        <v>2340000</v>
      </c>
      <c r="I289" s="1141">
        <f t="shared" si="9"/>
        <v>6123267.958333334</v>
      </c>
      <c r="J289" s="1142">
        <f>A289</f>
        <v>279</v>
      </c>
      <c r="K289" s="1143" t="s">
        <v>2436</v>
      </c>
    </row>
    <row r="290" spans="1:11" s="1146" customFormat="1" ht="30" customHeight="1">
      <c r="A290" s="1132">
        <f>_xlfn.AGGREGATE(4,7,A$10:A289)+1</f>
        <v>280</v>
      </c>
      <c r="B290" s="1172" t="s">
        <v>2073</v>
      </c>
      <c r="C290" s="1149"/>
      <c r="D290" s="1233"/>
      <c r="E290" s="1058" t="str">
        <f>VLOOKUP(B290,TH.Q2!B212:E543,4,FALSE)</f>
        <v>NV P. QT 
Dịch vụ</v>
      </c>
      <c r="F290" s="1141">
        <v>6163869</v>
      </c>
      <c r="G290" s="1676">
        <f t="shared" si="8"/>
        <v>2.6341320512820512</v>
      </c>
      <c r="H290" s="1654">
        <v>2340000</v>
      </c>
      <c r="I290" s="1141">
        <f t="shared" si="9"/>
        <v>6163869</v>
      </c>
      <c r="J290" s="1142">
        <f>A290</f>
        <v>280</v>
      </c>
      <c r="K290" s="1143"/>
    </row>
    <row r="291" spans="1:11" s="1146" customFormat="1" ht="30" customHeight="1">
      <c r="A291" s="1132">
        <f>_xlfn.AGGREGATE(4,7,A$10:A290)+1</f>
        <v>281</v>
      </c>
      <c r="B291" s="1172" t="s">
        <v>2075</v>
      </c>
      <c r="C291" s="1149"/>
      <c r="D291" s="1233"/>
      <c r="E291" s="1058" t="str">
        <f>VLOOKUP(B291,TH.Q2!B213:E544,4,FALSE)</f>
        <v>NV Phục vụ</v>
      </c>
      <c r="F291" s="1141">
        <v>4156809</v>
      </c>
      <c r="G291" s="1676">
        <f t="shared" si="8"/>
        <v>1.7764141025641025</v>
      </c>
      <c r="H291" s="1654">
        <v>2340000</v>
      </c>
      <c r="I291" s="1141">
        <f t="shared" si="9"/>
        <v>4156809</v>
      </c>
      <c r="J291" s="1142">
        <f>A291</f>
        <v>281</v>
      </c>
      <c r="K291" s="1143"/>
    </row>
    <row r="292" spans="1:11" s="1146" customFormat="1" ht="30" customHeight="1">
      <c r="A292" s="1132">
        <f>_xlfn.AGGREGATE(4,7,A$10:A291)+1</f>
        <v>282</v>
      </c>
      <c r="B292" s="1172" t="s">
        <v>2077</v>
      </c>
      <c r="C292" s="1149"/>
      <c r="D292" s="1233"/>
      <c r="E292" s="1058" t="str">
        <f>VLOOKUP(B292,TH.Q2!B214:E545,4,FALSE)</f>
        <v>NV Phục vụ</v>
      </c>
      <c r="F292" s="1141">
        <v>1913940</v>
      </c>
      <c r="G292" s="1676">
        <f t="shared" si="8"/>
        <v>0.81792307692307697</v>
      </c>
      <c r="H292" s="1654">
        <v>2340000</v>
      </c>
      <c r="I292" s="1141">
        <f t="shared" si="9"/>
        <v>1913940.0000000002</v>
      </c>
      <c r="J292" s="1142">
        <f>A292</f>
        <v>282</v>
      </c>
      <c r="K292" s="1143"/>
    </row>
    <row r="293" spans="1:11" s="1146" customFormat="1" ht="30" customHeight="1">
      <c r="A293" s="1132">
        <f>_xlfn.AGGREGATE(4,7,A$10:A292)+1</f>
        <v>283</v>
      </c>
      <c r="B293" s="1172" t="s">
        <v>2080</v>
      </c>
      <c r="C293" s="1149"/>
      <c r="D293" s="1233"/>
      <c r="E293" s="1058" t="str">
        <f>VLOOKUP(B293,TH.Q2!B215:E546,4,FALSE)</f>
        <v>NV Phục vụ</v>
      </c>
      <c r="F293" s="1141">
        <v>1913940</v>
      </c>
      <c r="G293" s="1676">
        <f t="shared" si="8"/>
        <v>0.81792307692307697</v>
      </c>
      <c r="H293" s="1654">
        <v>2340000</v>
      </c>
      <c r="I293" s="1141">
        <f t="shared" si="9"/>
        <v>1913940.0000000002</v>
      </c>
      <c r="J293" s="1142">
        <f>A293</f>
        <v>283</v>
      </c>
      <c r="K293" s="1143"/>
    </row>
    <row r="294" spans="1:11" s="1146" customFormat="1" ht="30" customHeight="1">
      <c r="A294" s="1132">
        <f>_xlfn.AGGREGATE(4,7,A$10:A293)+1</f>
        <v>284</v>
      </c>
      <c r="B294" s="1172" t="s">
        <v>2082</v>
      </c>
      <c r="C294" s="1149"/>
      <c r="D294" s="1233"/>
      <c r="E294" s="1058" t="str">
        <f>VLOOKUP(B294,TH.Q2!B216:E547,4,FALSE)</f>
        <v>NV Phục vụ</v>
      </c>
      <c r="F294" s="1141">
        <v>1754445</v>
      </c>
      <c r="G294" s="1676">
        <f t="shared" si="8"/>
        <v>0.7497628205128205</v>
      </c>
      <c r="H294" s="1654">
        <v>2340000</v>
      </c>
      <c r="I294" s="1141">
        <f t="shared" si="9"/>
        <v>1754445</v>
      </c>
      <c r="J294" s="1142">
        <f>A294</f>
        <v>284</v>
      </c>
      <c r="K294" s="1143" t="s">
        <v>2437</v>
      </c>
    </row>
    <row r="295" spans="1:11" s="1146" customFormat="1" ht="30" customHeight="1">
      <c r="A295" s="1132">
        <f>_xlfn.AGGREGATE(4,7,A$10:A294)+1</f>
        <v>285</v>
      </c>
      <c r="B295" s="1172" t="s">
        <v>2084</v>
      </c>
      <c r="C295" s="1149"/>
      <c r="D295" s="1233"/>
      <c r="E295" s="1058" t="str">
        <f>VLOOKUP(B295,TH.Q2!B217:E548,4,FALSE)</f>
        <v>NV Phục vụ</v>
      </c>
      <c r="F295" s="1141">
        <v>1754445</v>
      </c>
      <c r="G295" s="1676">
        <f t="shared" si="8"/>
        <v>0.7497628205128205</v>
      </c>
      <c r="H295" s="1654">
        <v>2340000</v>
      </c>
      <c r="I295" s="1141">
        <f t="shared" si="9"/>
        <v>1754445</v>
      </c>
      <c r="J295" s="1142">
        <f>A295</f>
        <v>285</v>
      </c>
      <c r="K295" s="1143" t="s">
        <v>2437</v>
      </c>
    </row>
    <row r="296" spans="1:11" s="1146" customFormat="1" ht="30" customHeight="1">
      <c r="A296" s="1132">
        <f>_xlfn.AGGREGATE(4,7,A$10:A295)+1</f>
        <v>286</v>
      </c>
      <c r="B296" s="1172" t="s">
        <v>2086</v>
      </c>
      <c r="C296" s="1149"/>
      <c r="D296" s="1233"/>
      <c r="E296" s="1058" t="str">
        <f>VLOOKUP(B296,TH.Q2!B218:E549,4,FALSE)</f>
        <v>Nhân viên phòng Quản trị - Dịch vụ</v>
      </c>
      <c r="F296" s="1141">
        <v>2296728</v>
      </c>
      <c r="G296" s="1676">
        <f t="shared" si="8"/>
        <v>0.9815076923076923</v>
      </c>
      <c r="H296" s="1654">
        <v>2340000</v>
      </c>
      <c r="I296" s="1141">
        <f t="shared" si="9"/>
        <v>2296728</v>
      </c>
      <c r="J296" s="1142">
        <f>A296</f>
        <v>286</v>
      </c>
      <c r="K296" s="1143"/>
    </row>
    <row r="297" spans="1:11" s="1146" customFormat="1" ht="30" customHeight="1">
      <c r="A297" s="1132">
        <f>_xlfn.AGGREGATE(4,7,A$10:A296)+1</f>
        <v>287</v>
      </c>
      <c r="B297" s="1172" t="s">
        <v>2087</v>
      </c>
      <c r="C297" s="1149"/>
      <c r="D297" s="1233"/>
      <c r="E297" s="1058" t="str">
        <f>VLOOKUP(B297,TH.Q2!B219:E550,4,FALSE)</f>
        <v>Nhân viên phòng Quản trị - Dịch vụ</v>
      </c>
      <c r="F297" s="1141">
        <v>1913940</v>
      </c>
      <c r="G297" s="1676">
        <f t="shared" si="8"/>
        <v>0.81792307692307697</v>
      </c>
      <c r="H297" s="1654">
        <v>2340000</v>
      </c>
      <c r="I297" s="1141">
        <f t="shared" si="9"/>
        <v>1913940.0000000002</v>
      </c>
      <c r="J297" s="1142">
        <f>A297</f>
        <v>287</v>
      </c>
      <c r="K297" s="1143"/>
    </row>
    <row r="298" spans="1:11" s="1146" customFormat="1" ht="30" customHeight="1">
      <c r="A298" s="1132">
        <f>_xlfn.AGGREGATE(4,7,A$10:A297)+1</f>
        <v>288</v>
      </c>
      <c r="B298" s="1172" t="s">
        <v>2245</v>
      </c>
      <c r="C298" s="1149"/>
      <c r="D298" s="1233"/>
      <c r="E298" s="1058" t="str">
        <f>VLOOKUP(B298,TH.Q2!B220:E551,4,FALSE)</f>
        <v>Nhân viên phòng Quản trị - Dịch vụ</v>
      </c>
      <c r="F298" s="1141">
        <v>4139616</v>
      </c>
      <c r="G298" s="1676">
        <f t="shared" si="8"/>
        <v>1.7690666666666666</v>
      </c>
      <c r="H298" s="1654">
        <v>2340000</v>
      </c>
      <c r="I298" s="1141">
        <f t="shared" si="9"/>
        <v>4139615.9999999995</v>
      </c>
      <c r="J298" s="1142">
        <f>A298</f>
        <v>288</v>
      </c>
      <c r="K298" s="1143"/>
    </row>
    <row r="299" spans="1:11" s="1146" customFormat="1" ht="30" customHeight="1">
      <c r="A299" s="1132">
        <f>_xlfn.AGGREGATE(4,7,A$10:A298)+1</f>
        <v>289</v>
      </c>
      <c r="B299" s="1172" t="s">
        <v>2253</v>
      </c>
      <c r="C299" s="1149"/>
      <c r="D299" s="1233"/>
      <c r="E299" s="1058" t="str">
        <f>VLOOKUP(B299,TH.Q2!B221:E552,4,FALSE)</f>
        <v>Nhân viên phòng Quản trị - Dịch vụ</v>
      </c>
      <c r="F299" s="1141">
        <v>4139616</v>
      </c>
      <c r="G299" s="1676">
        <f t="shared" si="8"/>
        <v>1.7690666666666666</v>
      </c>
      <c r="H299" s="1654">
        <v>2340000</v>
      </c>
      <c r="I299" s="1141">
        <f t="shared" si="9"/>
        <v>4139615.9999999995</v>
      </c>
      <c r="J299" s="1142">
        <f>A299</f>
        <v>289</v>
      </c>
      <c r="K299" s="1143"/>
    </row>
    <row r="300" spans="1:11" s="1146" customFormat="1" ht="30" customHeight="1">
      <c r="A300" s="1132">
        <f>_xlfn.AGGREGATE(4,7,A$10:A299)+1</f>
        <v>290</v>
      </c>
      <c r="B300" s="1172" t="s">
        <v>2088</v>
      </c>
      <c r="C300" s="1149"/>
      <c r="D300" s="1233"/>
      <c r="E300" s="1058" t="str">
        <f>VLOOKUP(B300,TH.Q2!B222:E553,4,FALSE)</f>
        <v>Nhân viên phòng Quản trị - Dịch vụ</v>
      </c>
      <c r="F300" s="1141">
        <v>2916480</v>
      </c>
      <c r="G300" s="1676">
        <f t="shared" si="8"/>
        <v>1.2463589743589745</v>
      </c>
      <c r="H300" s="1654">
        <v>2340000</v>
      </c>
      <c r="I300" s="1141">
        <f t="shared" si="9"/>
        <v>2916480.0000000005</v>
      </c>
      <c r="J300" s="1142">
        <f>A300</f>
        <v>290</v>
      </c>
      <c r="K300" s="1143"/>
    </row>
    <row r="301" spans="1:11" s="1146" customFormat="1" ht="30" customHeight="1">
      <c r="A301" s="1132">
        <f>_xlfn.AGGREGATE(4,7,A$10:A300)+1</f>
        <v>291</v>
      </c>
      <c r="B301" s="1172" t="s">
        <v>2089</v>
      </c>
      <c r="C301" s="1149"/>
      <c r="D301" s="1233"/>
      <c r="E301" s="1058" t="str">
        <f>VLOOKUP(B301,TH.Q2!B223:E554,4,FALSE)</f>
        <v>Nhân viên Y tế</v>
      </c>
      <c r="F301" s="1141">
        <v>6116099</v>
      </c>
      <c r="G301" s="1676">
        <f t="shared" si="8"/>
        <v>2.6137175213675214</v>
      </c>
      <c r="H301" s="1654">
        <v>2340000</v>
      </c>
      <c r="I301" s="1141">
        <f t="shared" si="9"/>
        <v>6116099</v>
      </c>
      <c r="J301" s="1142">
        <f>A301</f>
        <v>291</v>
      </c>
      <c r="K301" s="1143"/>
    </row>
    <row r="302" spans="1:11" s="1146" customFormat="1" ht="30" customHeight="1">
      <c r="A302" s="1132">
        <f>_xlfn.AGGREGATE(4,7,A$10:A301)+1</f>
        <v>292</v>
      </c>
      <c r="B302" s="1172" t="s">
        <v>2091</v>
      </c>
      <c r="C302" s="1149"/>
      <c r="D302" s="1233"/>
      <c r="E302" s="1058" t="str">
        <f>VLOOKUP(B302,TH.Q2!B224:E555,4,FALSE)</f>
        <v>Nhân viên Ký túc xá</v>
      </c>
      <c r="F302" s="1141">
        <v>1822800</v>
      </c>
      <c r="G302" s="1676">
        <f t="shared" si="8"/>
        <v>0.77897435897435896</v>
      </c>
      <c r="H302" s="1654">
        <v>2340000</v>
      </c>
      <c r="I302" s="1141">
        <f t="shared" si="9"/>
        <v>1822800</v>
      </c>
      <c r="J302" s="1142">
        <f>A302</f>
        <v>292</v>
      </c>
      <c r="K302" s="1143"/>
    </row>
    <row r="303" spans="1:11" s="1146" customFormat="1" ht="30" customHeight="1">
      <c r="A303" s="1132">
        <f>_xlfn.AGGREGATE(4,7,A$10:A302)+1</f>
        <v>293</v>
      </c>
      <c r="B303" s="1172" t="s">
        <v>2092</v>
      </c>
      <c r="C303" s="1149"/>
      <c r="D303" s="1233"/>
      <c r="E303" s="1058" t="str">
        <f>VLOOKUP(B303,TH.Q2!B225:E556,4,FALSE)</f>
        <v>Nhân viên</v>
      </c>
      <c r="F303" s="1141">
        <v>13922658</v>
      </c>
      <c r="G303" s="1676">
        <f t="shared" si="8"/>
        <v>5.9498538461538457</v>
      </c>
      <c r="H303" s="1654">
        <v>2340000</v>
      </c>
      <c r="I303" s="1141">
        <f t="shared" si="9"/>
        <v>13922657.999999998</v>
      </c>
      <c r="J303" s="1142">
        <f>A303</f>
        <v>293</v>
      </c>
      <c r="K303" s="1143"/>
    </row>
    <row r="304" spans="1:11" s="1146" customFormat="1" ht="30" customHeight="1">
      <c r="A304" s="1132">
        <f>_xlfn.AGGREGATE(4,7,A$10:A303)+1</f>
        <v>294</v>
      </c>
      <c r="B304" s="1172" t="s">
        <v>2094</v>
      </c>
      <c r="C304" s="1149"/>
      <c r="D304" s="1233"/>
      <c r="E304" s="1058" t="str">
        <f>VLOOKUP(B304,TH.Q2!B226:E557,4,FALSE)</f>
        <v>NV Kế toán</v>
      </c>
      <c r="F304" s="1141">
        <v>8283263</v>
      </c>
      <c r="G304" s="1676">
        <f t="shared" si="8"/>
        <v>3.539855982905983</v>
      </c>
      <c r="H304" s="1654">
        <v>2340000</v>
      </c>
      <c r="I304" s="1141">
        <f t="shared" si="9"/>
        <v>8283263</v>
      </c>
      <c r="J304" s="1142">
        <f>A304</f>
        <v>294</v>
      </c>
      <c r="K304" s="1143"/>
    </row>
    <row r="305" spans="1:11" s="1146" customFormat="1" ht="30" customHeight="1">
      <c r="A305" s="1132">
        <f>_xlfn.AGGREGATE(4,7,A$10:A304)+1</f>
        <v>295</v>
      </c>
      <c r="B305" s="1172" t="s">
        <v>2098</v>
      </c>
      <c r="C305" s="1149"/>
      <c r="D305" s="1233"/>
      <c r="E305" s="1058" t="str">
        <f>VLOOKUP(B305,TH.Q2!B227:E558,4,FALSE)</f>
        <v>NV Kế toán</v>
      </c>
      <c r="F305" s="1141">
        <v>5529354</v>
      </c>
      <c r="G305" s="1676">
        <f t="shared" si="8"/>
        <v>2.362971794871795</v>
      </c>
      <c r="H305" s="1654">
        <v>2340000</v>
      </c>
      <c r="I305" s="1141">
        <f t="shared" si="9"/>
        <v>5529354</v>
      </c>
      <c r="J305" s="1142">
        <f>A305</f>
        <v>295</v>
      </c>
      <c r="K305" s="1143"/>
    </row>
    <row r="306" spans="1:11" s="1146" customFormat="1" ht="30" customHeight="1">
      <c r="A306" s="1132">
        <f>_xlfn.AGGREGATE(4,7,A$10:A305)+1</f>
        <v>296</v>
      </c>
      <c r="B306" s="1172" t="s">
        <v>2099</v>
      </c>
      <c r="C306" s="1149"/>
      <c r="D306" s="1233"/>
      <c r="E306" s="1058" t="str">
        <f>VLOOKUP(B306,TH.Q2!B228:E559,4,FALSE)</f>
        <v>NV Kế toán</v>
      </c>
      <c r="F306" s="1141">
        <v>5529354</v>
      </c>
      <c r="G306" s="1676">
        <f t="shared" si="8"/>
        <v>2.362971794871795</v>
      </c>
      <c r="H306" s="1654">
        <v>2340000</v>
      </c>
      <c r="I306" s="1141">
        <f t="shared" si="9"/>
        <v>5529354</v>
      </c>
      <c r="J306" s="1142">
        <f>A306</f>
        <v>296</v>
      </c>
      <c r="K306" s="1143"/>
    </row>
    <row r="307" spans="1:11" s="1146" customFormat="1" ht="30" customHeight="1">
      <c r="A307" s="1132">
        <f>_xlfn.AGGREGATE(4,7,A$10:A306)+1</f>
        <v>297</v>
      </c>
      <c r="B307" s="1172" t="s">
        <v>2100</v>
      </c>
      <c r="C307" s="1149"/>
      <c r="D307" s="1233"/>
      <c r="E307" s="1058" t="str">
        <f>VLOOKUP(B307,TH.Q2!B229:E560,4,FALSE)</f>
        <v>Nhân viên</v>
      </c>
      <c r="F307" s="1141">
        <v>5927193</v>
      </c>
      <c r="G307" s="1676">
        <f t="shared" si="8"/>
        <v>2.5329884615384617</v>
      </c>
      <c r="H307" s="1654">
        <v>2340000</v>
      </c>
      <c r="I307" s="1141">
        <f t="shared" si="9"/>
        <v>5927193</v>
      </c>
      <c r="J307" s="1142">
        <f>A307</f>
        <v>297</v>
      </c>
      <c r="K307" s="1143"/>
    </row>
    <row r="308" spans="1:11" s="1146" customFormat="1" ht="30" customHeight="1">
      <c r="A308" s="1132">
        <f>_xlfn.AGGREGATE(4,7,A$10:A307)+1</f>
        <v>298</v>
      </c>
      <c r="B308" s="1172" t="s">
        <v>2102</v>
      </c>
      <c r="C308" s="1149"/>
      <c r="D308" s="1233"/>
      <c r="E308" s="1058" t="str">
        <f>VLOOKUP(B308,TH.Q2!B230:E561,4,FALSE)</f>
        <v>NV Phòng Quản trị - Dịch vụ</v>
      </c>
      <c r="F308" s="1141">
        <v>4402763</v>
      </c>
      <c r="G308" s="1676">
        <f t="shared" si="8"/>
        <v>1.8815226495726496</v>
      </c>
      <c r="H308" s="1654">
        <v>2340000</v>
      </c>
      <c r="I308" s="1141">
        <f t="shared" si="9"/>
        <v>4402763</v>
      </c>
      <c r="J308" s="1142">
        <f>A308</f>
        <v>298</v>
      </c>
      <c r="K308" s="1143"/>
    </row>
    <row r="309" spans="1:11" s="1146" customFormat="1" ht="30" customHeight="1">
      <c r="A309" s="1132">
        <f>_xlfn.AGGREGATE(4,7,A$10:A308)+1</f>
        <v>299</v>
      </c>
      <c r="B309" s="1172" t="s">
        <v>2106</v>
      </c>
      <c r="C309" s="1149"/>
      <c r="D309" s="1233"/>
      <c r="E309" s="1675" t="str">
        <f>VLOOKUP(B309,TH.Q2!B231:E562,4,FALSE)</f>
        <v>Nhân viên phòng Thanh tra GD - Quan hệ DN</v>
      </c>
      <c r="F309" s="1141">
        <v>4843039.666666666</v>
      </c>
      <c r="G309" s="1676">
        <f t="shared" si="8"/>
        <v>2.0696750712250709</v>
      </c>
      <c r="H309" s="1654">
        <v>2340000</v>
      </c>
      <c r="I309" s="1141">
        <f t="shared" si="9"/>
        <v>4843039.666666666</v>
      </c>
      <c r="J309" s="1142">
        <f>A309</f>
        <v>299</v>
      </c>
      <c r="K309" s="1143" t="s">
        <v>2438</v>
      </c>
    </row>
    <row r="310" spans="1:11" s="1146" customFormat="1" ht="30" customHeight="1">
      <c r="A310" s="1132">
        <f>_xlfn.AGGREGATE(4,7,A$10:A309)+1</f>
        <v>300</v>
      </c>
      <c r="B310" s="1172" t="s">
        <v>2108</v>
      </c>
      <c r="C310" s="1149"/>
      <c r="D310" s="1233"/>
      <c r="E310" s="1675" t="str">
        <f>VLOOKUP(B310,TH.Q2!B232:E563,4,FALSE)</f>
        <v>Nhân viên phòng Thanh tra GD - Quan hệ DN</v>
      </c>
      <c r="F310" s="1141">
        <v>3784973.916666667</v>
      </c>
      <c r="G310" s="1676">
        <f t="shared" si="8"/>
        <v>1.617510220797721</v>
      </c>
      <c r="H310" s="1654">
        <v>2340000</v>
      </c>
      <c r="I310" s="1141">
        <f t="shared" si="9"/>
        <v>3784973.916666667</v>
      </c>
      <c r="J310" s="1142">
        <f>A310</f>
        <v>300</v>
      </c>
      <c r="K310" s="1143" t="s">
        <v>2439</v>
      </c>
    </row>
    <row r="311" spans="1:11" s="1146" customFormat="1" ht="30" customHeight="1">
      <c r="A311" s="1132">
        <f>_xlfn.AGGREGATE(4,7,A$10:A310)+1</f>
        <v>301</v>
      </c>
      <c r="B311" s="1172" t="s">
        <v>2109</v>
      </c>
      <c r="C311" s="1149"/>
      <c r="D311" s="1233"/>
      <c r="E311" s="1675" t="str">
        <f>VLOOKUP(B311,TH.Q2!B233:E564,4,FALSE)</f>
        <v>Nhân viên phòng Thanh tra GD - Quan hệ DN</v>
      </c>
      <c r="F311" s="1141">
        <v>0</v>
      </c>
      <c r="G311" s="1676">
        <f t="shared" si="8"/>
        <v>0</v>
      </c>
      <c r="H311" s="1654">
        <v>2340000</v>
      </c>
      <c r="I311" s="1141">
        <f t="shared" si="9"/>
        <v>0</v>
      </c>
      <c r="J311" s="1142">
        <f>A311</f>
        <v>301</v>
      </c>
      <c r="K311" s="1143" t="s">
        <v>2440</v>
      </c>
    </row>
    <row r="312" spans="1:11" s="1146" customFormat="1" ht="30" customHeight="1">
      <c r="A312" s="1132">
        <f>_xlfn.AGGREGATE(4,7,A$10:A311)+1</f>
        <v>302</v>
      </c>
      <c r="B312" s="1172" t="s">
        <v>2110</v>
      </c>
      <c r="C312" s="1149"/>
      <c r="D312" s="1233"/>
      <c r="E312" s="1675" t="str">
        <f>VLOOKUP(B312,TH.Q2!B234:E565,4,FALSE)</f>
        <v>Nhân viên phòng Quản trị - Dịch vụ</v>
      </c>
      <c r="F312" s="1141">
        <v>3993436</v>
      </c>
      <c r="G312" s="1676">
        <f t="shared" si="8"/>
        <v>1.7065965811965811</v>
      </c>
      <c r="H312" s="1654">
        <v>2340000</v>
      </c>
      <c r="I312" s="1141">
        <f t="shared" si="9"/>
        <v>3993435.9999999995</v>
      </c>
      <c r="J312" s="1142">
        <f>A312</f>
        <v>302</v>
      </c>
      <c r="K312" s="1143" t="s">
        <v>2441</v>
      </c>
    </row>
    <row r="313" spans="1:11" s="1146" customFormat="1" ht="30" customHeight="1">
      <c r="A313" s="1132">
        <f>_xlfn.AGGREGATE(4,7,A$10:A312)+1</f>
        <v>303</v>
      </c>
      <c r="B313" s="1172" t="s">
        <v>2113</v>
      </c>
      <c r="C313" s="1149"/>
      <c r="D313" s="1233"/>
      <c r="E313" s="1675" t="str">
        <f>VLOOKUP(B313,TH.Q2!B235:E566,4,FALSE)</f>
        <v>Nhân viên phòng Thanh tra GD - Quan hệ DN</v>
      </c>
      <c r="F313" s="1141">
        <v>4739446</v>
      </c>
      <c r="G313" s="1676">
        <f t="shared" si="8"/>
        <v>2.0254042735042734</v>
      </c>
      <c r="H313" s="1654">
        <v>2340000</v>
      </c>
      <c r="I313" s="1141">
        <f t="shared" si="9"/>
        <v>4739446</v>
      </c>
      <c r="J313" s="1142">
        <f>A313</f>
        <v>303</v>
      </c>
      <c r="K313" s="1143"/>
    </row>
    <row r="314" spans="1:11" s="1146" customFormat="1" ht="30" customHeight="1">
      <c r="A314" s="1132">
        <f>_xlfn.AGGREGATE(4,7,A$10:A313)+1</f>
        <v>304</v>
      </c>
      <c r="B314" s="1172" t="s">
        <v>2114</v>
      </c>
      <c r="C314" s="1149"/>
      <c r="D314" s="1233"/>
      <c r="E314" s="1058" t="str">
        <f>VLOOKUP(B314,TH.Q2!B236:E567,4,FALSE)</f>
        <v>Nhân viên phòng KHCN &amp; HTQT</v>
      </c>
      <c r="F314" s="1141">
        <v>7592991.083333333</v>
      </c>
      <c r="G314" s="1676">
        <f t="shared" si="8"/>
        <v>3.2448679843304844</v>
      </c>
      <c r="H314" s="1654">
        <v>2340000</v>
      </c>
      <c r="I314" s="1141">
        <f t="shared" si="9"/>
        <v>7592991.083333334</v>
      </c>
      <c r="J314" s="1142">
        <f>A314</f>
        <v>304</v>
      </c>
      <c r="K314" s="1143" t="s">
        <v>2442</v>
      </c>
    </row>
    <row r="315" spans="1:11" s="1146" customFormat="1" ht="30" customHeight="1">
      <c r="A315" s="1132">
        <f>_xlfn.AGGREGATE(4,7,A$10:A314)+1</f>
        <v>305</v>
      </c>
      <c r="B315" s="1172" t="s">
        <v>2117</v>
      </c>
      <c r="C315" s="1149"/>
      <c r="D315" s="1233"/>
      <c r="E315" s="1058" t="str">
        <f>VLOOKUP(B315,TH.Q2!B237:E568,4,FALSE)</f>
        <v>Nhân viên phòng KHCN &amp; HTQT</v>
      </c>
      <c r="F315" s="1141">
        <v>4739446</v>
      </c>
      <c r="G315" s="1676">
        <f t="shared" si="8"/>
        <v>2.0254042735042734</v>
      </c>
      <c r="H315" s="1654">
        <v>2340000</v>
      </c>
      <c r="I315" s="1141">
        <f t="shared" si="9"/>
        <v>4739446</v>
      </c>
      <c r="J315" s="1142">
        <f>A315</f>
        <v>305</v>
      </c>
      <c r="K315" s="1143"/>
    </row>
    <row r="316" spans="1:11" s="1146" customFormat="1" ht="30" customHeight="1">
      <c r="A316" s="1132">
        <f>_xlfn.AGGREGATE(4,7,A$10:A315)+1</f>
        <v>306</v>
      </c>
      <c r="B316" s="1172" t="s">
        <v>2119</v>
      </c>
      <c r="C316" s="1149"/>
      <c r="D316" s="1233"/>
      <c r="E316" s="1675" t="str">
        <f>VLOOKUP(B316,TH.Q2!B238:E569,4,FALSE)</f>
        <v>Nhân viên phòng Thanh tra GD - Quan hệ DN</v>
      </c>
      <c r="F316" s="1141">
        <v>5529354</v>
      </c>
      <c r="G316" s="1676">
        <f t="shared" si="8"/>
        <v>2.362971794871795</v>
      </c>
      <c r="H316" s="1654">
        <v>2340000</v>
      </c>
      <c r="I316" s="1141">
        <f t="shared" si="9"/>
        <v>5529354</v>
      </c>
      <c r="J316" s="1142">
        <f>A316</f>
        <v>306</v>
      </c>
      <c r="K316" s="1143"/>
    </row>
    <row r="317" spans="1:11" s="1146" customFormat="1" ht="30" customHeight="1">
      <c r="A317" s="1132">
        <f>_xlfn.AGGREGATE(4,7,A$10:A316)+1</f>
        <v>307</v>
      </c>
      <c r="B317" s="1172" t="s">
        <v>2123</v>
      </c>
      <c r="C317" s="1149"/>
      <c r="D317" s="1233"/>
      <c r="E317" s="1675" t="str">
        <f>VLOOKUP(B317,TH.Q2!B239:E570,4,FALSE)</f>
        <v>Nhân viên phòng Thanh tra GD - Quan hệ DN</v>
      </c>
      <c r="F317" s="1141">
        <v>4402763</v>
      </c>
      <c r="G317" s="1676">
        <f t="shared" si="8"/>
        <v>1.8815226495726496</v>
      </c>
      <c r="H317" s="1654">
        <v>2340000</v>
      </c>
      <c r="I317" s="1141">
        <f t="shared" si="9"/>
        <v>4402763</v>
      </c>
      <c r="J317" s="1142">
        <f>A317</f>
        <v>307</v>
      </c>
      <c r="K317" s="1143"/>
    </row>
    <row r="318" spans="1:11" s="1146" customFormat="1" ht="30" customHeight="1">
      <c r="A318" s="1132">
        <f>_xlfn.AGGREGATE(4,7,A$10:A317)+1</f>
        <v>308</v>
      </c>
      <c r="B318" s="1172" t="s">
        <v>2125</v>
      </c>
      <c r="C318" s="1149"/>
      <c r="D318" s="1233"/>
      <c r="E318" s="1058" t="str">
        <f>VLOOKUP(B318,TH.Q2!B240:E571,4,FALSE)</f>
        <v>NV Phòng Tuyển sinh - Đào tạo</v>
      </c>
      <c r="F318" s="1141">
        <v>7741368</v>
      </c>
      <c r="G318" s="1676">
        <f t="shared" si="8"/>
        <v>3.3082769230769231</v>
      </c>
      <c r="H318" s="1654">
        <v>2340000</v>
      </c>
      <c r="I318" s="1141">
        <f t="shared" si="9"/>
        <v>7741368</v>
      </c>
      <c r="J318" s="1142">
        <f>A318</f>
        <v>308</v>
      </c>
      <c r="K318" s="1143"/>
    </row>
    <row r="319" spans="1:11" s="1146" customFormat="1" ht="30" customHeight="1">
      <c r="A319" s="1132">
        <f>_xlfn.AGGREGATE(4,7,A$10:A318)+1</f>
        <v>309</v>
      </c>
      <c r="B319" s="1172" t="s">
        <v>2128</v>
      </c>
      <c r="C319" s="1149"/>
      <c r="D319" s="1233"/>
      <c r="E319" s="1058" t="str">
        <f>VLOOKUP(B319,TH.Q2!B241:E572,4,FALSE)</f>
        <v>NV phòng TS - Đào tạo</v>
      </c>
      <c r="F319" s="1141">
        <v>6319262</v>
      </c>
      <c r="G319" s="1676">
        <f t="shared" si="8"/>
        <v>2.7005393162393161</v>
      </c>
      <c r="H319" s="1654">
        <v>2340000</v>
      </c>
      <c r="I319" s="1141">
        <f t="shared" si="9"/>
        <v>6319262</v>
      </c>
      <c r="J319" s="1142">
        <f>A319</f>
        <v>309</v>
      </c>
      <c r="K319" s="1143"/>
    </row>
    <row r="320" spans="1:11" s="1146" customFormat="1" ht="30" customHeight="1">
      <c r="A320" s="1132">
        <f>_xlfn.AGGREGATE(4,7,A$10:A319)+1</f>
        <v>310</v>
      </c>
      <c r="B320" s="1172" t="s">
        <v>2131</v>
      </c>
      <c r="C320" s="1149"/>
      <c r="D320" s="1233"/>
      <c r="E320" s="1058" t="str">
        <f>VLOOKUP(B320,TH.Q2!B242:E573,4,FALSE)</f>
        <v>NV phòng TS - Đào tạo</v>
      </c>
      <c r="F320" s="1141">
        <v>8283263</v>
      </c>
      <c r="G320" s="1676">
        <f t="shared" si="8"/>
        <v>3.539855982905983</v>
      </c>
      <c r="H320" s="1654">
        <v>2340000</v>
      </c>
      <c r="I320" s="1141">
        <f t="shared" si="9"/>
        <v>8283263</v>
      </c>
      <c r="J320" s="1142">
        <f>A320</f>
        <v>310</v>
      </c>
      <c r="K320" s="1143"/>
    </row>
    <row r="321" spans="1:11" s="1146" customFormat="1" ht="30" customHeight="1">
      <c r="A321" s="1132">
        <f>_xlfn.AGGREGATE(4,7,A$10:A320)+1</f>
        <v>311</v>
      </c>
      <c r="B321" s="1172" t="s">
        <v>2134</v>
      </c>
      <c r="C321" s="1149"/>
      <c r="D321" s="1233"/>
      <c r="E321" s="1058" t="str">
        <f>VLOOKUP(B321,TH.Q2!B243:E574,4,FALSE)</f>
        <v>NV phòng TS - Đào tạo</v>
      </c>
      <c r="F321" s="1141">
        <v>9483506</v>
      </c>
      <c r="G321" s="1676">
        <f t="shared" si="8"/>
        <v>4.0527803418803421</v>
      </c>
      <c r="H321" s="1654">
        <v>2340000</v>
      </c>
      <c r="I321" s="1141">
        <f t="shared" si="9"/>
        <v>9483506</v>
      </c>
      <c r="J321" s="1142">
        <f>A321</f>
        <v>311</v>
      </c>
      <c r="K321" s="1143"/>
    </row>
    <row r="322" spans="1:11" s="1146" customFormat="1" ht="30" customHeight="1">
      <c r="A322" s="1132">
        <f>_xlfn.AGGREGATE(4,7,A$10:A321)+1</f>
        <v>312</v>
      </c>
      <c r="B322" s="1172" t="s">
        <v>2137</v>
      </c>
      <c r="C322" s="1149"/>
      <c r="D322" s="1233"/>
      <c r="E322" s="1058" t="str">
        <f>VLOOKUP(B322,TH.Q2!B244:E575,4,FALSE)</f>
        <v>NV phòng TS - Đào tạo</v>
      </c>
      <c r="F322" s="1141">
        <v>5413697.666666666</v>
      </c>
      <c r="G322" s="1676">
        <f t="shared" si="8"/>
        <v>2.3135460113960113</v>
      </c>
      <c r="H322" s="1654">
        <v>2340000</v>
      </c>
      <c r="I322" s="1141">
        <f t="shared" si="9"/>
        <v>5413697.666666667</v>
      </c>
      <c r="J322" s="1142">
        <f>A322</f>
        <v>312</v>
      </c>
      <c r="K322" s="1143" t="s">
        <v>2443</v>
      </c>
    </row>
    <row r="323" spans="1:11" s="1146" customFormat="1" ht="30" customHeight="1">
      <c r="A323" s="1132">
        <f>_xlfn.AGGREGATE(4,7,A$10:A322)+1</f>
        <v>313</v>
      </c>
      <c r="B323" s="1172" t="s">
        <v>2353</v>
      </c>
      <c r="C323" s="1149"/>
      <c r="D323" s="1233"/>
      <c r="E323" s="1058" t="str">
        <f>VLOOKUP(B323,TH.Q2!B245:E576,4,FALSE)</f>
        <v>NV Phòng Tuyển sinh - Đào tạo</v>
      </c>
      <c r="F323" s="1141">
        <v>5519488</v>
      </c>
      <c r="G323" s="1676">
        <f t="shared" si="8"/>
        <v>2.3587555555555557</v>
      </c>
      <c r="H323" s="1654">
        <v>2340000</v>
      </c>
      <c r="I323" s="1141">
        <f t="shared" si="9"/>
        <v>5519488</v>
      </c>
      <c r="J323" s="1142">
        <f>A323</f>
        <v>313</v>
      </c>
      <c r="K323" s="1143"/>
    </row>
    <row r="324" spans="1:11" s="1146" customFormat="1" ht="30" customHeight="1">
      <c r="A324" s="1132">
        <f>_xlfn.AGGREGATE(4,7,A$10:A323)+1</f>
        <v>314</v>
      </c>
      <c r="B324" s="1172" t="s">
        <v>2138</v>
      </c>
      <c r="C324" s="1149"/>
      <c r="D324" s="1233"/>
      <c r="E324" s="1058" t="str">
        <f>VLOOKUP(B324,TH.Q2!B246:E577,4,FALSE)</f>
        <v>NV TT Điều hành và QLDL</v>
      </c>
      <c r="F324" s="1141">
        <v>984722</v>
      </c>
      <c r="G324" s="1676">
        <f t="shared" si="8"/>
        <v>0.42082136752136751</v>
      </c>
      <c r="H324" s="1654">
        <v>2340000</v>
      </c>
      <c r="I324" s="1141">
        <f t="shared" si="9"/>
        <v>984722</v>
      </c>
      <c r="J324" s="1142">
        <f>A324</f>
        <v>314</v>
      </c>
      <c r="K324" s="1143" t="s">
        <v>2426</v>
      </c>
    </row>
    <row r="325" spans="1:11" s="1146" customFormat="1" ht="30" customHeight="1">
      <c r="A325" s="1132">
        <f>_xlfn.AGGREGATE(4,7,A$10:A324)+1</f>
        <v>315</v>
      </c>
      <c r="B325" s="1172" t="s">
        <v>2142</v>
      </c>
      <c r="C325" s="1149"/>
      <c r="D325" s="1233"/>
      <c r="E325" s="1058" t="str">
        <f>VLOOKUP(B325,TH.Q2!B247:E578,4,FALSE)</f>
        <v>NV TT Điều hành và QLDL</v>
      </c>
      <c r="F325" s="1141">
        <v>4346597</v>
      </c>
      <c r="G325" s="1676">
        <f t="shared" si="8"/>
        <v>1.8575200854700855</v>
      </c>
      <c r="H325" s="1654">
        <v>2340000</v>
      </c>
      <c r="I325" s="1141">
        <f t="shared" si="9"/>
        <v>4346597</v>
      </c>
      <c r="J325" s="1142">
        <f>A325</f>
        <v>315</v>
      </c>
      <c r="K325" s="1143"/>
    </row>
    <row r="326" spans="1:11" s="1146" customFormat="1" ht="30" customHeight="1">
      <c r="A326" s="1132">
        <f>_xlfn.AGGREGATE(4,7,A$10:A325)+1</f>
        <v>316</v>
      </c>
      <c r="B326" s="1172" t="s">
        <v>2144</v>
      </c>
      <c r="C326" s="1149"/>
      <c r="D326" s="1233"/>
      <c r="E326" s="1058" t="str">
        <f>VLOOKUP(B326,TH.Q2!B248:E579,4,FALSE)</f>
        <v>NV phòng Khảo thí và ĐBCL</v>
      </c>
      <c r="F326" s="1141">
        <v>6212447</v>
      </c>
      <c r="G326" s="1676">
        <f t="shared" si="8"/>
        <v>2.6548918803418804</v>
      </c>
      <c r="H326" s="1654">
        <v>2340000</v>
      </c>
      <c r="I326" s="1141">
        <f t="shared" si="9"/>
        <v>6212447</v>
      </c>
      <c r="J326" s="1142">
        <f>A326</f>
        <v>316</v>
      </c>
      <c r="K326" s="1143"/>
    </row>
    <row r="327" spans="1:11" s="1146" customFormat="1" ht="30" customHeight="1">
      <c r="A327" s="1132">
        <f>_xlfn.AGGREGATE(4,7,A$10:A326)+1</f>
        <v>317</v>
      </c>
      <c r="B327" s="1172" t="s">
        <v>2147</v>
      </c>
      <c r="C327" s="1149"/>
      <c r="D327" s="1233"/>
      <c r="E327" s="1058" t="str">
        <f>VLOOKUP(B327,TH.Q2!B249:E580,4,FALSE)</f>
        <v>Khoa Động lực</v>
      </c>
      <c r="F327" s="1141">
        <v>8713279</v>
      </c>
      <c r="G327" s="1676">
        <f t="shared" si="8"/>
        <v>3.7236235042735042</v>
      </c>
      <c r="H327" s="1654">
        <v>2340000</v>
      </c>
      <c r="I327" s="1141">
        <f t="shared" si="9"/>
        <v>8713279</v>
      </c>
      <c r="J327" s="1142">
        <f>A327</f>
        <v>317</v>
      </c>
      <c r="K327" s="1143"/>
    </row>
    <row r="328" spans="1:11" s="1146" customFormat="1" ht="30" customHeight="1">
      <c r="A328" s="1132">
        <f>_xlfn.AGGREGATE(4,7,A$10:A327)+1</f>
        <v>318</v>
      </c>
      <c r="B328" s="1172" t="s">
        <v>2149</v>
      </c>
      <c r="C328" s="1149"/>
      <c r="D328" s="1233"/>
      <c r="E328" s="1058" t="str">
        <f>VLOOKUP(B328,TH.Q2!B250:E581,4,FALSE)</f>
        <v>NV - TT Đào tạo và Quản lý vật tư thiết bị</v>
      </c>
      <c r="F328" s="1141">
        <v>5031729</v>
      </c>
      <c r="G328" s="1676">
        <f t="shared" si="8"/>
        <v>2.1503115384615383</v>
      </c>
      <c r="H328" s="1654">
        <v>2340000</v>
      </c>
      <c r="I328" s="1141">
        <f t="shared" si="9"/>
        <v>5031729</v>
      </c>
      <c r="J328" s="1142">
        <f>A328</f>
        <v>318</v>
      </c>
      <c r="K328" s="1143"/>
    </row>
    <row r="329" spans="1:11" s="1146" customFormat="1" ht="30" customHeight="1">
      <c r="A329" s="1132">
        <f>_xlfn.AGGREGATE(4,7,A$10:A328)+1</f>
        <v>319</v>
      </c>
      <c r="B329" s="1172" t="s">
        <v>2151</v>
      </c>
      <c r="C329" s="1149"/>
      <c r="D329" s="1233"/>
      <c r="E329" s="1058" t="str">
        <f>VLOOKUP(B329,TH.Q2!B251:E582,4,FALSE)</f>
        <v>NV - TT Đào tạo và Quản lý vật tư thiết bị</v>
      </c>
      <c r="F329" s="1141">
        <v>1996400</v>
      </c>
      <c r="G329" s="1676">
        <f t="shared" si="8"/>
        <v>0.85316239316239317</v>
      </c>
      <c r="H329" s="1654">
        <v>2340000</v>
      </c>
      <c r="I329" s="1141">
        <f t="shared" si="9"/>
        <v>1996400</v>
      </c>
      <c r="J329" s="1142">
        <f>A329</f>
        <v>319</v>
      </c>
      <c r="K329" s="1143"/>
    </row>
    <row r="330" spans="1:11" s="1146" customFormat="1" ht="30" customHeight="1">
      <c r="A330" s="1132">
        <f>_xlfn.AGGREGATE(4,7,A$10:A329)+1</f>
        <v>320</v>
      </c>
      <c r="B330" s="1172" t="s">
        <v>2152</v>
      </c>
      <c r="C330" s="1149"/>
      <c r="D330" s="1233"/>
      <c r="E330" s="1058" t="str">
        <f>VLOOKUP(B330,TH.Q2!B252:E583,4,FALSE)</f>
        <v xml:space="preserve">NV Thư viện  </v>
      </c>
      <c r="F330" s="1141">
        <v>5313146.333333334</v>
      </c>
      <c r="G330" s="1676">
        <f t="shared" si="8"/>
        <v>2.2705753561253563</v>
      </c>
      <c r="H330" s="1654">
        <v>2340000</v>
      </c>
      <c r="I330" s="1141">
        <f t="shared" si="9"/>
        <v>5313146.333333334</v>
      </c>
      <c r="J330" s="1142">
        <f>A330</f>
        <v>320</v>
      </c>
      <c r="K330" s="1143" t="s">
        <v>2444</v>
      </c>
    </row>
    <row r="331" spans="1:11" s="1146" customFormat="1" ht="30" customHeight="1">
      <c r="A331" s="1132">
        <f>_xlfn.AGGREGATE(4,7,A$10:A330)+1</f>
        <v>321</v>
      </c>
      <c r="B331" s="1172" t="s">
        <v>2155</v>
      </c>
      <c r="C331" s="1149"/>
      <c r="D331" s="1233"/>
      <c r="E331" s="1058" t="str">
        <f>VLOOKUP(B331,TH.Q2!B253:E584,4,FALSE)</f>
        <v xml:space="preserve">NV Thư viện  </v>
      </c>
      <c r="F331" s="1141">
        <v>4373763.375</v>
      </c>
      <c r="G331" s="1676">
        <f t="shared" si="8"/>
        <v>1.8691296474358974</v>
      </c>
      <c r="H331" s="1654">
        <v>2340000</v>
      </c>
      <c r="I331" s="1141">
        <f t="shared" si="9"/>
        <v>4373763.375</v>
      </c>
      <c r="J331" s="1142">
        <f>A331</f>
        <v>321</v>
      </c>
      <c r="K331" s="1143" t="s">
        <v>2445</v>
      </c>
    </row>
    <row r="332" spans="1:11" s="1146" customFormat="1" ht="30" customHeight="1">
      <c r="A332" s="1132">
        <f>_xlfn.AGGREGATE(4,7,A$10:A331)+1</f>
        <v>322</v>
      </c>
      <c r="B332" s="1172" t="s">
        <v>2156</v>
      </c>
      <c r="C332" s="1149"/>
      <c r="D332" s="1233"/>
      <c r="E332" s="1058" t="str">
        <f>VLOOKUP(B332,TH.Q2!B254:E585,4,FALSE)</f>
        <v xml:space="preserve">NV Thư viện  </v>
      </c>
      <c r="F332" s="1141">
        <v>5426192</v>
      </c>
      <c r="G332" s="1676">
        <f t="shared" ref="G332" si="10">F332/H332</f>
        <v>2.31888547008547</v>
      </c>
      <c r="H332" s="1654">
        <v>2340000</v>
      </c>
      <c r="I332" s="1141">
        <f t="shared" si="9"/>
        <v>5426192</v>
      </c>
      <c r="J332" s="1142">
        <f>A332</f>
        <v>322</v>
      </c>
      <c r="K332" s="1143"/>
    </row>
    <row r="333" spans="1:11" s="1248" customFormat="1" ht="18" customHeight="1">
      <c r="A333" s="1237"/>
      <c r="B333" s="1238" t="s">
        <v>1109</v>
      </c>
      <c r="C333" s="1239"/>
      <c r="D333" s="1669"/>
      <c r="E333" s="1669"/>
      <c r="F333" s="1242">
        <f>SUM(F11:F332)</f>
        <v>1816988696.2916667</v>
      </c>
      <c r="G333" s="1677">
        <f t="shared" ref="G333:H333" si="11">SUM(G11:G332)</f>
        <v>776.49089585113995</v>
      </c>
      <c r="H333" s="1242">
        <f t="shared" si="11"/>
        <v>753480000</v>
      </c>
      <c r="I333" s="1244">
        <f>SUM(I11:I332)</f>
        <v>1816988696.2916667</v>
      </c>
      <c r="J333" s="1782"/>
      <c r="K333" s="1783"/>
    </row>
    <row r="334" spans="1:11">
      <c r="F334" s="1404"/>
      <c r="G334" s="1404"/>
      <c r="H334" s="1404"/>
      <c r="I334" s="1404"/>
      <c r="J334" s="1404"/>
      <c r="K334" s="1404"/>
    </row>
    <row r="335" spans="1:11" s="1120" customFormat="1" ht="18.75" customHeight="1">
      <c r="B335" s="1622" t="s">
        <v>2446</v>
      </c>
      <c r="C335" s="1622"/>
      <c r="D335" s="1622"/>
      <c r="E335" s="1622"/>
      <c r="F335" s="1406"/>
      <c r="G335" s="1406"/>
      <c r="H335" s="1406"/>
      <c r="I335" s="1406"/>
      <c r="J335" s="1406"/>
      <c r="K335" s="1406"/>
    </row>
    <row r="336" spans="1:11" s="1120" customFormat="1" ht="18" customHeight="1">
      <c r="B336" s="1408"/>
      <c r="C336" s="1121"/>
      <c r="D336" s="1121"/>
      <c r="E336" s="1121"/>
      <c r="F336" s="1652"/>
      <c r="G336" s="1652"/>
      <c r="H336" s="1727" t="s">
        <v>2447</v>
      </c>
      <c r="I336" s="1727"/>
      <c r="J336" s="1727"/>
      <c r="K336" s="1727"/>
    </row>
    <row r="337" spans="1:11">
      <c r="F337" s="1119"/>
      <c r="G337" s="1119"/>
      <c r="H337" s="1736" t="s">
        <v>2411</v>
      </c>
      <c r="I337" s="1736"/>
      <c r="J337" s="1736"/>
      <c r="K337" s="1736"/>
    </row>
    <row r="338" spans="1:11" s="1120" customFormat="1">
      <c r="A338" s="1704" t="s">
        <v>859</v>
      </c>
      <c r="B338" s="1704"/>
      <c r="C338" s="1121"/>
      <c r="D338" s="1121"/>
      <c r="E338" s="1704" t="s">
        <v>1191</v>
      </c>
      <c r="F338" s="1704"/>
      <c r="G338" s="1704"/>
      <c r="H338" s="1704" t="s">
        <v>2304</v>
      </c>
      <c r="I338" s="1704"/>
      <c r="J338" s="1704"/>
      <c r="K338" s="1704"/>
    </row>
    <row r="339" spans="1:11" s="1120" customFormat="1" ht="11.25" customHeight="1">
      <c r="A339" s="1670"/>
      <c r="B339" s="1670"/>
      <c r="C339" s="1121"/>
      <c r="D339" s="1121"/>
      <c r="E339" s="1121"/>
      <c r="F339" s="1704"/>
      <c r="G339" s="1704"/>
      <c r="H339" s="1704"/>
      <c r="I339" s="1704"/>
      <c r="J339" s="1704"/>
      <c r="K339" s="1704"/>
    </row>
    <row r="340" spans="1:11" s="1120" customFormat="1" ht="10.5" customHeight="1">
      <c r="A340" s="1670"/>
      <c r="B340" s="1670"/>
      <c r="C340" s="1121"/>
      <c r="D340" s="1121"/>
      <c r="E340" s="1121"/>
      <c r="F340" s="1670"/>
      <c r="G340" s="1670"/>
      <c r="H340" s="1670"/>
      <c r="I340" s="1670"/>
      <c r="J340" s="1670"/>
      <c r="K340" s="1670"/>
    </row>
    <row r="341" spans="1:11" s="1120" customFormat="1" ht="13.5" customHeight="1">
      <c r="F341" s="1672"/>
      <c r="G341" s="1672"/>
      <c r="H341" s="1672"/>
      <c r="I341" s="1672"/>
      <c r="J341" s="1672"/>
      <c r="K341" s="1672"/>
    </row>
    <row r="342" spans="1:11" s="1120" customFormat="1" ht="13.5" customHeight="1">
      <c r="F342" s="1672"/>
      <c r="G342" s="1672"/>
      <c r="H342" s="1672"/>
      <c r="I342" s="1672"/>
      <c r="J342" s="1672"/>
      <c r="K342" s="1672"/>
    </row>
    <row r="343" spans="1:11" s="1120" customFormat="1" ht="13.5" customHeight="1">
      <c r="F343" s="1410"/>
      <c r="G343" s="1410"/>
      <c r="H343" s="1410"/>
      <c r="I343" s="1410"/>
      <c r="J343" s="1410"/>
      <c r="K343" s="1410"/>
    </row>
    <row r="344" spans="1:11" s="1120" customFormat="1" ht="13.5" customHeight="1">
      <c r="F344" s="1672"/>
      <c r="G344" s="1672"/>
      <c r="H344" s="1672"/>
      <c r="I344" s="1672"/>
      <c r="J344" s="1672"/>
      <c r="K344" s="1672"/>
    </row>
    <row r="345" spans="1:11" s="1120" customFormat="1" ht="13.5" customHeight="1">
      <c r="F345" s="1672"/>
      <c r="G345" s="1672"/>
      <c r="H345" s="1672"/>
      <c r="I345" s="1672"/>
      <c r="J345" s="1672"/>
      <c r="K345" s="1672"/>
    </row>
    <row r="346" spans="1:11" s="1120" customFormat="1">
      <c r="A346" s="1704" t="s">
        <v>1827</v>
      </c>
      <c r="B346" s="1704"/>
      <c r="C346" s="1121"/>
      <c r="D346" s="1121"/>
      <c r="E346" s="1704" t="s">
        <v>1445</v>
      </c>
      <c r="F346" s="1704"/>
      <c r="G346" s="1704"/>
      <c r="H346" s="1704" t="s">
        <v>1447</v>
      </c>
      <c r="I346" s="1704"/>
      <c r="J346" s="1704"/>
      <c r="K346" s="1704"/>
    </row>
  </sheetData>
  <mergeCells count="26">
    <mergeCell ref="A338:B338"/>
    <mergeCell ref="F339:K339"/>
    <mergeCell ref="A346:B346"/>
    <mergeCell ref="E346:G346"/>
    <mergeCell ref="H346:K346"/>
    <mergeCell ref="J8:K9"/>
    <mergeCell ref="J10:K10"/>
    <mergeCell ref="G8:G9"/>
    <mergeCell ref="H8:H9"/>
    <mergeCell ref="I8:I9"/>
    <mergeCell ref="A1:E1"/>
    <mergeCell ref="F1:K1"/>
    <mergeCell ref="A2:E2"/>
    <mergeCell ref="F2:K2"/>
    <mergeCell ref="A3:E3"/>
    <mergeCell ref="A5:K5"/>
    <mergeCell ref="E338:G338"/>
    <mergeCell ref="H338:K338"/>
    <mergeCell ref="H337:K337"/>
    <mergeCell ref="H336:K336"/>
    <mergeCell ref="A6:K6"/>
    <mergeCell ref="A8:A9"/>
    <mergeCell ref="B8:B9"/>
    <mergeCell ref="E8:E9"/>
    <mergeCell ref="J333:K333"/>
    <mergeCell ref="F8:F9"/>
  </mergeCells>
  <conditionalFormatting sqref="D61 D189:D197 D130:D135 D30 D146:D157 D77 D71 D86 C62:D62 D114:D117 D110:D112 D119:D122 D238:D250 C82 D24:D28 D176:D187 D15 B15 D90 D100:D104 D54 B61 D171:D174 D125:D127 D41:D42 D35:D39 D56:D59 D215:D230 D199:D213 C16:D16 C79:D79 A8:D8 F8 C9:D9 D159:D169 A1:A3 D11:D12 D64:D66 D22 D17:D19 B17:B32 B35:B47 D49:D52 D69 B49:B59 B63:B78 B83:B108 L49:IA59 L61:IA79 L82:IA108 A11:B13 D262:D267 B110:B269 A14:A332 J82:J332 F11:G11 F12:F269 G12:G332 J10:J79 J8 I11:I332 L1:IA2 L4:XFD9 L10:IA47 F335:K335 L339:XFD345 L346:IC346 L333:IC338 L110:IA332 A10:F10 A333:J333 A6:K7 A4:K4 F3:XFD3 A347:XFD65514 A334:K334 A340:K345 A339:I339">
    <cfRule type="cellIs" dxfId="56" priority="113" stopIfTrue="1" operator="equal">
      <formula>"KXL"</formula>
    </cfRule>
    <cfRule type="cellIs" dxfId="55" priority="114" stopIfTrue="1" operator="equal">
      <formula>"A DN"</formula>
    </cfRule>
    <cfRule type="cellIs" dxfId="54" priority="115" stopIfTrue="1" operator="equal">
      <formula>"C"</formula>
    </cfRule>
    <cfRule type="cellIs" dxfId="53" priority="116" stopIfTrue="1" operator="equal">
      <formula>"B"</formula>
    </cfRule>
  </conditionalFormatting>
  <conditionalFormatting sqref="B48 L109:IA109 L60:IA60 L48:IA48">
    <cfRule type="cellIs" dxfId="52" priority="110" stopIfTrue="1" operator="equal">
      <formula>"C"</formula>
    </cfRule>
    <cfRule type="cellIs" dxfId="51" priority="111" stopIfTrue="1" operator="equal">
      <formula>"B"</formula>
    </cfRule>
    <cfRule type="cellIs" dxfId="50" priority="112" stopIfTrue="1" operator="equal">
      <formula>"A DN"</formula>
    </cfRule>
  </conditionalFormatting>
  <conditionalFormatting sqref="B60">
    <cfRule type="cellIs" dxfId="49" priority="107" stopIfTrue="1" operator="equal">
      <formula>"C"</formula>
    </cfRule>
    <cfRule type="cellIs" dxfId="48" priority="108" stopIfTrue="1" operator="equal">
      <formula>"B"</formula>
    </cfRule>
    <cfRule type="cellIs" dxfId="47" priority="109" stopIfTrue="1" operator="equal">
      <formula>"A DN"</formula>
    </cfRule>
  </conditionalFormatting>
  <conditionalFormatting sqref="B109">
    <cfRule type="cellIs" dxfId="46" priority="104" stopIfTrue="1" operator="equal">
      <formula>"C"</formula>
    </cfRule>
    <cfRule type="cellIs" dxfId="45" priority="105" stopIfTrue="1" operator="equal">
      <formula>"B"</formula>
    </cfRule>
    <cfRule type="cellIs" dxfId="44" priority="106" stopIfTrue="1" operator="equal">
      <formula>"A DN"</formula>
    </cfRule>
  </conditionalFormatting>
  <conditionalFormatting sqref="D109">
    <cfRule type="cellIs" dxfId="43" priority="100" stopIfTrue="1" operator="equal">
      <formula>"KXL"</formula>
    </cfRule>
    <cfRule type="cellIs" dxfId="42" priority="101" stopIfTrue="1" operator="equal">
      <formula>"A DN"</formula>
    </cfRule>
    <cfRule type="cellIs" dxfId="41" priority="102" stopIfTrue="1" operator="equal">
      <formula>"C"</formula>
    </cfRule>
    <cfRule type="cellIs" dxfId="40" priority="103" stopIfTrue="1" operator="equal">
      <formula>"B"</formula>
    </cfRule>
  </conditionalFormatting>
  <conditionalFormatting sqref="C14:D14">
    <cfRule type="cellIs" dxfId="39" priority="96" stopIfTrue="1" operator="equal">
      <formula>"KXL"</formula>
    </cfRule>
    <cfRule type="cellIs" dxfId="38" priority="97" stopIfTrue="1" operator="equal">
      <formula>"A DN"</formula>
    </cfRule>
    <cfRule type="cellIs" dxfId="37" priority="98" stopIfTrue="1" operator="equal">
      <formula>"C"</formula>
    </cfRule>
    <cfRule type="cellIs" dxfId="36" priority="99" stopIfTrue="1" operator="equal">
      <formula>"B"</formula>
    </cfRule>
  </conditionalFormatting>
  <conditionalFormatting sqref="C33:D33 C34">
    <cfRule type="cellIs" dxfId="35" priority="92" stopIfTrue="1" operator="equal">
      <formula>"KXL"</formula>
    </cfRule>
    <cfRule type="cellIs" dxfId="34" priority="93" stopIfTrue="1" operator="equal">
      <formula>"A DN"</formula>
    </cfRule>
    <cfRule type="cellIs" dxfId="33" priority="94" stopIfTrue="1" operator="equal">
      <formula>"C"</formula>
    </cfRule>
    <cfRule type="cellIs" dxfId="32" priority="95" stopIfTrue="1" operator="equal">
      <formula>"B"</formula>
    </cfRule>
  </conditionalFormatting>
  <conditionalFormatting sqref="J80">
    <cfRule type="cellIs" dxfId="31" priority="88" stopIfTrue="1" operator="equal">
      <formula>"KXL"</formula>
    </cfRule>
    <cfRule type="cellIs" dxfId="30" priority="89" stopIfTrue="1" operator="equal">
      <formula>"A DN"</formula>
    </cfRule>
    <cfRule type="cellIs" dxfId="29" priority="90" stopIfTrue="1" operator="equal">
      <formula>"C"</formula>
    </cfRule>
    <cfRule type="cellIs" dxfId="28" priority="91" stopIfTrue="1" operator="equal">
      <formula>"B"</formula>
    </cfRule>
  </conditionalFormatting>
  <conditionalFormatting sqref="C80:D80 L80:IA80">
    <cfRule type="cellIs" dxfId="27" priority="84" stopIfTrue="1" operator="equal">
      <formula>"KXL"</formula>
    </cfRule>
    <cfRule type="cellIs" dxfId="26" priority="85" stopIfTrue="1" operator="equal">
      <formula>"A DN"</formula>
    </cfRule>
    <cfRule type="cellIs" dxfId="25" priority="86" stopIfTrue="1" operator="equal">
      <formula>"C"</formula>
    </cfRule>
    <cfRule type="cellIs" dxfId="24" priority="87" stopIfTrue="1" operator="equal">
      <formula>"B"</formula>
    </cfRule>
  </conditionalFormatting>
  <conditionalFormatting sqref="E8">
    <cfRule type="cellIs" dxfId="23" priority="48" stopIfTrue="1" operator="equal">
      <formula>"KXL"</formula>
    </cfRule>
    <cfRule type="cellIs" dxfId="22" priority="49" stopIfTrue="1" operator="equal">
      <formula>"A DN"</formula>
    </cfRule>
    <cfRule type="cellIs" dxfId="21" priority="50" stopIfTrue="1" operator="equal">
      <formula>"C"</formula>
    </cfRule>
    <cfRule type="cellIs" dxfId="20" priority="51" stopIfTrue="1" operator="equal">
      <formula>"B"</formula>
    </cfRule>
  </conditionalFormatting>
  <conditionalFormatting sqref="A335:B335">
    <cfRule type="cellIs" dxfId="19" priority="32" stopIfTrue="1" operator="equal">
      <formula>"KXL"</formula>
    </cfRule>
    <cfRule type="cellIs" dxfId="18" priority="33" stopIfTrue="1" operator="equal">
      <formula>"A DN"</formula>
    </cfRule>
    <cfRule type="cellIs" dxfId="17" priority="34" stopIfTrue="1" operator="equal">
      <formula>"C"</formula>
    </cfRule>
    <cfRule type="cellIs" dxfId="16" priority="35" stopIfTrue="1" operator="equal">
      <formula>"B"</formula>
    </cfRule>
  </conditionalFormatting>
  <conditionalFormatting sqref="A346 A338 A336:E337">
    <cfRule type="cellIs" dxfId="15" priority="28" stopIfTrue="1" operator="equal">
      <formula>"KXL"</formula>
    </cfRule>
    <cfRule type="cellIs" dxfId="14" priority="29" stopIfTrue="1" operator="equal">
      <formula>"A DN"</formula>
    </cfRule>
    <cfRule type="cellIs" dxfId="13" priority="30" stopIfTrue="1" operator="equal">
      <formula>"C"</formula>
    </cfRule>
    <cfRule type="cellIs" dxfId="12" priority="31" stopIfTrue="1" operator="equal">
      <formula>"B"</formula>
    </cfRule>
  </conditionalFormatting>
  <conditionalFormatting sqref="F270:F332 B270:B332">
    <cfRule type="cellIs" dxfId="11" priority="24" stopIfTrue="1" operator="equal">
      <formula>"KXL"</formula>
    </cfRule>
    <cfRule type="cellIs" dxfId="10" priority="25" stopIfTrue="1" operator="equal">
      <formula>"A DN"</formula>
    </cfRule>
    <cfRule type="cellIs" dxfId="9" priority="26" stopIfTrue="1" operator="equal">
      <formula>"C"</formula>
    </cfRule>
    <cfRule type="cellIs" dxfId="8" priority="27" stopIfTrue="1" operator="equal">
      <formula>"B"</formula>
    </cfRule>
  </conditionalFormatting>
  <conditionalFormatting sqref="G8:I8 G10:I10">
    <cfRule type="cellIs" dxfId="7" priority="9" stopIfTrue="1" operator="equal">
      <formula>"KXL"</formula>
    </cfRule>
    <cfRule type="cellIs" dxfId="6" priority="10" stopIfTrue="1" operator="equal">
      <formula>"A DN"</formula>
    </cfRule>
    <cfRule type="cellIs" dxfId="5" priority="11" stopIfTrue="1" operator="equal">
      <formula>"C"</formula>
    </cfRule>
    <cfRule type="cellIs" dxfId="4" priority="12" stopIfTrue="1" operator="equal">
      <formula>"B"</formula>
    </cfRule>
  </conditionalFormatting>
  <conditionalFormatting sqref="A5">
    <cfRule type="cellIs" dxfId="3" priority="1" stopIfTrue="1" operator="equal">
      <formula>"KXL"</formula>
    </cfRule>
    <cfRule type="cellIs" dxfId="2" priority="2" stopIfTrue="1" operator="equal">
      <formula>"A DN"</formula>
    </cfRule>
    <cfRule type="cellIs" dxfId="1" priority="3" stopIfTrue="1" operator="equal">
      <formula>"C"</formula>
    </cfRule>
    <cfRule type="cellIs" dxfId="0"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portrait" r:id="rId1"/>
  <headerFooter alignWithMargins="0">
    <oddFooter>Page &amp;P of &amp;N</oddFooter>
  </headerFooter>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787" t="s">
        <v>2307</v>
      </c>
      <c r="B1" s="1787"/>
      <c r="C1" s="1787"/>
      <c r="D1" s="1787"/>
      <c r="E1" s="1787"/>
      <c r="F1" s="1787"/>
      <c r="G1" s="1787"/>
      <c r="H1" s="1787"/>
      <c r="I1" s="1787"/>
      <c r="N1" s="1682" t="s">
        <v>2308</v>
      </c>
      <c r="O1" s="1682"/>
      <c r="P1" s="1682"/>
      <c r="Q1" s="1682"/>
      <c r="R1" s="1682"/>
      <c r="S1" s="1682"/>
      <c r="T1" s="1682"/>
      <c r="U1" s="1682"/>
      <c r="V1" s="1682"/>
    </row>
    <row r="2" spans="1:24">
      <c r="A2" s="1765" t="s">
        <v>2309</v>
      </c>
      <c r="B2" s="1765"/>
      <c r="C2" s="1765"/>
      <c r="D2" s="1765"/>
      <c r="E2" s="1765"/>
      <c r="F2" s="1765"/>
      <c r="G2" s="1765"/>
      <c r="H2" s="1765"/>
      <c r="I2" s="1765"/>
      <c r="N2" s="1682" t="s">
        <v>851</v>
      </c>
      <c r="O2" s="1682"/>
      <c r="P2" s="1682"/>
      <c r="Q2" s="1682"/>
      <c r="R2" s="1682"/>
      <c r="S2" s="1682"/>
      <c r="T2" s="1682"/>
      <c r="U2" s="1682"/>
      <c r="V2" s="1682"/>
    </row>
    <row r="4" spans="1:24" s="1278" customFormat="1" ht="20.25">
      <c r="A4" s="1788" t="s">
        <v>2310</v>
      </c>
      <c r="B4" s="1788"/>
      <c r="C4" s="1788"/>
      <c r="D4" s="1788"/>
      <c r="E4" s="1788"/>
      <c r="F4" s="1788"/>
      <c r="G4" s="1788"/>
      <c r="H4" s="1788"/>
      <c r="I4" s="1788"/>
      <c r="J4" s="1788"/>
      <c r="K4" s="1788"/>
      <c r="L4" s="1788"/>
      <c r="M4" s="1788"/>
      <c r="N4" s="1788"/>
      <c r="O4" s="1788"/>
      <c r="P4" s="1788"/>
      <c r="Q4" s="1788"/>
      <c r="R4" s="1788"/>
      <c r="S4" s="1788"/>
      <c r="T4" s="1788"/>
      <c r="U4" s="1788"/>
      <c r="V4" s="1788"/>
    </row>
    <row r="6" spans="1:24" s="1266" customFormat="1" ht="12.75">
      <c r="A6" s="1785" t="s">
        <v>2311</v>
      </c>
      <c r="B6" s="1757" t="s">
        <v>2312</v>
      </c>
      <c r="C6" s="1279"/>
      <c r="D6" s="1757" t="s">
        <v>2313</v>
      </c>
      <c r="E6" s="1785" t="s">
        <v>854</v>
      </c>
      <c r="F6" s="1784" t="s">
        <v>2314</v>
      </c>
      <c r="G6" s="1784"/>
      <c r="H6" s="1784"/>
      <c r="I6" s="1784"/>
      <c r="J6" s="1784"/>
      <c r="K6" s="1784"/>
      <c r="L6" s="1784"/>
      <c r="M6" s="1784"/>
      <c r="N6" s="1784" t="s">
        <v>2315</v>
      </c>
      <c r="O6" s="1784"/>
      <c r="P6" s="1784"/>
      <c r="Q6" s="1784"/>
      <c r="R6" s="1784"/>
      <c r="S6" s="1784"/>
      <c r="T6" s="1784"/>
      <c r="U6" s="1784"/>
      <c r="V6" s="1785" t="s">
        <v>2316</v>
      </c>
    </row>
    <row r="7" spans="1:24" s="1266" customFormat="1" ht="24">
      <c r="A7" s="1785"/>
      <c r="B7" s="1757"/>
      <c r="C7" s="1279"/>
      <c r="D7" s="1757"/>
      <c r="E7" s="1785"/>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785"/>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63">
      <c r="A10" s="1291" t="s">
        <v>1111</v>
      </c>
      <c r="B10" s="698">
        <v>66</v>
      </c>
      <c r="C10" s="698"/>
      <c r="D10" s="698"/>
      <c r="E10" s="1069" t="s">
        <v>2018</v>
      </c>
      <c r="F10" s="1292" t="s">
        <v>2327</v>
      </c>
      <c r="G10" s="388">
        <v>1.9890000000000001</v>
      </c>
      <c r="H10" s="1293"/>
      <c r="I10" s="1294">
        <f t="shared" ref="I10:I18" si="0">G10*H10</f>
        <v>0</v>
      </c>
      <c r="J10" s="698"/>
      <c r="K10" s="1295"/>
      <c r="L10" s="1296">
        <f t="shared" ref="L10" si="1">(G10+I10+J10)*K10</f>
        <v>0</v>
      </c>
      <c r="M10" s="381" t="s">
        <v>2328</v>
      </c>
      <c r="N10" s="1292" t="s">
        <v>2327</v>
      </c>
      <c r="O10" s="388"/>
      <c r="P10" s="1293"/>
      <c r="Q10" s="503">
        <f>P10*O10</f>
        <v>0</v>
      </c>
      <c r="R10" s="698"/>
      <c r="S10" s="1295"/>
      <c r="T10" s="1296"/>
      <c r="U10" s="381"/>
      <c r="V10" s="1297" t="s">
        <v>2329</v>
      </c>
    </row>
    <row r="11" spans="1:24" s="1298" customFormat="1" ht="94.5">
      <c r="A11" s="1291" t="s">
        <v>1112</v>
      </c>
      <c r="B11" s="698">
        <v>140</v>
      </c>
      <c r="C11" s="698"/>
      <c r="D11" s="698"/>
      <c r="E11" s="1069" t="s">
        <v>1947</v>
      </c>
      <c r="F11" s="1292" t="s">
        <v>2327</v>
      </c>
      <c r="G11" s="388">
        <v>2.34</v>
      </c>
      <c r="H11" s="1293"/>
      <c r="I11" s="1294">
        <f t="shared" si="0"/>
        <v>0</v>
      </c>
      <c r="J11" s="698"/>
      <c r="K11" s="1295"/>
      <c r="L11" s="1296"/>
      <c r="M11" s="381"/>
      <c r="N11" s="1292" t="s">
        <v>2327</v>
      </c>
      <c r="O11" s="388" t="s">
        <v>2330</v>
      </c>
      <c r="P11" s="1293"/>
      <c r="Q11" s="503"/>
      <c r="R11" s="698"/>
      <c r="S11" s="1295"/>
      <c r="T11" s="1296"/>
      <c r="U11" s="381"/>
      <c r="V11" s="1297" t="s">
        <v>2331</v>
      </c>
      <c r="X11" s="1298" t="s">
        <v>2332</v>
      </c>
    </row>
    <row r="12" spans="1:24" s="1298" customFormat="1" ht="31.5">
      <c r="A12" s="1291" t="s">
        <v>1113</v>
      </c>
      <c r="B12" s="698">
        <v>145</v>
      </c>
      <c r="C12" s="698"/>
      <c r="D12" s="698"/>
      <c r="E12" s="1069" t="s">
        <v>1482</v>
      </c>
      <c r="F12" s="1292" t="s">
        <v>2327</v>
      </c>
      <c r="G12" s="388">
        <v>3.33</v>
      </c>
      <c r="H12" s="1293"/>
      <c r="I12" s="1294">
        <f t="shared" si="0"/>
        <v>0</v>
      </c>
      <c r="J12" s="698"/>
      <c r="K12" s="1295">
        <v>0.08</v>
      </c>
      <c r="L12" s="1296">
        <f t="shared" ref="L12:L18" si="2">(G12+I12+J12)*K12</f>
        <v>0.26640000000000003</v>
      </c>
      <c r="M12" s="381" t="s">
        <v>2328</v>
      </c>
      <c r="N12" s="1292" t="s">
        <v>2325</v>
      </c>
      <c r="O12" s="388">
        <v>3.33</v>
      </c>
      <c r="P12" s="1293"/>
      <c r="Q12" s="503">
        <f t="shared" ref="Q12:Q13" si="3">P12*O12</f>
        <v>0</v>
      </c>
      <c r="R12" s="698"/>
      <c r="S12" s="1295">
        <v>0.09</v>
      </c>
      <c r="T12" s="1296">
        <f t="shared" ref="T12:T18" si="4">(O12+Q12+R12)*S12</f>
        <v>0.29970000000000002</v>
      </c>
      <c r="U12" s="381" t="s">
        <v>2328</v>
      </c>
      <c r="V12" s="1297" t="s">
        <v>2333</v>
      </c>
    </row>
    <row r="13" spans="1:24" s="1298" customFormat="1" ht="31.5">
      <c r="A13" s="1291" t="s">
        <v>1114</v>
      </c>
      <c r="B13" s="698">
        <v>171</v>
      </c>
      <c r="C13" s="698"/>
      <c r="D13" s="698"/>
      <c r="E13" s="1069" t="s">
        <v>2006</v>
      </c>
      <c r="F13" s="1292" t="s">
        <v>2327</v>
      </c>
      <c r="G13" s="388">
        <v>1.9890000000000001</v>
      </c>
      <c r="H13" s="1293"/>
      <c r="I13" s="1294">
        <f t="shared" si="0"/>
        <v>0</v>
      </c>
      <c r="J13" s="698"/>
      <c r="K13" s="1295"/>
      <c r="L13" s="1296">
        <f t="shared" si="2"/>
        <v>0</v>
      </c>
      <c r="M13" s="381" t="s">
        <v>2328</v>
      </c>
      <c r="N13" s="1292" t="s">
        <v>2327</v>
      </c>
      <c r="O13" s="388">
        <v>2.34</v>
      </c>
      <c r="P13" s="1293"/>
      <c r="Q13" s="503">
        <f t="shared" si="3"/>
        <v>0</v>
      </c>
      <c r="R13" s="698"/>
      <c r="S13" s="1295"/>
      <c r="T13" s="1296">
        <f t="shared" si="4"/>
        <v>0</v>
      </c>
      <c r="U13" s="381" t="s">
        <v>2328</v>
      </c>
      <c r="V13" s="1297" t="s">
        <v>2334</v>
      </c>
    </row>
    <row r="14" spans="1:24" s="1298" customFormat="1" ht="31.5">
      <c r="A14" s="1291" t="s">
        <v>1115</v>
      </c>
      <c r="B14" s="698">
        <v>181</v>
      </c>
      <c r="C14" s="698"/>
      <c r="D14" s="698"/>
      <c r="E14" s="1069" t="s">
        <v>1880</v>
      </c>
      <c r="F14" s="1292" t="s">
        <v>2327</v>
      </c>
      <c r="G14" s="388"/>
      <c r="H14" s="1293"/>
      <c r="I14" s="1294">
        <f t="shared" si="0"/>
        <v>0</v>
      </c>
      <c r="J14" s="698"/>
      <c r="K14" s="1295"/>
      <c r="L14" s="1296">
        <f t="shared" si="2"/>
        <v>0</v>
      </c>
      <c r="M14" s="381" t="s">
        <v>2335</v>
      </c>
      <c r="N14" s="1292" t="s">
        <v>2327</v>
      </c>
      <c r="O14" s="388">
        <v>3.66</v>
      </c>
      <c r="P14" s="1293"/>
      <c r="Q14" s="503">
        <f>P14*O14</f>
        <v>0</v>
      </c>
      <c r="R14" s="698">
        <v>0</v>
      </c>
      <c r="S14" s="1295">
        <v>0.13</v>
      </c>
      <c r="T14" s="1296">
        <f t="shared" si="4"/>
        <v>0.47580000000000006</v>
      </c>
      <c r="U14" s="381" t="s">
        <v>2335</v>
      </c>
      <c r="V14" s="1297" t="s">
        <v>2336</v>
      </c>
    </row>
    <row r="15" spans="1:24" s="1298" customFormat="1" ht="31.5">
      <c r="A15" s="1291" t="s">
        <v>1116</v>
      </c>
      <c r="B15" s="1299">
        <v>204</v>
      </c>
      <c r="C15" s="1299"/>
      <c r="D15" s="1299"/>
      <c r="E15" s="1300" t="s">
        <v>2011</v>
      </c>
      <c r="F15" s="1292" t="s">
        <v>2327</v>
      </c>
      <c r="G15" s="837">
        <v>2.2690000000000001</v>
      </c>
      <c r="H15" s="1301"/>
      <c r="I15" s="1294">
        <f t="shared" si="0"/>
        <v>0</v>
      </c>
      <c r="J15" s="1299"/>
      <c r="K15" s="1302"/>
      <c r="L15" s="1296">
        <f t="shared" si="2"/>
        <v>0</v>
      </c>
      <c r="M15" s="381" t="s">
        <v>2328</v>
      </c>
      <c r="N15" s="1292" t="s">
        <v>2327</v>
      </c>
      <c r="O15" s="837">
        <v>2.67</v>
      </c>
      <c r="P15" s="1301"/>
      <c r="Q15" s="1303"/>
      <c r="R15" s="1299"/>
      <c r="S15" s="1302"/>
      <c r="T15" s="1296">
        <f t="shared" si="4"/>
        <v>0</v>
      </c>
      <c r="U15" s="381" t="s">
        <v>2328</v>
      </c>
      <c r="V15" s="1304" t="s">
        <v>2334</v>
      </c>
    </row>
    <row r="16" spans="1:24" s="1298" customFormat="1" ht="31.5">
      <c r="A16" s="1291" t="s">
        <v>1117</v>
      </c>
      <c r="B16" s="698">
        <v>224</v>
      </c>
      <c r="C16" s="698"/>
      <c r="D16" s="698"/>
      <c r="E16" s="1069" t="s">
        <v>2000</v>
      </c>
      <c r="F16" s="1292" t="s">
        <v>2327</v>
      </c>
      <c r="G16" s="388">
        <v>2.67</v>
      </c>
      <c r="H16" s="1293"/>
      <c r="I16" s="1294">
        <f t="shared" si="0"/>
        <v>0</v>
      </c>
      <c r="J16" s="698"/>
      <c r="K16" s="1295">
        <v>0.08</v>
      </c>
      <c r="L16" s="1296">
        <f t="shared" si="2"/>
        <v>0.21360000000000001</v>
      </c>
      <c r="M16" s="381" t="s">
        <v>2328</v>
      </c>
      <c r="N16" s="1292" t="s">
        <v>2327</v>
      </c>
      <c r="O16" s="388">
        <v>2.67</v>
      </c>
      <c r="P16" s="1293"/>
      <c r="Q16" s="503"/>
      <c r="R16" s="698"/>
      <c r="S16" s="1295">
        <v>0.09</v>
      </c>
      <c r="T16" s="1296">
        <f t="shared" si="4"/>
        <v>0.24029999999999999</v>
      </c>
      <c r="U16" s="381" t="s">
        <v>2328</v>
      </c>
      <c r="V16" s="1297" t="s">
        <v>2333</v>
      </c>
    </row>
    <row r="17" spans="1:24" s="1298" customFormat="1" ht="31.5">
      <c r="A17" s="1291" t="s">
        <v>1118</v>
      </c>
      <c r="B17" s="698">
        <v>256</v>
      </c>
      <c r="C17" s="698"/>
      <c r="D17" s="698"/>
      <c r="E17" s="1069" t="s">
        <v>1945</v>
      </c>
      <c r="F17" s="1292" t="s">
        <v>2327</v>
      </c>
      <c r="G17" s="388">
        <v>3.66</v>
      </c>
      <c r="H17" s="1293"/>
      <c r="I17" s="1294">
        <f t="shared" si="0"/>
        <v>0</v>
      </c>
      <c r="J17" s="698"/>
      <c r="K17" s="1295">
        <v>0.12</v>
      </c>
      <c r="L17" s="1296">
        <f t="shared" si="2"/>
        <v>0.43919999999999998</v>
      </c>
      <c r="M17" s="381" t="s">
        <v>2328</v>
      </c>
      <c r="N17" s="1292" t="s">
        <v>2327</v>
      </c>
      <c r="O17" s="388">
        <v>3.66</v>
      </c>
      <c r="P17" s="1293"/>
      <c r="Q17" s="503"/>
      <c r="R17" s="698"/>
      <c r="S17" s="1295">
        <v>0.12</v>
      </c>
      <c r="T17" s="1296">
        <f t="shared" si="4"/>
        <v>0.43919999999999998</v>
      </c>
      <c r="U17" s="381" t="s">
        <v>2328</v>
      </c>
      <c r="V17" s="1297" t="s">
        <v>2333</v>
      </c>
    </row>
    <row r="18" spans="1:24" s="1298" customFormat="1" ht="31.5">
      <c r="A18" s="1305" t="s">
        <v>1119</v>
      </c>
      <c r="B18" s="1306">
        <v>260</v>
      </c>
      <c r="C18" s="1306"/>
      <c r="D18" s="1306"/>
      <c r="E18" s="1307" t="s">
        <v>2010</v>
      </c>
      <c r="F18" s="1308" t="s">
        <v>2327</v>
      </c>
      <c r="G18" s="929">
        <v>1.9890000000000001</v>
      </c>
      <c r="H18" s="1309"/>
      <c r="I18" s="1310">
        <f t="shared" si="0"/>
        <v>0</v>
      </c>
      <c r="J18" s="1306"/>
      <c r="K18" s="1311"/>
      <c r="L18" s="1312">
        <f t="shared" si="2"/>
        <v>0</v>
      </c>
      <c r="M18" s="935" t="s">
        <v>2328</v>
      </c>
      <c r="N18" s="1308" t="s">
        <v>2327</v>
      </c>
      <c r="O18" s="929">
        <v>2.34</v>
      </c>
      <c r="P18" s="1309"/>
      <c r="Q18" s="1313"/>
      <c r="R18" s="1306"/>
      <c r="S18" s="1311"/>
      <c r="T18" s="1312">
        <f t="shared" si="4"/>
        <v>0</v>
      </c>
      <c r="U18" s="935" t="s">
        <v>2328</v>
      </c>
      <c r="V18" s="1314" t="s">
        <v>2334</v>
      </c>
    </row>
    <row r="19" spans="1:24" s="1298" customFormat="1">
      <c r="A19" s="1315"/>
      <c r="B19" s="1315"/>
      <c r="C19" s="1315"/>
      <c r="D19" s="1316"/>
      <c r="E19" s="1317"/>
      <c r="F19" s="1318"/>
      <c r="G19" s="1319"/>
      <c r="H19" s="1320"/>
      <c r="I19" s="1321"/>
      <c r="J19" s="1315"/>
      <c r="K19" s="1322"/>
      <c r="L19" s="1323"/>
      <c r="M19" s="1316"/>
      <c r="N19" s="1318"/>
      <c r="O19" s="1319"/>
      <c r="P19" s="1320"/>
      <c r="Q19" s="1324"/>
      <c r="R19" s="1315"/>
      <c r="S19" s="1322"/>
      <c r="T19" s="1323"/>
      <c r="U19" s="1316"/>
      <c r="V19" s="1325"/>
    </row>
    <row r="20" spans="1:24" s="1298" customFormat="1" hidden="1">
      <c r="A20" s="1315"/>
      <c r="B20" s="1315"/>
      <c r="C20" s="1315"/>
      <c r="D20" s="1316"/>
      <c r="E20" s="1786" t="s">
        <v>2337</v>
      </c>
      <c r="F20" s="1786"/>
      <c r="G20" s="1786"/>
      <c r="H20" s="1786"/>
      <c r="I20" s="1786"/>
      <c r="J20" s="1786"/>
      <c r="K20" s="1786"/>
      <c r="L20" s="1786"/>
      <c r="M20" s="1786"/>
      <c r="N20" s="1786"/>
      <c r="O20" s="1786"/>
      <c r="P20" s="1786"/>
      <c r="Q20" s="1786"/>
      <c r="R20" s="1786"/>
      <c r="S20" s="1786"/>
      <c r="T20" s="1786"/>
      <c r="U20" s="1316"/>
      <c r="V20" s="1325"/>
    </row>
    <row r="21" spans="1:24" s="1336" customFormat="1" ht="15.75" customHeight="1">
      <c r="A21" s="1326"/>
      <c r="B21" s="1327"/>
      <c r="C21" s="1327"/>
      <c r="D21" s="1328" t="s">
        <v>2338</v>
      </c>
      <c r="E21" s="1328"/>
      <c r="F21" s="1318"/>
      <c r="G21" s="1329"/>
      <c r="H21" s="1330"/>
      <c r="I21" s="1331"/>
      <c r="J21" s="1315"/>
      <c r="K21" s="1315"/>
      <c r="L21" s="1332"/>
      <c r="M21" s="1316"/>
      <c r="N21" s="1333"/>
      <c r="O21" s="1334"/>
      <c r="P21" s="1335"/>
      <c r="Q21" s="1334"/>
      <c r="R21" s="1328"/>
      <c r="S21" s="1328"/>
      <c r="T21" s="1328"/>
      <c r="V21" s="1337" t="s">
        <v>2339</v>
      </c>
    </row>
    <row r="22" spans="1:24" s="410" customFormat="1">
      <c r="A22" s="1682" t="s">
        <v>2340</v>
      </c>
      <c r="B22" s="1682"/>
      <c r="C22" s="1682"/>
      <c r="D22" s="1682"/>
      <c r="E22" s="1682"/>
      <c r="F22" s="1682"/>
      <c r="G22" s="1682" t="s">
        <v>1191</v>
      </c>
      <c r="H22" s="1682"/>
      <c r="I22" s="1682"/>
      <c r="J22" s="1682"/>
      <c r="K22" s="1682"/>
      <c r="L22" s="1682"/>
      <c r="M22" s="1682"/>
      <c r="N22" s="1682"/>
      <c r="O22" s="1682"/>
      <c r="P22" s="1682"/>
      <c r="Q22" s="1682"/>
      <c r="R22" s="1682"/>
      <c r="S22" s="1264"/>
      <c r="T22" s="1264"/>
      <c r="U22" s="1682" t="s">
        <v>2341</v>
      </c>
      <c r="V22" s="1682"/>
    </row>
    <row r="23" spans="1:24">
      <c r="U23" s="1682"/>
      <c r="V23" s="1682"/>
      <c r="X23" s="410"/>
    </row>
    <row r="26" spans="1:24" hidden="1"/>
    <row r="30" spans="1:24" s="410" customFormat="1">
      <c r="A30" s="1682" t="s">
        <v>1827</v>
      </c>
      <c r="B30" s="1682"/>
      <c r="C30" s="1682"/>
      <c r="D30" s="1682"/>
      <c r="E30" s="1682"/>
      <c r="F30" s="1682"/>
      <c r="G30" s="1682" t="s">
        <v>1445</v>
      </c>
      <c r="H30" s="1682"/>
      <c r="I30" s="1682"/>
      <c r="J30" s="1682"/>
      <c r="K30" s="1682"/>
      <c r="L30" s="1682"/>
      <c r="M30" s="1682"/>
      <c r="N30" s="1682"/>
      <c r="O30" s="1682"/>
      <c r="P30" s="1682"/>
      <c r="Q30" s="1682"/>
      <c r="R30" s="1682"/>
      <c r="U30" s="1682" t="s">
        <v>1433</v>
      </c>
      <c r="V30" s="1682"/>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787" t="s">
        <v>2307</v>
      </c>
      <c r="B1" s="1787"/>
      <c r="C1" s="1787"/>
      <c r="D1" s="1787"/>
      <c r="E1" s="1787"/>
      <c r="F1" s="1787"/>
      <c r="G1" s="1787"/>
      <c r="H1" s="1787"/>
      <c r="I1" s="1787"/>
      <c r="N1" s="1682" t="s">
        <v>2308</v>
      </c>
      <c r="O1" s="1682"/>
      <c r="P1" s="1682"/>
      <c r="Q1" s="1682"/>
      <c r="R1" s="1682"/>
      <c r="S1" s="1682"/>
      <c r="T1" s="1682"/>
      <c r="U1" s="1682"/>
      <c r="V1" s="1682"/>
    </row>
    <row r="2" spans="1:24">
      <c r="A2" s="1765" t="s">
        <v>2309</v>
      </c>
      <c r="B2" s="1765"/>
      <c r="C2" s="1765"/>
      <c r="D2" s="1765"/>
      <c r="E2" s="1765"/>
      <c r="F2" s="1765"/>
      <c r="G2" s="1765"/>
      <c r="H2" s="1765"/>
      <c r="I2" s="1765"/>
      <c r="N2" s="1682" t="s">
        <v>851</v>
      </c>
      <c r="O2" s="1682"/>
      <c r="P2" s="1682"/>
      <c r="Q2" s="1682"/>
      <c r="R2" s="1682"/>
      <c r="S2" s="1682"/>
      <c r="T2" s="1682"/>
      <c r="U2" s="1682"/>
      <c r="V2" s="1682"/>
    </row>
    <row r="4" spans="1:24" s="1278" customFormat="1" ht="20.25">
      <c r="A4" s="1788" t="s">
        <v>2342</v>
      </c>
      <c r="B4" s="1788"/>
      <c r="C4" s="1788"/>
      <c r="D4" s="1788"/>
      <c r="E4" s="1788"/>
      <c r="F4" s="1788"/>
      <c r="G4" s="1788"/>
      <c r="H4" s="1788"/>
      <c r="I4" s="1788"/>
      <c r="J4" s="1788"/>
      <c r="K4" s="1788"/>
      <c r="L4" s="1788"/>
      <c r="M4" s="1788"/>
      <c r="N4" s="1788"/>
      <c r="O4" s="1788"/>
      <c r="P4" s="1788"/>
      <c r="Q4" s="1788"/>
      <c r="R4" s="1788"/>
      <c r="S4" s="1788"/>
      <c r="T4" s="1788"/>
      <c r="U4" s="1788"/>
      <c r="V4" s="1788"/>
    </row>
    <row r="6" spans="1:24" s="1266" customFormat="1" ht="12.75">
      <c r="A6" s="1785" t="s">
        <v>2311</v>
      </c>
      <c r="B6" s="1757" t="s">
        <v>2312</v>
      </c>
      <c r="C6" s="1279"/>
      <c r="D6" s="1757" t="s">
        <v>2313</v>
      </c>
      <c r="E6" s="1785" t="s">
        <v>854</v>
      </c>
      <c r="F6" s="1784" t="s">
        <v>2315</v>
      </c>
      <c r="G6" s="1784"/>
      <c r="H6" s="1784"/>
      <c r="I6" s="1784"/>
      <c r="J6" s="1784"/>
      <c r="K6" s="1784"/>
      <c r="L6" s="1784"/>
      <c r="M6" s="1784"/>
      <c r="N6" s="1784" t="s">
        <v>2343</v>
      </c>
      <c r="O6" s="1784"/>
      <c r="P6" s="1784"/>
      <c r="Q6" s="1784"/>
      <c r="R6" s="1784"/>
      <c r="S6" s="1784"/>
      <c r="T6" s="1784"/>
      <c r="U6" s="1784"/>
      <c r="V6" s="1785" t="s">
        <v>2316</v>
      </c>
    </row>
    <row r="7" spans="1:24" s="1266" customFormat="1" ht="24">
      <c r="A7" s="1785"/>
      <c r="B7" s="1757"/>
      <c r="C7" s="1279"/>
      <c r="D7" s="1757"/>
      <c r="E7" s="1785"/>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785"/>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31.5">
      <c r="A10" s="1291" t="s">
        <v>1111</v>
      </c>
      <c r="B10" s="698">
        <v>39</v>
      </c>
      <c r="C10" s="698"/>
      <c r="D10" s="698"/>
      <c r="E10" s="1069" t="s">
        <v>1895</v>
      </c>
      <c r="F10" s="1292" t="s">
        <v>2327</v>
      </c>
      <c r="G10" s="388">
        <v>4.9800000000000004</v>
      </c>
      <c r="H10" s="1293">
        <v>7.0000000000000007E-2</v>
      </c>
      <c r="I10" s="1294">
        <f>G10*H10</f>
        <v>0.34860000000000008</v>
      </c>
      <c r="J10" s="698"/>
      <c r="K10" s="1295">
        <v>0.17</v>
      </c>
      <c r="L10" s="1296">
        <f>(G10+I10+J10)*K10</f>
        <v>0.90586200000000017</v>
      </c>
      <c r="M10" s="381" t="s">
        <v>2328</v>
      </c>
      <c r="N10" s="1292" t="s">
        <v>2327</v>
      </c>
      <c r="O10" s="388">
        <v>4.9800000000000004</v>
      </c>
      <c r="P10" s="1293">
        <v>7.0000000000000007E-2</v>
      </c>
      <c r="Q10" s="503">
        <f>P10*O10</f>
        <v>0.34860000000000008</v>
      </c>
      <c r="R10" s="698">
        <v>0</v>
      </c>
      <c r="S10" s="1295">
        <v>0.18</v>
      </c>
      <c r="T10" s="1296">
        <f>(O10+Q10+R10)*S10</f>
        <v>0.95914800000000011</v>
      </c>
      <c r="U10" s="381" t="s">
        <v>2328</v>
      </c>
      <c r="V10" s="1297" t="s">
        <v>2344</v>
      </c>
    </row>
    <row r="11" spans="1:24" s="1298" customFormat="1" ht="31.5">
      <c r="A11" s="1291" t="s">
        <v>1112</v>
      </c>
      <c r="B11" s="698">
        <v>65</v>
      </c>
      <c r="C11" s="698"/>
      <c r="D11" s="698"/>
      <c r="E11" s="1069" t="s">
        <v>2345</v>
      </c>
      <c r="F11" s="1292"/>
      <c r="G11" s="388"/>
      <c r="H11" s="1293"/>
      <c r="I11" s="1294"/>
      <c r="J11" s="698"/>
      <c r="K11" s="1295">
        <v>0.08</v>
      </c>
      <c r="L11" s="1296"/>
      <c r="M11" s="381"/>
      <c r="N11" s="1292" t="s">
        <v>2327</v>
      </c>
      <c r="O11" s="388">
        <v>1.9890000000000001</v>
      </c>
      <c r="P11" s="1293"/>
      <c r="Q11" s="503">
        <f>P11*O11</f>
        <v>0</v>
      </c>
      <c r="R11" s="698"/>
      <c r="S11" s="1295">
        <v>0</v>
      </c>
      <c r="T11" s="1296">
        <f>(O11+Q11+R11)*S11</f>
        <v>0</v>
      </c>
      <c r="U11" s="381" t="s">
        <v>2328</v>
      </c>
      <c r="V11" s="1297" t="s">
        <v>2346</v>
      </c>
    </row>
    <row r="12" spans="1:24" s="1298" customFormat="1" ht="63">
      <c r="A12" s="1291" t="s">
        <v>1113</v>
      </c>
      <c r="B12" s="698">
        <v>66</v>
      </c>
      <c r="C12" s="698"/>
      <c r="D12" s="698"/>
      <c r="E12" s="1069" t="s">
        <v>2018</v>
      </c>
      <c r="F12" s="1292" t="s">
        <v>2327</v>
      </c>
      <c r="G12" s="388">
        <v>1.9890000000000001</v>
      </c>
      <c r="H12" s="1293"/>
      <c r="I12" s="1294">
        <f>G12*H12</f>
        <v>0</v>
      </c>
      <c r="J12" s="698"/>
      <c r="K12" s="1295"/>
      <c r="L12" s="1296">
        <f>(G12+I12+J12)*K12</f>
        <v>0</v>
      </c>
      <c r="M12" s="381" t="s">
        <v>2328</v>
      </c>
      <c r="N12" s="1292" t="s">
        <v>2327</v>
      </c>
      <c r="O12" s="388"/>
      <c r="P12" s="1293"/>
      <c r="Q12" s="503">
        <f>P12*O12</f>
        <v>0</v>
      </c>
      <c r="R12" s="698"/>
      <c r="S12" s="1295"/>
      <c r="T12" s="1296"/>
      <c r="U12" s="381"/>
      <c r="V12" s="1297" t="s">
        <v>2347</v>
      </c>
    </row>
    <row r="13" spans="1:24" s="1298" customFormat="1" ht="94.5">
      <c r="A13" s="1291" t="s">
        <v>1114</v>
      </c>
      <c r="B13" s="698">
        <v>140</v>
      </c>
      <c r="C13" s="698"/>
      <c r="D13" s="698"/>
      <c r="E13" s="1069" t="s">
        <v>1947</v>
      </c>
      <c r="F13" s="1292" t="s">
        <v>2327</v>
      </c>
      <c r="G13" s="388">
        <v>2.34</v>
      </c>
      <c r="H13" s="1293"/>
      <c r="I13" s="1294">
        <f>G13*H13</f>
        <v>0</v>
      </c>
      <c r="J13" s="698"/>
      <c r="K13" s="1295"/>
      <c r="L13" s="1296"/>
      <c r="M13" s="381"/>
      <c r="N13" s="1292" t="s">
        <v>2327</v>
      </c>
      <c r="O13" s="388" t="s">
        <v>2330</v>
      </c>
      <c r="P13" s="1293"/>
      <c r="Q13" s="503"/>
      <c r="R13" s="698"/>
      <c r="S13" s="1295"/>
      <c r="T13" s="1296"/>
      <c r="U13" s="381"/>
      <c r="V13" s="1297" t="s">
        <v>2331</v>
      </c>
      <c r="X13" s="1298" t="s">
        <v>2332</v>
      </c>
    </row>
    <row r="14" spans="1:24" s="1298" customFormat="1" ht="31.5">
      <c r="A14" s="1291" t="s">
        <v>1115</v>
      </c>
      <c r="B14" s="698">
        <v>152</v>
      </c>
      <c r="C14" s="698"/>
      <c r="D14" s="698"/>
      <c r="E14" s="1069" t="s">
        <v>1491</v>
      </c>
      <c r="F14" s="1292" t="s">
        <v>2327</v>
      </c>
      <c r="G14" s="388">
        <v>4.32</v>
      </c>
      <c r="H14" s="1293"/>
      <c r="I14" s="1294">
        <f>G14*H14</f>
        <v>0</v>
      </c>
      <c r="J14" s="698"/>
      <c r="K14" s="1295">
        <v>0.21</v>
      </c>
      <c r="L14" s="1296">
        <f>(G14+I14+J14)*K14</f>
        <v>0.90720000000000001</v>
      </c>
      <c r="M14" s="381" t="s">
        <v>2328</v>
      </c>
      <c r="N14" s="1292" t="s">
        <v>2327</v>
      </c>
      <c r="O14" s="388">
        <v>4.32</v>
      </c>
      <c r="P14" s="1293"/>
      <c r="Q14" s="503">
        <f>P14*O14</f>
        <v>0</v>
      </c>
      <c r="R14" s="698"/>
      <c r="S14" s="1295">
        <v>0.22</v>
      </c>
      <c r="T14" s="1296">
        <f>(O14+Q14+R14)*S14</f>
        <v>0.95040000000000002</v>
      </c>
      <c r="U14" s="381" t="s">
        <v>2328</v>
      </c>
      <c r="V14" s="1297" t="s">
        <v>2344</v>
      </c>
    </row>
    <row r="15" spans="1:24" s="1298" customFormat="1" ht="31.5">
      <c r="A15" s="1291" t="s">
        <v>1116</v>
      </c>
      <c r="B15" s="1299">
        <v>217</v>
      </c>
      <c r="C15" s="1299"/>
      <c r="D15" s="1299"/>
      <c r="E15" s="1300" t="s">
        <v>1530</v>
      </c>
      <c r="F15" s="1292" t="s">
        <v>2327</v>
      </c>
      <c r="G15" s="837">
        <v>3.66</v>
      </c>
      <c r="H15" s="1301"/>
      <c r="I15" s="1294">
        <f>G15*H15</f>
        <v>0</v>
      </c>
      <c r="J15" s="1299"/>
      <c r="K15" s="1302">
        <v>0.13</v>
      </c>
      <c r="L15" s="1296">
        <f>(G15+I15+J15)*K15</f>
        <v>0.47580000000000006</v>
      </c>
      <c r="M15" s="381" t="s">
        <v>2328</v>
      </c>
      <c r="N15" s="1292" t="s">
        <v>2327</v>
      </c>
      <c r="O15" s="837">
        <v>3.66</v>
      </c>
      <c r="P15" s="1301"/>
      <c r="Q15" s="1303"/>
      <c r="R15" s="1299"/>
      <c r="S15" s="1302">
        <v>0.14000000000000001</v>
      </c>
      <c r="T15" s="1296">
        <f>(O15+Q15+R15)*S15</f>
        <v>0.51240000000000008</v>
      </c>
      <c r="U15" s="381" t="s">
        <v>2328</v>
      </c>
      <c r="V15" s="1304" t="s">
        <v>2344</v>
      </c>
    </row>
    <row r="16" spans="1:24" s="1298" customFormat="1" ht="78.75">
      <c r="A16" s="1305" t="s">
        <v>1117</v>
      </c>
      <c r="B16" s="1306">
        <v>260</v>
      </c>
      <c r="C16" s="1306"/>
      <c r="D16" s="1306"/>
      <c r="E16" s="1307" t="s">
        <v>1942</v>
      </c>
      <c r="F16" s="1308" t="s">
        <v>2327</v>
      </c>
      <c r="G16" s="929">
        <v>2.34</v>
      </c>
      <c r="H16" s="1309"/>
      <c r="I16" s="1310">
        <f>G16*H16</f>
        <v>0</v>
      </c>
      <c r="J16" s="1306"/>
      <c r="K16" s="1311"/>
      <c r="L16" s="1312">
        <f>(G16+I16+J16)*K16</f>
        <v>0</v>
      </c>
      <c r="M16" s="935" t="s">
        <v>2328</v>
      </c>
      <c r="N16" s="1308"/>
      <c r="O16" s="929"/>
      <c r="P16" s="1309"/>
      <c r="Q16" s="1313"/>
      <c r="R16" s="1306"/>
      <c r="S16" s="1311"/>
      <c r="T16" s="1312"/>
      <c r="U16" s="935"/>
      <c r="V16" s="1314" t="s">
        <v>2348</v>
      </c>
    </row>
    <row r="17" spans="1:24" s="1298" customFormat="1">
      <c r="A17" s="1315"/>
      <c r="B17" s="1315"/>
      <c r="C17" s="1315"/>
      <c r="D17" s="1316"/>
      <c r="E17" s="1317"/>
      <c r="F17" s="1318"/>
      <c r="G17" s="1319"/>
      <c r="H17" s="1320"/>
      <c r="I17" s="1321"/>
      <c r="J17" s="1315"/>
      <c r="K17" s="1322"/>
      <c r="L17" s="1323"/>
      <c r="M17" s="1316"/>
      <c r="N17" s="1318"/>
      <c r="O17" s="1319"/>
      <c r="P17" s="1320"/>
      <c r="Q17" s="1324"/>
      <c r="R17" s="1315"/>
      <c r="S17" s="1322"/>
      <c r="T17" s="1323"/>
      <c r="U17" s="1316"/>
      <c r="V17" s="1325"/>
    </row>
    <row r="18" spans="1:24" s="1298" customFormat="1" hidden="1">
      <c r="A18" s="1315"/>
      <c r="B18" s="1315"/>
      <c r="C18" s="1315"/>
      <c r="D18" s="1316"/>
      <c r="E18" s="1786" t="s">
        <v>2337</v>
      </c>
      <c r="F18" s="1786"/>
      <c r="G18" s="1786"/>
      <c r="H18" s="1786"/>
      <c r="I18" s="1786"/>
      <c r="J18" s="1786"/>
      <c r="K18" s="1786"/>
      <c r="L18" s="1786"/>
      <c r="M18" s="1786"/>
      <c r="N18" s="1786"/>
      <c r="O18" s="1786"/>
      <c r="P18" s="1786"/>
      <c r="Q18" s="1786"/>
      <c r="R18" s="1786"/>
      <c r="S18" s="1786"/>
      <c r="T18" s="1786"/>
      <c r="U18" s="1316"/>
      <c r="V18" s="1325"/>
    </row>
    <row r="19" spans="1:24" s="1336" customFormat="1">
      <c r="A19" s="1326"/>
      <c r="B19" s="1327"/>
      <c r="C19" s="1327"/>
      <c r="D19" s="1328" t="s">
        <v>2338</v>
      </c>
      <c r="E19" s="1328"/>
      <c r="F19" s="1318"/>
      <c r="G19" s="1329"/>
      <c r="H19" s="1330"/>
      <c r="I19" s="1331"/>
      <c r="J19" s="1315"/>
      <c r="K19" s="1315"/>
      <c r="L19" s="1332"/>
      <c r="M19" s="1316"/>
      <c r="N19" s="1333"/>
      <c r="O19" s="1334"/>
      <c r="P19" s="1335"/>
      <c r="Q19" s="1334"/>
      <c r="R19" s="1328"/>
      <c r="S19" s="1328"/>
      <c r="T19" s="1328"/>
      <c r="V19" s="1337" t="s">
        <v>2349</v>
      </c>
    </row>
    <row r="20" spans="1:24" s="410" customFormat="1">
      <c r="A20" s="1682" t="s">
        <v>2340</v>
      </c>
      <c r="B20" s="1682"/>
      <c r="C20" s="1682"/>
      <c r="D20" s="1682"/>
      <c r="E20" s="1682"/>
      <c r="F20" s="1682"/>
      <c r="G20" s="1682" t="s">
        <v>1191</v>
      </c>
      <c r="H20" s="1682"/>
      <c r="I20" s="1682"/>
      <c r="J20" s="1682"/>
      <c r="K20" s="1682"/>
      <c r="L20" s="1682"/>
      <c r="M20" s="1682"/>
      <c r="N20" s="1682"/>
      <c r="O20" s="1682"/>
      <c r="P20" s="1682"/>
      <c r="Q20" s="1682"/>
      <c r="R20" s="1682"/>
      <c r="S20" s="1264"/>
      <c r="T20" s="1264"/>
      <c r="U20" s="1682" t="s">
        <v>2341</v>
      </c>
      <c r="V20" s="1682"/>
    </row>
    <row r="21" spans="1:24">
      <c r="U21" s="1682"/>
      <c r="V21" s="1682"/>
      <c r="X21" s="410"/>
    </row>
    <row r="24" spans="1:24" hidden="1"/>
    <row r="28" spans="1:24" s="410" customFormat="1">
      <c r="A28" s="1682" t="s">
        <v>1827</v>
      </c>
      <c r="B28" s="1682"/>
      <c r="C28" s="1682"/>
      <c r="D28" s="1682"/>
      <c r="E28" s="1682"/>
      <c r="F28" s="1682"/>
      <c r="G28" s="1682" t="s">
        <v>1445</v>
      </c>
      <c r="H28" s="1682"/>
      <c r="I28" s="1682"/>
      <c r="J28" s="1682"/>
      <c r="K28" s="1682"/>
      <c r="L28" s="1682"/>
      <c r="M28" s="1682"/>
      <c r="N28" s="1682"/>
      <c r="O28" s="1682"/>
      <c r="P28" s="1682"/>
      <c r="Q28" s="1682"/>
      <c r="R28" s="1682"/>
      <c r="U28" s="1682" t="s">
        <v>1433</v>
      </c>
      <c r="V28" s="1682"/>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22</vt:i4>
      </vt:variant>
    </vt:vector>
  </HeadingPairs>
  <TitlesOfParts>
    <vt:vector size="41" baseType="lpstr">
      <vt:lpstr>TH.T3</vt:lpstr>
      <vt:lpstr>TH</vt:lpstr>
      <vt:lpstr>TL</vt:lpstr>
      <vt:lpstr>TH.T4</vt:lpstr>
      <vt:lpstr>TH.T5</vt:lpstr>
      <vt:lpstr>TH T10</vt:lpstr>
      <vt:lpstr>TH.Q2</vt:lpstr>
      <vt:lpstr>TH.T6</vt:lpstr>
      <vt:lpstr>TH T11</vt:lpstr>
      <vt:lpstr>CN</vt:lpstr>
      <vt:lpstr>NH</vt:lpstr>
      <vt:lpstr>CN mới</vt:lpstr>
      <vt:lpstr>THPT mới</vt:lpstr>
      <vt:lpstr>NH mới</vt:lpstr>
      <vt:lpstr>111</vt:lpstr>
      <vt:lpstr>T5</vt:lpstr>
      <vt:lpstr>DC T7</vt:lpstr>
      <vt:lpstr>DC T8</vt:lpstr>
      <vt:lpstr>DC T9</vt:lpstr>
      <vt:lpstr>CN!Print_Area</vt:lpstr>
      <vt:lpstr>NH!Print_Area</vt:lpstr>
      <vt:lpstr>TL!Print_Area</vt:lpstr>
      <vt:lpstr>TH!Print_Area</vt:lpstr>
      <vt:lpstr>'TH T10'!Print_Area</vt:lpstr>
      <vt:lpstr>'TH T11'!Print_Area</vt:lpstr>
      <vt:lpstr>TH.Q2!Print_Area</vt:lpstr>
      <vt:lpstr>TH.T3!Print_Area</vt:lpstr>
      <vt:lpstr>TH.T4!Print_Area</vt:lpstr>
      <vt:lpstr>TH.T5!Print_Area</vt:lpstr>
      <vt:lpstr>'111'!Print_Titles</vt:lpstr>
      <vt:lpstr>CN!Print_Titles</vt:lpstr>
      <vt:lpstr>'T5'!Print_Titles</vt:lpstr>
      <vt:lpstr>TL!Print_Titles</vt:lpstr>
      <vt:lpstr>TH!Print_Titles</vt:lpstr>
      <vt:lpstr>'TH T10'!Print_Titles</vt:lpstr>
      <vt:lpstr>'TH T11'!Print_Titles</vt:lpstr>
      <vt:lpstr>TH.Q2!Print_Titles</vt:lpstr>
      <vt:lpstr>TH.T3!Print_Titles</vt:lpstr>
      <vt:lpstr>TH.T4!Print_Titles</vt:lpstr>
      <vt:lpstr>TH.T5!Print_Titles</vt:lpstr>
      <vt:lpstr>TH.T6!Print_Titles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2025-06-26T00:50:45Z</cp:lastPrinted>
  <dcterms:created xsi:type="dcterms:W3CDTF">2007-10-05T01:09:12Z</dcterms:created>
  <dcterms:modified xsi:type="dcterms:W3CDTF">2025-06-26T09:42:00Z</dcterms:modified>
</cp:coreProperties>
</file>