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5\Luong\Tu co\"/>
    </mc:Choice>
  </mc:AlternateContent>
  <bookViews>
    <workbookView xWindow="-15" yWindow="60" windowWidth="7680" windowHeight="1095" tabRatio="751" firstSheet="5" activeTab="5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05-25" sheetId="12" r:id="rId7"/>
    <sheet name="BHXH" sheetId="34" state="hidden" r:id="rId8"/>
    <sheet name="Thu viec CN" sheetId="3" state="hidden" r:id="rId9"/>
    <sheet name="Moi" sheetId="35" state="hidden" r:id="rId10"/>
    <sheet name="Sheet1" sheetId="3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'CN '!$A$12:$AC$78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9" hidden="1">Moi!$A$12:$AH$14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T05-25'!$7:$8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9">Moi!$10:$11</definedName>
    <definedName name="_xlnm.Print_Titles" localSheetId="3">'ND 111'!$10:$11</definedName>
    <definedName name="_xlnm.Print_Titles" localSheetId="4">'Y tế'!$10:$11</definedName>
  </definedNames>
  <calcPr calcId="162913"/>
</workbook>
</file>

<file path=xl/calcChain.xml><?xml version="1.0" encoding="utf-8"?>
<calcChain xmlns="http://schemas.openxmlformats.org/spreadsheetml/2006/main">
  <c r="S52" i="18" l="1"/>
  <c r="R52" i="18"/>
  <c r="K69" i="18" l="1"/>
  <c r="L66" i="18" l="1"/>
  <c r="R66" i="18" s="1"/>
  <c r="N66" i="18" l="1"/>
  <c r="P66" i="18" s="1"/>
  <c r="S66" i="18"/>
  <c r="Q66" i="18"/>
  <c r="U66" i="18" s="1"/>
  <c r="L50" i="18"/>
  <c r="S50" i="18" s="1"/>
  <c r="AA66" i="18" l="1"/>
  <c r="Q50" i="18"/>
  <c r="R50" i="18"/>
  <c r="N50" i="18"/>
  <c r="P50" i="18" s="1"/>
  <c r="U50" i="18" l="1"/>
  <c r="AA50" i="18" s="1"/>
  <c r="L49" i="18" l="1"/>
  <c r="R49" i="18" s="1"/>
  <c r="N49" i="18" l="1"/>
  <c r="P49" i="18" s="1"/>
  <c r="S49" i="18"/>
  <c r="Q49" i="18"/>
  <c r="U49" i="18" l="1"/>
  <c r="AA49" i="18" s="1"/>
  <c r="F55" i="18" l="1"/>
  <c r="F56" i="18"/>
  <c r="F57" i="18"/>
  <c r="F58" i="18"/>
  <c r="F59" i="18"/>
  <c r="F60" i="18"/>
  <c r="F61" i="18"/>
  <c r="F62" i="18"/>
  <c r="F63" i="18"/>
  <c r="F64" i="18"/>
  <c r="F65" i="18"/>
  <c r="F67" i="18"/>
  <c r="F68" i="18"/>
  <c r="F69" i="18"/>
  <c r="F70" i="18"/>
  <c r="F71" i="18"/>
  <c r="F72" i="18"/>
  <c r="F73" i="18"/>
  <c r="F74" i="18"/>
  <c r="F75" i="18"/>
  <c r="F76" i="18"/>
  <c r="F48" i="18"/>
  <c r="F77" i="18"/>
  <c r="F54" i="18"/>
  <c r="A15" i="18"/>
  <c r="J78" i="18"/>
  <c r="M78" i="18"/>
  <c r="O78" i="18"/>
  <c r="T78" i="18"/>
  <c r="V78" i="18"/>
  <c r="W78" i="18"/>
  <c r="X78" i="18"/>
  <c r="Y78" i="18"/>
  <c r="Z78" i="18"/>
  <c r="I78" i="18"/>
  <c r="J52" i="18"/>
  <c r="M52" i="18"/>
  <c r="O52" i="18"/>
  <c r="T52" i="18"/>
  <c r="V52" i="18"/>
  <c r="W52" i="18"/>
  <c r="X52" i="18"/>
  <c r="Y52" i="18"/>
  <c r="Z52" i="18"/>
  <c r="I52" i="18"/>
  <c r="L77" i="18"/>
  <c r="E77" i="18"/>
  <c r="L48" i="18"/>
  <c r="Q48" i="18" s="1"/>
  <c r="E48" i="18"/>
  <c r="L76" i="18"/>
  <c r="R76" i="18" s="1"/>
  <c r="L75" i="18"/>
  <c r="R75" i="18" s="1"/>
  <c r="L74" i="18"/>
  <c r="R74" i="18" s="1"/>
  <c r="E74" i="18"/>
  <c r="L73" i="18"/>
  <c r="R73" i="18" s="1"/>
  <c r="E73" i="18"/>
  <c r="L72" i="18"/>
  <c r="E72" i="18"/>
  <c r="L71" i="18"/>
  <c r="Q71" i="18" s="1"/>
  <c r="E71" i="18"/>
  <c r="L70" i="18"/>
  <c r="R70" i="18" s="1"/>
  <c r="E70" i="18"/>
  <c r="L69" i="18"/>
  <c r="E69" i="18"/>
  <c r="D69" i="18"/>
  <c r="L68" i="18"/>
  <c r="E68" i="18"/>
  <c r="D68" i="18"/>
  <c r="L67" i="18"/>
  <c r="R67" i="18" s="1"/>
  <c r="E67" i="18"/>
  <c r="L65" i="18"/>
  <c r="L64" i="18"/>
  <c r="R64" i="18" s="1"/>
  <c r="L63" i="18"/>
  <c r="Q63" i="18" s="1"/>
  <c r="E63" i="18"/>
  <c r="L62" i="18"/>
  <c r="R62" i="18" s="1"/>
  <c r="E62" i="18"/>
  <c r="L61" i="18"/>
  <c r="E61" i="18"/>
  <c r="L60" i="18"/>
  <c r="Q60" i="18" s="1"/>
  <c r="E60" i="18"/>
  <c r="D60" i="18"/>
  <c r="L59" i="18"/>
  <c r="Q59" i="18" s="1"/>
  <c r="E59" i="18"/>
  <c r="D59" i="18"/>
  <c r="K58" i="18"/>
  <c r="L58" i="18" s="1"/>
  <c r="E58" i="18"/>
  <c r="L57" i="18"/>
  <c r="R57" i="18" s="1"/>
  <c r="D57" i="18"/>
  <c r="L56" i="18"/>
  <c r="R56" i="18" s="1"/>
  <c r="E56" i="18"/>
  <c r="L55" i="18"/>
  <c r="R55" i="18" s="1"/>
  <c r="E55" i="18"/>
  <c r="L54" i="18"/>
  <c r="Q54" i="18" s="1"/>
  <c r="D54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S48" i="40"/>
  <c r="Q48" i="40"/>
  <c r="U48" i="40" s="1"/>
  <c r="P48" i="40"/>
  <c r="N48" i="40"/>
  <c r="L48" i="40"/>
  <c r="R48" i="40" s="1"/>
  <c r="F48" i="40"/>
  <c r="S47" i="40"/>
  <c r="P47" i="40"/>
  <c r="N47" i="40"/>
  <c r="L47" i="40"/>
  <c r="R47" i="40" s="1"/>
  <c r="F47" i="40"/>
  <c r="S46" i="40"/>
  <c r="R46" i="40"/>
  <c r="N46" i="40"/>
  <c r="L46" i="40"/>
  <c r="K46" i="40"/>
  <c r="K51" i="40" s="1"/>
  <c r="F46" i="40"/>
  <c r="S45" i="40"/>
  <c r="R45" i="40"/>
  <c r="N45" i="40"/>
  <c r="L45" i="40"/>
  <c r="F45" i="40"/>
  <c r="D45" i="40"/>
  <c r="S44" i="40"/>
  <c r="R44" i="40"/>
  <c r="N44" i="40"/>
  <c r="L44" i="40"/>
  <c r="F44" i="40"/>
  <c r="L43" i="40"/>
  <c r="F43" i="40"/>
  <c r="D43" i="40"/>
  <c r="R42" i="40"/>
  <c r="L42" i="40"/>
  <c r="F42" i="40"/>
  <c r="S41" i="40"/>
  <c r="Q41" i="40"/>
  <c r="U41" i="40" s="1"/>
  <c r="P41" i="40"/>
  <c r="AA41" i="40" s="1"/>
  <c r="N41" i="40"/>
  <c r="L41" i="40"/>
  <c r="R41" i="40" s="1"/>
  <c r="F41" i="40"/>
  <c r="D41" i="40"/>
  <c r="S40" i="40"/>
  <c r="Q40" i="40"/>
  <c r="U40" i="40" s="1"/>
  <c r="P40" i="40"/>
  <c r="AA40" i="40" s="1"/>
  <c r="N40" i="40"/>
  <c r="L40" i="40"/>
  <c r="R40" i="40" s="1"/>
  <c r="F40" i="40"/>
  <c r="S39" i="40"/>
  <c r="P39" i="40"/>
  <c r="N39" i="40"/>
  <c r="L39" i="40"/>
  <c r="R39" i="40" s="1"/>
  <c r="F39" i="40"/>
  <c r="D39" i="40"/>
  <c r="S38" i="40"/>
  <c r="P38" i="40"/>
  <c r="N38" i="40"/>
  <c r="L38" i="40"/>
  <c r="R38" i="40" s="1"/>
  <c r="F38" i="40"/>
  <c r="D38" i="40"/>
  <c r="S37" i="40"/>
  <c r="R37" i="40"/>
  <c r="N37" i="40"/>
  <c r="L37" i="40"/>
  <c r="F37" i="40"/>
  <c r="L36" i="40"/>
  <c r="F36" i="40"/>
  <c r="D36" i="40"/>
  <c r="R35" i="40"/>
  <c r="L35" i="40"/>
  <c r="F35" i="40"/>
  <c r="D35" i="40"/>
  <c r="R34" i="40"/>
  <c r="Q34" i="40"/>
  <c r="L34" i="40"/>
  <c r="F34" i="40"/>
  <c r="D34" i="40"/>
  <c r="L33" i="40"/>
  <c r="Q33" i="40" s="1"/>
  <c r="F33" i="40"/>
  <c r="D33" i="40"/>
  <c r="L32" i="40"/>
  <c r="F32" i="40"/>
  <c r="S31" i="40"/>
  <c r="Q31" i="40"/>
  <c r="U31" i="40" s="1"/>
  <c r="P31" i="40"/>
  <c r="AA31" i="40" s="1"/>
  <c r="N31" i="40"/>
  <c r="L31" i="40"/>
  <c r="R31" i="40" s="1"/>
  <c r="F31" i="40"/>
  <c r="D31" i="40"/>
  <c r="S30" i="40"/>
  <c r="Q30" i="40"/>
  <c r="P30" i="40"/>
  <c r="N30" i="40"/>
  <c r="L30" i="40"/>
  <c r="R30" i="40" s="1"/>
  <c r="U30" i="40" s="1"/>
  <c r="F30" i="40"/>
  <c r="S29" i="40"/>
  <c r="N29" i="40"/>
  <c r="P29" i="40" s="1"/>
  <c r="L29" i="40"/>
  <c r="R29" i="40" s="1"/>
  <c r="F29" i="40"/>
  <c r="A29" i="40"/>
  <c r="AB29" i="40" s="1"/>
  <c r="S28" i="40"/>
  <c r="R28" i="40"/>
  <c r="L28" i="40"/>
  <c r="F28" i="40"/>
  <c r="AD27" i="40"/>
  <c r="S27" i="40"/>
  <c r="R27" i="40"/>
  <c r="N27" i="40"/>
  <c r="L27" i="40"/>
  <c r="F27" i="40"/>
  <c r="R26" i="40"/>
  <c r="Q26" i="40"/>
  <c r="L26" i="40"/>
  <c r="F26" i="40"/>
  <c r="S25" i="40"/>
  <c r="Q25" i="40"/>
  <c r="U25" i="40" s="1"/>
  <c r="P25" i="40"/>
  <c r="AA25" i="40" s="1"/>
  <c r="N25" i="40"/>
  <c r="L25" i="40"/>
  <c r="R25" i="40" s="1"/>
  <c r="F25" i="40"/>
  <c r="R24" i="40"/>
  <c r="L24" i="40"/>
  <c r="Q24" i="40" s="1"/>
  <c r="F24" i="40"/>
  <c r="L23" i="40"/>
  <c r="F23" i="40"/>
  <c r="L22" i="40"/>
  <c r="F22" i="40"/>
  <c r="U21" i="40"/>
  <c r="S21" i="40"/>
  <c r="Q21" i="40"/>
  <c r="N21" i="40"/>
  <c r="P21" i="40" s="1"/>
  <c r="AA21" i="40" s="1"/>
  <c r="L21" i="40"/>
  <c r="R21" i="40" s="1"/>
  <c r="F21" i="40"/>
  <c r="D21" i="40"/>
  <c r="S20" i="40"/>
  <c r="Q20" i="40"/>
  <c r="U20" i="40" s="1"/>
  <c r="N20" i="40"/>
  <c r="P20" i="40" s="1"/>
  <c r="AA20" i="40" s="1"/>
  <c r="L20" i="40"/>
  <c r="R20" i="40" s="1"/>
  <c r="F20" i="40"/>
  <c r="D20" i="40"/>
  <c r="U19" i="40"/>
  <c r="S19" i="40"/>
  <c r="Q19" i="40"/>
  <c r="N19" i="40"/>
  <c r="P19" i="40" s="1"/>
  <c r="AA19" i="40" s="1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R16" i="40"/>
  <c r="L16" i="40"/>
  <c r="N16" i="40" s="1"/>
  <c r="F16" i="40"/>
  <c r="D16" i="40"/>
  <c r="AF15" i="40"/>
  <c r="R15" i="40"/>
  <c r="L15" i="40"/>
  <c r="Q15" i="40" s="1"/>
  <c r="F15" i="40"/>
  <c r="L14" i="40"/>
  <c r="L51" i="40" s="1"/>
  <c r="F14" i="40"/>
  <c r="AH9" i="40"/>
  <c r="AG9" i="40"/>
  <c r="AH7" i="40"/>
  <c r="AG7" i="40"/>
  <c r="AH6" i="40"/>
  <c r="AH8" i="40" s="1"/>
  <c r="AG6" i="40"/>
  <c r="AG8" i="40" s="1"/>
  <c r="AG4" i="40"/>
  <c r="A21" i="37"/>
  <c r="A22" i="37" s="1"/>
  <c r="L39" i="37"/>
  <c r="Q39" i="37" s="1"/>
  <c r="E39" i="37"/>
  <c r="A13" i="37"/>
  <c r="A14" i="37" s="1"/>
  <c r="A15" i="37" s="1"/>
  <c r="E38" i="37"/>
  <c r="L38" i="37"/>
  <c r="N38" i="37"/>
  <c r="S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S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Q27" i="37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6" i="18" l="1"/>
  <c r="Q57" i="18"/>
  <c r="Z79" i="18"/>
  <c r="V79" i="18"/>
  <c r="J79" i="18"/>
  <c r="T79" i="18"/>
  <c r="N64" i="18"/>
  <c r="P64" i="18" s="1"/>
  <c r="N67" i="18"/>
  <c r="P67" i="18" s="1"/>
  <c r="S67" i="18"/>
  <c r="X79" i="18"/>
  <c r="O79" i="18"/>
  <c r="S56" i="18"/>
  <c r="Y79" i="18"/>
  <c r="I79" i="18"/>
  <c r="W79" i="18"/>
  <c r="M79" i="18"/>
  <c r="N76" i="18"/>
  <c r="P76" i="18" s="1"/>
  <c r="K78" i="18"/>
  <c r="L78" i="18"/>
  <c r="Q70" i="18"/>
  <c r="S74" i="18"/>
  <c r="S57" i="18"/>
  <c r="S70" i="18"/>
  <c r="N73" i="18"/>
  <c r="P73" i="18" s="1"/>
  <c r="N74" i="18"/>
  <c r="P74" i="18" s="1"/>
  <c r="N56" i="18"/>
  <c r="P56" i="18" s="1"/>
  <c r="N57" i="18"/>
  <c r="P57" i="18" s="1"/>
  <c r="N62" i="18"/>
  <c r="P62" i="18" s="1"/>
  <c r="Q64" i="18"/>
  <c r="N70" i="18"/>
  <c r="P70" i="18" s="1"/>
  <c r="S73" i="18"/>
  <c r="Q76" i="18"/>
  <c r="S62" i="18"/>
  <c r="S64" i="18"/>
  <c r="Q74" i="18"/>
  <c r="S76" i="18"/>
  <c r="Q75" i="18"/>
  <c r="S75" i="18"/>
  <c r="N75" i="18"/>
  <c r="P75" i="18" s="1"/>
  <c r="Q68" i="18"/>
  <c r="S68" i="18"/>
  <c r="N68" i="18"/>
  <c r="P68" i="18" s="1"/>
  <c r="Q61" i="18"/>
  <c r="S61" i="18"/>
  <c r="N61" i="18"/>
  <c r="P61" i="18" s="1"/>
  <c r="R68" i="18"/>
  <c r="Q69" i="18"/>
  <c r="S69" i="18"/>
  <c r="N69" i="18"/>
  <c r="P69" i="18" s="1"/>
  <c r="Q72" i="18"/>
  <c r="S72" i="18"/>
  <c r="N72" i="18"/>
  <c r="P72" i="18" s="1"/>
  <c r="R61" i="18"/>
  <c r="Q65" i="18"/>
  <c r="S65" i="18"/>
  <c r="N65" i="18"/>
  <c r="P65" i="18" s="1"/>
  <c r="R69" i="18"/>
  <c r="R72" i="18"/>
  <c r="Q77" i="18"/>
  <c r="S77" i="18"/>
  <c r="N77" i="18"/>
  <c r="P77" i="18" s="1"/>
  <c r="S54" i="18"/>
  <c r="N54" i="18"/>
  <c r="P54" i="18" s="1"/>
  <c r="R54" i="18"/>
  <c r="Q55" i="18"/>
  <c r="S55" i="18"/>
  <c r="N55" i="18"/>
  <c r="P55" i="18" s="1"/>
  <c r="S58" i="18"/>
  <c r="N58" i="18"/>
  <c r="P58" i="18" s="1"/>
  <c r="Q58" i="18"/>
  <c r="R58" i="18"/>
  <c r="R65" i="18"/>
  <c r="R77" i="18"/>
  <c r="R71" i="18"/>
  <c r="R48" i="18"/>
  <c r="Q56" i="18"/>
  <c r="N59" i="18"/>
  <c r="P59" i="18" s="1"/>
  <c r="S59" i="18"/>
  <c r="N60" i="18"/>
  <c r="P60" i="18" s="1"/>
  <c r="S60" i="18"/>
  <c r="Q62" i="18"/>
  <c r="N63" i="18"/>
  <c r="P63" i="18" s="1"/>
  <c r="S63" i="18"/>
  <c r="Q67" i="18"/>
  <c r="N71" i="18"/>
  <c r="P71" i="18" s="1"/>
  <c r="S71" i="18"/>
  <c r="Q73" i="18"/>
  <c r="N48" i="18"/>
  <c r="P48" i="18" s="1"/>
  <c r="S48" i="18"/>
  <c r="R59" i="18"/>
  <c r="R60" i="18"/>
  <c r="R63" i="18"/>
  <c r="AG10" i="40"/>
  <c r="AG11" i="40" s="1"/>
  <c r="U17" i="40"/>
  <c r="AH10" i="40"/>
  <c r="AH11" i="40" s="1"/>
  <c r="U15" i="40"/>
  <c r="AA30" i="40"/>
  <c r="AA48" i="40"/>
  <c r="P32" i="40"/>
  <c r="S32" i="40"/>
  <c r="N32" i="40"/>
  <c r="P36" i="40"/>
  <c r="S36" i="40"/>
  <c r="N36" i="40"/>
  <c r="S43" i="40"/>
  <c r="N43" i="40"/>
  <c r="P43" i="40" s="1"/>
  <c r="N49" i="40"/>
  <c r="P49" i="40" s="1"/>
  <c r="AA49" i="40" s="1"/>
  <c r="R14" i="40"/>
  <c r="S22" i="40"/>
  <c r="N22" i="40"/>
  <c r="S23" i="40"/>
  <c r="P33" i="40"/>
  <c r="S33" i="40"/>
  <c r="N33" i="40"/>
  <c r="AA38" i="40"/>
  <c r="P22" i="40"/>
  <c r="N23" i="40"/>
  <c r="P23" i="40" s="1"/>
  <c r="AA23" i="40" s="1"/>
  <c r="S24" i="40"/>
  <c r="U24" i="40" s="1"/>
  <c r="S15" i="40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AA18" i="40" s="1"/>
  <c r="N14" i="40"/>
  <c r="S14" i="40"/>
  <c r="S51" i="40" s="1"/>
  <c r="P16" i="40"/>
  <c r="S16" i="40"/>
  <c r="Q22" i="40"/>
  <c r="Q23" i="40"/>
  <c r="U23" i="40" s="1"/>
  <c r="N24" i="40"/>
  <c r="Q14" i="40"/>
  <c r="N15" i="40"/>
  <c r="P15" i="40" s="1"/>
  <c r="Q16" i="40"/>
  <c r="U16" i="40" s="1"/>
  <c r="S17" i="40"/>
  <c r="N17" i="40"/>
  <c r="P17" i="40" s="1"/>
  <c r="R18" i="40"/>
  <c r="U18" i="40" s="1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AA28" i="40" s="1"/>
  <c r="R32" i="40"/>
  <c r="S34" i="40"/>
  <c r="U34" i="40" s="1"/>
  <c r="N34" i="40"/>
  <c r="P34" i="40" s="1"/>
  <c r="AA34" i="40" s="1"/>
  <c r="Q35" i="40"/>
  <c r="U35" i="40" s="1"/>
  <c r="R36" i="40"/>
  <c r="Q37" i="40"/>
  <c r="U37" i="40" s="1"/>
  <c r="P37" i="40"/>
  <c r="AA37" i="40" s="1"/>
  <c r="Q42" i="40"/>
  <c r="U42" i="40" s="1"/>
  <c r="R43" i="40"/>
  <c r="Q44" i="40"/>
  <c r="U44" i="40" s="1"/>
  <c r="P44" i="40"/>
  <c r="AA44" i="40" s="1"/>
  <c r="Q45" i="40"/>
  <c r="U45" i="40" s="1"/>
  <c r="P45" i="40"/>
  <c r="Q46" i="40"/>
  <c r="U46" i="40" s="1"/>
  <c r="P46" i="40"/>
  <c r="AA46" i="40" s="1"/>
  <c r="Q29" i="40"/>
  <c r="U29" i="40" s="1"/>
  <c r="AA29" i="40" s="1"/>
  <c r="Q38" i="40"/>
  <c r="U38" i="40" s="1"/>
  <c r="Q39" i="40"/>
  <c r="U39" i="40" s="1"/>
  <c r="AA39" i="40" s="1"/>
  <c r="Q47" i="40"/>
  <c r="U47" i="40" s="1"/>
  <c r="AA47" i="40" s="1"/>
  <c r="A23" i="37"/>
  <c r="A25" i="37" s="1"/>
  <c r="A24" i="37"/>
  <c r="P33" i="37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A17" i="37" s="1"/>
  <c r="AA33" i="37"/>
  <c r="R35" i="37"/>
  <c r="S28" i="37"/>
  <c r="Q35" i="37"/>
  <c r="Q38" i="37"/>
  <c r="U38" i="37" s="1"/>
  <c r="AA38" i="37" s="1"/>
  <c r="R38" i="37"/>
  <c r="R28" i="37"/>
  <c r="R29" i="37"/>
  <c r="Q28" i="37"/>
  <c r="U28" i="37" s="1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R78" i="18" l="1"/>
  <c r="S78" i="18"/>
  <c r="A17" i="18"/>
  <c r="U70" i="18"/>
  <c r="AA70" i="18" s="1"/>
  <c r="U57" i="18"/>
  <c r="AA57" i="18" s="1"/>
  <c r="U59" i="18"/>
  <c r="AA59" i="18" s="1"/>
  <c r="U67" i="18"/>
  <c r="AA67" i="18" s="1"/>
  <c r="U73" i="18"/>
  <c r="AA73" i="18" s="1"/>
  <c r="U56" i="18"/>
  <c r="AA56" i="18" s="1"/>
  <c r="Q78" i="18"/>
  <c r="U76" i="18"/>
  <c r="AA76" i="18" s="1"/>
  <c r="P78" i="18"/>
  <c r="U48" i="18"/>
  <c r="U64" i="18"/>
  <c r="AA64" i="18" s="1"/>
  <c r="U74" i="18"/>
  <c r="AA74" i="18" s="1"/>
  <c r="N78" i="18"/>
  <c r="U71" i="18"/>
  <c r="AA71" i="18" s="1"/>
  <c r="U55" i="18"/>
  <c r="AA55" i="18" s="1"/>
  <c r="U63" i="18"/>
  <c r="AA63" i="18" s="1"/>
  <c r="U54" i="18"/>
  <c r="U75" i="18"/>
  <c r="AA75" i="18" s="1"/>
  <c r="U60" i="18"/>
  <c r="AA60" i="18" s="1"/>
  <c r="U62" i="18"/>
  <c r="AA62" i="18" s="1"/>
  <c r="U65" i="18"/>
  <c r="AA65" i="18" s="1"/>
  <c r="U68" i="18"/>
  <c r="AA68" i="18" s="1"/>
  <c r="U61" i="18"/>
  <c r="AA61" i="18" s="1"/>
  <c r="U77" i="18"/>
  <c r="AA77" i="18" s="1"/>
  <c r="U72" i="18"/>
  <c r="AA72" i="18" s="1"/>
  <c r="U58" i="18"/>
  <c r="AA58" i="18" s="1"/>
  <c r="U69" i="18"/>
  <c r="AA69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U51" i="40" s="1"/>
  <c r="Q51" i="40"/>
  <c r="U32" i="40"/>
  <c r="AA32" i="40" s="1"/>
  <c r="P14" i="40"/>
  <c r="AA26" i="40"/>
  <c r="AA45" i="40"/>
  <c r="AA16" i="40"/>
  <c r="A28" i="37"/>
  <c r="A27" i="37"/>
  <c r="A29" i="37"/>
  <c r="A30" i="37" s="1"/>
  <c r="A26" i="37"/>
  <c r="AA39" i="37"/>
  <c r="A18" i="37"/>
  <c r="AB18" i="37" s="1"/>
  <c r="AB17" i="37"/>
  <c r="A19" i="37"/>
  <c r="AB19" i="37" s="1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18" i="18" l="1"/>
  <c r="U78" i="18"/>
  <c r="AA54" i="18"/>
  <c r="AA48" i="18"/>
  <c r="P51" i="40"/>
  <c r="AA14" i="40"/>
  <c r="AA51" i="40" s="1"/>
  <c r="A31" i="37"/>
  <c r="A20" i="37"/>
  <c r="A19" i="18" l="1"/>
  <c r="AA78" i="18"/>
  <c r="A32" i="37"/>
  <c r="A33" i="37" s="1"/>
  <c r="AB20" i="37"/>
  <c r="A20" i="18" l="1"/>
  <c r="A21" i="18" s="1"/>
  <c r="A34" i="37"/>
  <c r="A35" i="37" s="1"/>
  <c r="A36" i="37" s="1"/>
  <c r="A37" i="37" s="1"/>
  <c r="A38" i="37" s="1"/>
  <c r="A39" i="37" s="1"/>
  <c r="AB21" i="37"/>
  <c r="A22" i="18" l="1"/>
  <c r="AB22" i="37"/>
  <c r="A23" i="18" l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B27" i="37"/>
  <c r="F29" i="18" l="1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1" i="18"/>
  <c r="L37" i="18" l="1"/>
  <c r="N37" i="18" s="1"/>
  <c r="S37" i="18" l="1"/>
  <c r="R37" i="18"/>
  <c r="P37" i="18"/>
  <c r="Q37" i="18"/>
  <c r="U37" i="18" l="1"/>
  <c r="AA37" i="18" s="1"/>
  <c r="K13" i="3" l="1"/>
  <c r="D21" i="18" l="1"/>
  <c r="L21" i="18"/>
  <c r="Q21" i="18" l="1"/>
  <c r="N21" i="18"/>
  <c r="P21" i="18" s="1"/>
  <c r="S21" i="18"/>
  <c r="R21" i="18"/>
  <c r="U21" i="18" l="1"/>
  <c r="AA21" i="18" s="1"/>
  <c r="J14" i="3" l="1"/>
  <c r="H14" i="3"/>
  <c r="G14" i="3"/>
  <c r="K14" i="3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44" i="18"/>
  <c r="Q44" i="18" s="1"/>
  <c r="L30" i="18"/>
  <c r="L40" i="18"/>
  <c r="N40" i="18" s="1"/>
  <c r="A28" i="36"/>
  <c r="O11" i="36"/>
  <c r="L13" i="35"/>
  <c r="L26" i="18"/>
  <c r="N26" i="18" s="1"/>
  <c r="L51" i="18"/>
  <c r="N51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I14" i="3"/>
  <c r="U51" i="18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R26" i="37"/>
  <c r="Q42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S38" i="18" l="1"/>
  <c r="R38" i="18"/>
  <c r="Q38" i="18"/>
  <c r="S16" i="18"/>
  <c r="R16" i="18"/>
  <c r="Q16" i="18"/>
  <c r="L46" i="18"/>
  <c r="Q46" i="18" s="1"/>
  <c r="K52" i="18"/>
  <c r="K79" i="18" s="1"/>
  <c r="R40" i="18"/>
  <c r="S22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P47" i="18" s="1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P37" i="37"/>
  <c r="S37" i="37"/>
  <c r="S25" i="18"/>
  <c r="S17" i="18"/>
  <c r="S26" i="18"/>
  <c r="S28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1" i="18"/>
  <c r="AA51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AA67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B34" i="3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33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52" i="18" l="1"/>
  <c r="Q79" i="18" s="1"/>
  <c r="U22" i="18"/>
  <c r="AA22" i="18" s="1"/>
  <c r="S46" i="18"/>
  <c r="S79" i="18" s="1"/>
  <c r="R46" i="18"/>
  <c r="N46" i="18"/>
  <c r="P46" i="18" s="1"/>
  <c r="L52" i="18"/>
  <c r="L79" i="18" s="1"/>
  <c r="P15" i="18"/>
  <c r="U26" i="37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U34" i="18"/>
  <c r="AA34" i="18" s="1"/>
  <c r="U29" i="18"/>
  <c r="AA29" i="18" s="1"/>
  <c r="U38" i="18"/>
  <c r="AA38" i="18" s="1"/>
  <c r="P13" i="35"/>
  <c r="U27" i="18"/>
  <c r="AA27" i="18" s="1"/>
  <c r="U39" i="18"/>
  <c r="AA39" i="18" s="1"/>
  <c r="U17" i="18"/>
  <c r="AA17" i="18" s="1"/>
  <c r="S40" i="37"/>
  <c r="AA26" i="37"/>
  <c r="U23" i="18"/>
  <c r="AA23" i="18" s="1"/>
  <c r="U25" i="18"/>
  <c r="AA25" i="18" s="1"/>
  <c r="U20" i="18"/>
  <c r="AA20" i="18" s="1"/>
  <c r="U19" i="18"/>
  <c r="AA19" i="18" s="1"/>
  <c r="U13" i="35"/>
  <c r="Q14" i="35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V62" i="38"/>
  <c r="U43" i="18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A69" i="39" s="1"/>
  <c r="AB13" i="38"/>
  <c r="R79" i="18" l="1"/>
  <c r="AA47" i="18"/>
  <c r="AA43" i="18"/>
  <c r="P52" i="18"/>
  <c r="P79" i="18" s="1"/>
  <c r="U46" i="18"/>
  <c r="U52" i="18" s="1"/>
  <c r="U79" i="18" s="1"/>
  <c r="N52" i="18"/>
  <c r="N79" i="18" s="1"/>
  <c r="AA15" i="18"/>
  <c r="AA41" i="18"/>
  <c r="S14" i="35"/>
  <c r="P14" i="35"/>
  <c r="Z13" i="35"/>
  <c r="Z14" i="35" s="1"/>
  <c r="U14" i="35"/>
  <c r="U40" i="37"/>
  <c r="AA25" i="37"/>
  <c r="AA40" i="37" s="1"/>
  <c r="AB62" i="38"/>
  <c r="AA46" i="18" l="1"/>
  <c r="AA52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79" i="18" l="1"/>
  <c r="AA80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1" i="18" l="1"/>
  <c r="AB48" i="18" l="1"/>
  <c r="AB50" i="18"/>
  <c r="A54" i="18"/>
  <c r="AB54" i="18" s="1"/>
  <c r="AB49" i="18"/>
  <c r="A55" i="18" l="1"/>
  <c r="AB55" i="18" l="1"/>
  <c r="A56" i="18"/>
  <c r="AB56" i="18" s="1"/>
  <c r="A57" i="18" l="1"/>
  <c r="AB57" i="18" l="1"/>
  <c r="A58" i="18"/>
  <c r="A59" i="18" l="1"/>
  <c r="AB58" i="18"/>
  <c r="AB59" i="18" l="1"/>
  <c r="A60" i="18"/>
  <c r="AB60" i="18" s="1"/>
  <c r="A61" i="18" l="1"/>
  <c r="AB61" i="18" l="1"/>
  <c r="A62" i="18"/>
  <c r="AB62" i="18" l="1"/>
  <c r="A63" i="18"/>
  <c r="AB63" i="18" l="1"/>
  <c r="A64" i="18"/>
  <c r="AB64" i="18" l="1"/>
  <c r="A65" i="18"/>
  <c r="A66" i="18" s="1"/>
  <c r="A67" i="18" l="1"/>
  <c r="AB66" i="18"/>
  <c r="AB65" i="18"/>
  <c r="AB67" i="18" l="1"/>
  <c r="A68" i="18"/>
  <c r="AB68" i="18" l="1"/>
  <c r="A69" i="18"/>
  <c r="AB69" i="18" l="1"/>
  <c r="A70" i="18" l="1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s="1"/>
  <c r="A37" i="40" l="1"/>
  <c r="AB14" i="40"/>
  <c r="A50" i="40"/>
  <c r="A20" i="40"/>
  <c r="AB20" i="40"/>
  <c r="A19" i="40"/>
  <c r="AB19" i="40"/>
  <c r="A48" i="40"/>
  <c r="AB48" i="40"/>
  <c r="A21" i="40"/>
  <c r="AB21" i="40"/>
  <c r="A33" i="40"/>
  <c r="AB33" i="40"/>
  <c r="A40" i="40"/>
  <c r="AB40" i="40"/>
  <c r="A23" i="40"/>
  <c r="AB23" i="40"/>
  <c r="A41" i="40"/>
  <c r="AB41" i="40"/>
  <c r="A25" i="40"/>
  <c r="AB25" i="40"/>
  <c r="A42" i="40"/>
  <c r="AB42" i="40"/>
  <c r="A26" i="40"/>
  <c r="AB26" i="40"/>
  <c r="A17" i="40"/>
  <c r="AB17" i="40"/>
  <c r="A15" i="40"/>
  <c r="AB15" i="40"/>
  <c r="A28" i="40"/>
  <c r="AB28" i="40"/>
  <c r="A18" i="40"/>
  <c r="AB18" i="40"/>
  <c r="A32" i="40"/>
  <c r="AB32" i="40"/>
  <c r="A24" i="40"/>
  <c r="AB24" i="40"/>
  <c r="A45" i="40"/>
  <c r="AB45" i="40"/>
  <c r="A38" i="40"/>
  <c r="AB38" i="40"/>
  <c r="A35" i="40"/>
  <c r="AB35" i="40"/>
  <c r="A46" i="40"/>
  <c r="AB46" i="40"/>
  <c r="A43" i="40"/>
  <c r="AB43" i="40"/>
  <c r="A39" i="40"/>
  <c r="AB39" i="40"/>
  <c r="A27" i="40"/>
  <c r="AB27" i="40"/>
  <c r="A31" i="40"/>
  <c r="AB31" i="40"/>
  <c r="A34" i="40"/>
  <c r="AB34" i="40"/>
  <c r="A22" i="40"/>
  <c r="AB22" i="40"/>
  <c r="A16" i="40"/>
  <c r="AB16" i="40"/>
  <c r="A44" i="40"/>
  <c r="AB44" i="40"/>
  <c r="A47" i="40"/>
  <c r="AB47" i="40"/>
  <c r="A36" i="40"/>
  <c r="AB36" i="40"/>
  <c r="A49" i="40"/>
  <c r="AB49" i="40"/>
  <c r="A14" i="40"/>
  <c r="A30" i="40"/>
  <c r="AB30" i="40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Admin</author>
    <author>user</author>
    <author>KimAnh</author>
    <author>admin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<sst xmlns="http://schemas.openxmlformats.org/spreadsheetml/2006/main" count="1795" uniqueCount="506">
  <si>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</si>
  <si>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</si>
  <si>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</si>
  <si>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</si>
  <si>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</si>
  <si>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</si>
  <si>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</si>
  <si>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</si>
  <si>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</si>
  <si>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</si>
  <si>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</si>
  <si>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</si>
  <si>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</si>
  <si>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</si>
  <si>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</si>
  <si>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</si>
  <si>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</si>
  <si>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</si>
  <si>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</si>
  <si>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</si>
  <si>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</si>
  <si>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</si>
  <si>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</si>
  <si>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</si>
  <si>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</si>
  <si>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</si>
  <si>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</si>
  <si>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</si>
  <si>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</si>
  <si>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</si>
  <si>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</si>
  <si>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</si>
  <si>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</si>
  <si>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</si>
  <si>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</si>
  <si>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</si>
  <si>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</si>
  <si>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</si>
  <si>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</si>
  <si>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</si>
  <si>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</si>
  <si>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</si>
  <si>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</si>
  <si>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</si>
  <si>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</si>
  <si>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</si>
  <si>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</si>
  <si>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</si>
  <si>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</si>
  <si>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</si>
  <si>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</si>
  <si>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</si>
  <si>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</si>
  <si>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</si>
  <si>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</si>
  <si>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</si>
  <si>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</si>
  <si>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</si>
  <si>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</si>
  <si>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</si>
  <si>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</si>
  <si>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</si>
  <si>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</si>
  <si>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</si>
  <si>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</si>
  <si>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</si>
  <si>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</si>
  <si>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</si>
  <si>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</si>
  <si>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</si>
  <si>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</si>
  <si>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</si>
  <si>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</si>
  <si>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</si>
  <si>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</si>
  <si>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</si>
  <si>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</si>
  <si>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</si>
  <si>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</si>
  <si>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</si>
  <si>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</si>
  <si>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</si>
  <si>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</si>
  <si>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</si>
  <si>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</si>
  <si>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</si>
  <si>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</si>
  <si>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</si>
  <si>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</si>
  <si>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</si>
  <si>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</si>
  <si>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</si>
  <si>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</si>
  <si>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</si>
  <si>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</si>
  <si>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</si>
  <si>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</si>
  <si>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</si>
  <si>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</si>
  <si>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</si>
  <si>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</si>
  <si>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</si>
  <si>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</si>
  <si>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</si>
  <si>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</si>
  <si>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</si>
  <si>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</si>
  <si>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</si>
  <si>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</si>
  <si>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</si>
  <si>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</si>
  <si>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</si>
  <si>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</si>
  <si>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</si>
  <si>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</si>
  <si>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</si>
  <si>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</si>
  <si>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</si>
  <si>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</si>
  <si>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</si>
  <si>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</si>
  <si>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</si>
  <si>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</si>
  <si>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</si>
  <si>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</si>
  <si>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</si>
  <si>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</si>
  <si>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</si>
  <si>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</si>
  <si>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</si>
  <si>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</si>
  <si>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</si>
  <si>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</si>
  <si>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</si>
  <si>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</si>
  <si>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</si>
  <si>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</si>
  <si>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</si>
  <si>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</si>
  <si>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</si>
  <si>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</si>
  <si>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</si>
  <si>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</si>
  <si>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</si>
  <si>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</si>
  <si>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</si>
  <si>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</si>
  <si>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</si>
  <si>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</si>
  <si>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</si>
  <si>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</si>
  <si>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</si>
  <si>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</si>
  <si>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</si>
  <si>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</si>
  <si>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</si>
  <si>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</si>
  <si>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</si>
  <si>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</si>
  <si>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</si>
  <si>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</si>
  <si>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</si>
  <si>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</si>
  <si>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</si>
  <si>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</si>
  <si>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</si>
  <si>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</si>
  <si>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</si>
  <si>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</si>
  <si>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</si>
  <si>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</si>
  <si>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</si>
  <si>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</si>
  <si>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</si>
  <si>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</si>
  <si>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</si>
  <si>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</si>
  <si>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</si>
  <si>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</si>
  <si>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</si>
  <si>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</si>
  <si>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</si>
  <si>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</si>
  <si>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</si>
  <si>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</si>
  <si>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</si>
  <si>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</si>
  <si>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</si>
  <si>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</si>
  <si>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</si>
  <si>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</si>
  <si>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</si>
  <si>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</si>
  <si>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</si>
  <si>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</si>
  <si>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</si>
  <si>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</si>
  <si>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</si>
  <si>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</si>
  <si>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</si>
  <si>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</si>
  <si>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</si>
  <si>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</si>
  <si>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</si>
  <si>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</si>
  <si>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</si>
  <si>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</si>
  <si>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</si>
  <si>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</si>
  <si>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</si>
  <si>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</si>
  <si>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</si>
  <si>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</si>
  <si>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</si>
  <si>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</si>
  <si>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</si>
  <si>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</si>
  <si>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</si>
  <si>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</si>
  <si>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</si>
  <si>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</si>
  <si>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</si>
  <si>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</si>
  <si>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</si>
  <si>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</si>
  <si>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</si>
  <si>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</si>
  <si>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</si>
  <si>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</si>
  <si>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</si>
  <si>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</si>
  <si>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</si>
  <si>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</si>
  <si>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</si>
  <si>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</si>
  <si>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</si>
  <si>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</si>
  <si>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</si>
  <si>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</si>
  <si>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</si>
  <si>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</si>
  <si>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</si>
  <si>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</si>
  <si>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</si>
  <si>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</si>
  <si>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</si>
  <si>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</si>
  <si>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</si>
  <si>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</si>
  <si>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</si>
  <si>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</si>
  <si>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</si>
  <si>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</si>
  <si>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</si>
  <si>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</si>
  <si>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</si>
  <si>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</si>
  <si>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</si>
  <si>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</si>
  <si>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</si>
  <si>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</si>
  <si>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</si>
  <si>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</si>
  <si>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</si>
  <si>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</si>
  <si>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</si>
  <si>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</si>
  <si>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</si>
  <si>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</si>
  <si>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</si>
  <si>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</si>
  <si>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</si>
  <si>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</si>
  <si>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</si>
  <si>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</si>
  <si>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</si>
  <si>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</si>
  <si>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</si>
  <si>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</si>
  <si>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</si>
  <si>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</si>
  <si>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</si>
  <si>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</si>
  <si>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</si>
  <si>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</si>
  <si>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</si>
  <si>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</si>
  <si>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</si>
  <si>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</si>
  <si>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</si>
  <si>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</si>
  <si>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</si>
  <si>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</si>
  <si>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</si>
  <si>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</si>
  <si>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</si>
  <si>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</si>
  <si>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</si>
  <si>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</si>
  <si>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</si>
  <si>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</si>
  <si>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</si>
  <si>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</si>
  <si>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</si>
  <si>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</si>
  <si>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</si>
  <si>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</si>
  <si>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</si>
  <si>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</si>
  <si>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</si>
  <si>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</si>
  <si>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</si>
  <si>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</si>
  <si>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</si>
  <si>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</si>
  <si>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</si>
  <si>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</si>
  <si>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</si>
  <si>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</si>
  <si>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</si>
  <si>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</si>
  <si>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</si>
  <si>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</si>
  <si>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</si>
  <si>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</si>
  <si>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</si>
  <si>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</si>
  <si>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</si>
  <si>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</si>
  <si>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</si>
  <si>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</si>
  <si>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</si>
  <si>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</si>
  <si>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</si>
  <si>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</si>
  <si>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</si>
  <si>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</si>
  <si>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</si>
  <si>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</si>
  <si>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</si>
  <si>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</si>
  <si>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</si>
  <si>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</si>
  <si>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</si>
  <si>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</si>
  <si>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</si>
  <si>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</si>
  <si>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</si>
  <si>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</si>
  <si>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</si>
  <si>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</si>
  <si>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</si>
  <si>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</si>
  <si>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</si>
  <si>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</si>
  <si>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</si>
  <si>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</si>
  <si>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</si>
  <si>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</si>
  <si>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</si>
  <si>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</si>
  <si>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</si>
  <si>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</si>
  <si>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</si>
  <si>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</si>
  <si>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</si>
  <si>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</si>
  <si>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</si>
  <si>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</si>
  <si>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</si>
  <si>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</si>
  <si>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</si>
  <si>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</si>
  <si>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</si>
  <si>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</si>
  <si>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</si>
  <si>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</si>
  <si>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</si>
  <si>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</si>
  <si>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</si>
  <si>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</si>
  <si>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</si>
  <si>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</si>
  <si>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</si>
  <si>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</si>
  <si>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</si>
  <si>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</si>
  <si>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</si>
  <si>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</si>
  <si>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</si>
  <si>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</si>
  <si>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</si>
  <si>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</si>
  <si>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</si>
  <si>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</si>
  <si>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</si>
  <si>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</si>
  <si>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</si>
  <si>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</si>
  <si>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</si>
  <si>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</si>
  <si>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</si>
  <si>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</si>
  <si>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</si>
  <si>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</si>
  <si>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</si>
  <si>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</si>
  <si>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</si>
  <si>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</si>
  <si>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</si>
  <si>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</si>
  <si>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</si>
  <si>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</si>
  <si>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</si>
  <si>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</si>
  <si>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</si>
  <si>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</si>
  <si>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</si>
  <si>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</si>
  <si>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</si>
  <si>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</si>
  <si>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</si>
  <si>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</si>
  <si>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</si>
  <si>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</si>
  <si>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</si>
  <si>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</si>
  <si>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</si>
  <si>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</si>
  <si>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</si>
  <si>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</si>
  <si>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</si>
  <si>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</si>
  <si>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</si>
  <si>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</si>
  <si>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</si>
  <si>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</si>
  <si>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</si>
  <si>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</si>
  <si>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</si>
  <si>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</si>
  <si>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</si>
  <si>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</si>
  <si>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</si>
  <si>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</si>
  <si>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</si>
  <si>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</si>
  <si>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</si>
  <si>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</si>
  <si>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</si>
  <si>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</si>
  <si>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</si>
  <si>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</si>
  <si>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</si>
  <si>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</si>
  <si>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</si>
  <si>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</si>
  <si>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</si>
  <si>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</si>
  <si>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</si>
  <si>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</si>
  <si>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</si>
  <si>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</si>
  <si>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</si>
  <si>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</si>
  <si>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</si>
  <si>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</si>
  <si>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</si>
  <si>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</si>
  <si>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</si>
  <si>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</si>
  <si>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NV Phòng Thanh tra giáo dục - Quan hệ DN</t>
  </si>
  <si>
    <t>NL từ T5/24</t>
  </si>
  <si>
    <t>Võ Lạc Tân</t>
  </si>
  <si>
    <t>Võ Thị Mỹ Ngọc</t>
  </si>
  <si>
    <t>KT. HIỆU TRƯỞNG</t>
  </si>
  <si>
    <t xml:space="preserve">PHÓ HIỆU TRƯỞNG </t>
  </si>
  <si>
    <t>Đinh Văn Đệ</t>
  </si>
  <si>
    <t>MÃ TÀI KHOẢN: 3716.2.1058083.00000</t>
  </si>
  <si>
    <t>Mở tại: Phòng giao dịch số 7  - Kho bạc nhà nước khu vực II</t>
  </si>
  <si>
    <t>Phòng Tổ chức - Hành chính - Tổng hợp</t>
  </si>
  <si>
    <t>Phan Đức Hiếu</t>
  </si>
  <si>
    <t>TRUY LÃNH TIỀN LƯƠNG THÁNG 4 NĂM 2025</t>
  </si>
  <si>
    <t>Thành phố Hồ Chí Minh, ngày 05 tháng 5 năm 2025</t>
  </si>
  <si>
    <t>Bốn triệu bốn trăm ba mươi chín ngàn hai trăm đồng.</t>
  </si>
  <si>
    <t>KHỐI CHUYÊN NGHIỆP LÃNH TIỀN LƯƠNG THỬ VIỆC THÁNG 3/2025</t>
  </si>
  <si>
    <t>Bốn trăm tám mươi sáu ngàn bốn trăm sáu mươi hai đồng.</t>
  </si>
  <si>
    <t>Phòng Thanh tra GD - CTSV</t>
  </si>
  <si>
    <t>Trung tâm điều hành QLDL</t>
  </si>
  <si>
    <t>Nghỉ HS từ 29/4/25</t>
  </si>
  <si>
    <t>NL Từ T7/25</t>
  </si>
  <si>
    <t>- Nghỉ hộ sản hưởng chế độ BHXH từ ngày 01/7/2025 đến hết 31/12/2025. Trừ trên BL T7+8+9+10+11+12/25.
- Nghỉ không hưởng lương ngày 5+9+10+19+20/06/2025 (Trừ vào lương T1/26 tháng đi làm sau khi hết thời gian nghỉ hộ sản)</t>
  </si>
  <si>
    <t>Nghỉ hộ sản hưởng BHXH từ T7/25 đến hết T12/25</t>
  </si>
  <si>
    <t>Q. HIỆU TRƯỞNG</t>
  </si>
  <si>
    <t>Tháng 08/2025</t>
  </si>
  <si>
    <t xml:space="preserve">Q. HIỆU TRƯỞNG </t>
  </si>
  <si>
    <t>- Nghỉ hộ sản hưởng chế độ BHXH từ 29/4/2025. Trừ trên BL T5+6+7+8+9+10/2025
- Quyết định Nâng lương từ 01/9/2025</t>
  </si>
  <si>
    <t>Phòng Quản trị - Dịch vụ</t>
  </si>
  <si>
    <t>Thông báo về Nâng lương thường xuyên đối với người lao động từ ngày 01/09/2025</t>
  </si>
  <si>
    <t>Thông báo số 503/TB-LTT-TC ngày 16/7/2025 về nghỉ hết tuổi lao động từ ngày 01/9/2025. Bà thủy không còn tên trên bảng lương tháng 09/2025 của Trường.</t>
  </si>
  <si>
    <t>LÃNH TIỀN LƯƠNG THÁNG 09 NĂM 2025</t>
  </si>
  <si>
    <t>Thành phố Hồ Chí Minh, ngày 03 tháng 9 năm 2025</t>
  </si>
  <si>
    <t>Ba trăm sáu mươi mốt triệu bảy trăm tám mươi chín ngàn một trăm lẻ bảy đồng.</t>
  </si>
  <si>
    <t>TS. Đinh Văn Đệ</t>
  </si>
  <si>
    <t>BẢNG ĐIỀU CHỈNH THAY ĐỔI LƯƠNG THÁNG 09/2025</t>
  </si>
  <si>
    <t>Tháng 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</si>
</sst>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&quot;-&quot;??_);_(@_)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1" formatCode="#,##0.0000"/>
    <numFmt numFmtId="172" formatCode="0.000"/>
    <numFmt numFmtId="173" formatCode="#,##0.0"/>
    <numFmt numFmtId="174" formatCode="_(* #,##0_);_(* \(#,##0\);_(* &quot;-&quot;??_);_(@_)"/>
  </numFmts>
  <fonts count="76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164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7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40" fillId="0" borderId="0"/>
  </cellStyleXfs>
  <cellXfs count="847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4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4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1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3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2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4" fontId="6" fillId="0" borderId="8" xfId="28" quotePrefix="1" applyNumberFormat="1" applyFont="1" applyBorder="1" applyAlignment="1">
      <alignment horizontal="center" vertical="center" wrapText="1"/>
    </xf>
    <xf numFmtId="164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3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3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1" fillId="0" borderId="0" xfId="0" applyFont="1" applyFill="1" applyAlignment="1"/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4" fontId="5" fillId="0" borderId="0" xfId="28" applyNumberFormat="1" applyFont="1" applyFill="1" applyAlignment="1"/>
    <xf numFmtId="0" fontId="70" fillId="0" borderId="0" xfId="0" applyFont="1" applyFill="1" applyBorder="1" applyAlignment="1">
      <alignment horizontal="center" vertical="center" wrapText="1"/>
    </xf>
    <xf numFmtId="0" fontId="70" fillId="0" borderId="0" xfId="0" quotePrefix="1" applyFont="1" applyFill="1" applyBorder="1" applyAlignment="1">
      <alignment horizontal="center" vertical="center" wrapText="1"/>
    </xf>
    <xf numFmtId="2" fontId="70" fillId="0" borderId="0" xfId="0" applyNumberFormat="1" applyFont="1" applyFill="1" applyBorder="1" applyAlignment="1">
      <alignment horizontal="center" vertical="center" wrapText="1"/>
    </xf>
    <xf numFmtId="3" fontId="70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3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3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3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3" fontId="4" fillId="20" borderId="22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Fill="1"/>
    <xf numFmtId="0" fontId="5" fillId="0" borderId="0" xfId="0" applyFont="1" applyFill="1"/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49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3" fillId="0" borderId="0" xfId="0" applyFont="1"/>
    <xf numFmtId="0" fontId="11" fillId="0" borderId="0" xfId="0" applyFont="1" applyAlignment="1">
      <alignment horizontal="center"/>
    </xf>
    <xf numFmtId="0" fontId="4" fillId="0" borderId="0" xfId="0" applyFont="1"/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7" xfId="0" quotePrefix="1" applyFont="1" applyFill="1" applyBorder="1" applyAlignment="1">
      <alignment horizontal="center" vertical="center" wrapText="1"/>
    </xf>
    <xf numFmtId="0" fontId="49" fillId="0" borderId="27" xfId="0" quotePrefix="1" applyFont="1" applyFill="1" applyBorder="1" applyAlignment="1">
      <alignment horizontal="center" vertical="center" wrapText="1"/>
    </xf>
    <xf numFmtId="0" fontId="18" fillId="0" borderId="13" xfId="0" quotePrefix="1" applyFont="1" applyFill="1" applyBorder="1" applyAlignment="1">
      <alignment horizontal="center" vertical="center" wrapText="1"/>
    </xf>
    <xf numFmtId="0" fontId="49" fillId="0" borderId="13" xfId="0" quotePrefix="1" applyFont="1" applyFill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Fill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3" fontId="9" fillId="0" borderId="19" xfId="0" applyNumberFormat="1" applyFont="1" applyFill="1" applyBorder="1" applyAlignment="1">
      <alignment vertical="center"/>
    </xf>
    <xf numFmtId="0" fontId="6" fillId="20" borderId="0" xfId="0" applyFont="1" applyFill="1"/>
    <xf numFmtId="0" fontId="18" fillId="0" borderId="10" xfId="0" applyFont="1" applyFill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Fill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3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0" fillId="20" borderId="33" xfId="0" applyFont="1" applyFill="1" applyBorder="1" applyAlignment="1">
      <alignment vertical="center" wrapText="1"/>
    </xf>
    <xf numFmtId="0" fontId="0" fillId="20" borderId="30" xfId="0" applyFont="1" applyFill="1" applyBorder="1" applyAlignment="1">
      <alignment vertical="center"/>
    </xf>
    <xf numFmtId="3" fontId="0" fillId="20" borderId="30" xfId="0" applyNumberFormat="1" applyFont="1" applyFill="1" applyBorder="1" applyAlignment="1">
      <alignment vertical="center"/>
    </xf>
    <xf numFmtId="3" fontId="0" fillId="20" borderId="33" xfId="0" applyNumberFormat="1" applyFon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0" fillId="20" borderId="16" xfId="0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71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5" fillId="20" borderId="0" xfId="0" applyFont="1" applyFill="1"/>
    <xf numFmtId="3" fontId="0" fillId="20" borderId="16" xfId="0" applyNumberFormat="1" applyFont="1" applyFill="1" applyBorder="1" applyAlignment="1">
      <alignment vertical="center"/>
    </xf>
    <xf numFmtId="0" fontId="5" fillId="20" borderId="0" xfId="0" applyFont="1" applyFill="1"/>
    <xf numFmtId="3" fontId="1" fillId="22" borderId="14" xfId="0" applyNumberFormat="1" applyFont="1" applyFill="1" applyBorder="1" applyAlignment="1">
      <alignment vertical="center" wrapText="1"/>
    </xf>
    <xf numFmtId="0" fontId="5" fillId="20" borderId="0" xfId="0" applyFont="1" applyFill="1"/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0" fontId="43" fillId="22" borderId="29" xfId="0" quotePrefix="1" applyFont="1" applyFill="1" applyBorder="1" applyAlignment="1">
      <alignment horizontal="center" vertical="center"/>
    </xf>
    <xf numFmtId="0" fontId="5" fillId="0" borderId="0" xfId="0" applyFont="1"/>
    <xf numFmtId="0" fontId="43" fillId="0" borderId="0" xfId="0" applyFont="1" applyAlignment="1">
      <alignment horizontal="center"/>
    </xf>
    <xf numFmtId="0" fontId="43" fillId="0" borderId="0" xfId="0" applyFont="1"/>
    <xf numFmtId="0" fontId="73" fillId="20" borderId="30" xfId="0" applyFont="1" applyFill="1" applyBorder="1" applyAlignment="1">
      <alignment horizontal="center" vertical="center" wrapText="1"/>
    </xf>
    <xf numFmtId="3" fontId="0" fillId="20" borderId="30" xfId="0" applyNumberFormat="1" applyFont="1" applyFill="1" applyBorder="1" applyAlignment="1">
      <alignment horizontal="center" vertical="center"/>
    </xf>
    <xf numFmtId="3" fontId="74" fillId="20" borderId="33" xfId="0" applyNumberFormat="1" applyFont="1" applyFill="1" applyBorder="1" applyAlignment="1">
      <alignment vertical="center"/>
    </xf>
    <xf numFmtId="0" fontId="73" fillId="20" borderId="33" xfId="0" applyFont="1" applyFill="1" applyBorder="1" applyAlignment="1">
      <alignment horizontal="center" vertical="center"/>
    </xf>
    <xf numFmtId="3" fontId="73" fillId="20" borderId="17" xfId="0" applyNumberFormat="1" applyFont="1" applyFill="1" applyBorder="1" applyAlignment="1">
      <alignment vertical="center" wrapText="1"/>
    </xf>
    <xf numFmtId="0" fontId="72" fillId="20" borderId="24" xfId="0" applyFont="1" applyFill="1" applyBorder="1" applyAlignment="1">
      <alignment horizontal="center" vertical="center"/>
    </xf>
    <xf numFmtId="0" fontId="75" fillId="0" borderId="0" xfId="0" applyFont="1" applyBorder="1" applyAlignment="1">
      <alignment wrapText="1"/>
    </xf>
    <xf numFmtId="0" fontId="0" fillId="20" borderId="30" xfId="0" applyFont="1" applyFill="1" applyBorder="1" applyAlignment="1">
      <alignment horizontal="center" vertical="center"/>
    </xf>
    <xf numFmtId="0" fontId="75" fillId="0" borderId="0" xfId="0" applyFont="1" applyBorder="1"/>
    <xf numFmtId="0" fontId="75" fillId="0" borderId="0" xfId="0" applyFont="1" applyBorder="1" applyAlignment="1">
      <alignment horizontal="center"/>
    </xf>
    <xf numFmtId="0" fontId="75" fillId="21" borderId="0" xfId="0" applyFont="1" applyFill="1" applyBorder="1" applyAlignment="1"/>
    <xf numFmtId="0" fontId="1" fillId="22" borderId="14" xfId="0" applyFont="1" applyFill="1" applyBorder="1" applyAlignment="1">
      <alignment vertical="center" wrapText="1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0" fontId="1" fillId="22" borderId="16" xfId="0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0" borderId="0" xfId="0" applyFont="1" applyFill="1"/>
    <xf numFmtId="0" fontId="43" fillId="23" borderId="29" xfId="0" quotePrefix="1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0" fontId="13" fillId="23" borderId="16" xfId="0" applyFont="1" applyFill="1" applyBorder="1" applyAlignment="1">
      <alignment horizontal="center" vertical="center"/>
    </xf>
    <xf numFmtId="1" fontId="1" fillId="23" borderId="16" xfId="0" applyNumberFormat="1" applyFon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/>
    </xf>
    <xf numFmtId="3" fontId="1" fillId="23" borderId="28" xfId="0" applyNumberFormat="1" applyFont="1" applyFill="1" applyBorder="1" applyAlignment="1">
      <alignment horizontal="center" vertical="center"/>
    </xf>
    <xf numFmtId="3" fontId="1" fillId="23" borderId="14" xfId="0" applyNumberFormat="1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vertical="center" wrapText="1"/>
    </xf>
    <xf numFmtId="0" fontId="13" fillId="20" borderId="30" xfId="0" applyFont="1" applyFill="1" applyBorder="1" applyAlignment="1">
      <alignment horizontal="center" vertical="center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5" fillId="20" borderId="0" xfId="0" applyFont="1" applyFill="1"/>
    <xf numFmtId="0" fontId="5" fillId="0" borderId="0" xfId="0" applyFont="1" applyFill="1"/>
    <xf numFmtId="0" fontId="13" fillId="0" borderId="0" xfId="0" applyFont="1" applyFill="1"/>
    <xf numFmtId="9" fontId="1" fillId="20" borderId="28" xfId="46" applyFont="1" applyFill="1" applyBorder="1" applyAlignment="1">
      <alignment horizontal="center"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173" fontId="1" fillId="20" borderId="33" xfId="0" applyNumberFormat="1" applyFont="1" applyFill="1" applyBorder="1" applyAlignment="1">
      <alignment vertical="center"/>
    </xf>
    <xf numFmtId="0" fontId="69" fillId="22" borderId="16" xfId="0" applyFont="1" applyFill="1" applyBorder="1" applyAlignment="1">
      <alignment vertical="center"/>
    </xf>
    <xf numFmtId="0" fontId="1" fillId="22" borderId="14" xfId="0" applyFont="1" applyFill="1" applyBorder="1" applyAlignment="1">
      <alignment vertical="center"/>
    </xf>
    <xf numFmtId="0" fontId="1" fillId="22" borderId="16" xfId="0" applyFont="1" applyFill="1" applyBorder="1" applyAlignment="1">
      <alignment horizontal="center" vertical="center" wrapText="1"/>
    </xf>
    <xf numFmtId="173" fontId="1" fillId="22" borderId="14" xfId="0" applyNumberFormat="1" applyFont="1" applyFill="1" applyBorder="1" applyAlignment="1">
      <alignment vertical="center"/>
    </xf>
    <xf numFmtId="0" fontId="1" fillId="22" borderId="14" xfId="0" applyFont="1" applyFill="1" applyBorder="1" applyAlignment="1">
      <alignment horizontal="center" vertical="center"/>
    </xf>
    <xf numFmtId="3" fontId="1" fillId="22" borderId="15" xfId="0" applyNumberFormat="1" applyFont="1" applyFill="1" applyBorder="1" applyAlignment="1">
      <alignment vertical="center" wrapText="1"/>
    </xf>
    <xf numFmtId="0" fontId="1" fillId="0" borderId="0" xfId="0" applyFont="1" applyFill="1"/>
    <xf numFmtId="0" fontId="6" fillId="0" borderId="0" xfId="0" applyFont="1" applyFill="1"/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5" fillId="0" borderId="0" xfId="0" applyFont="1" applyFill="1"/>
    <xf numFmtId="0" fontId="45" fillId="0" borderId="0" xfId="0" applyFont="1" applyFill="1" applyAlignment="1">
      <alignment horizontal="center"/>
    </xf>
    <xf numFmtId="3" fontId="5" fillId="0" borderId="0" xfId="0" applyNumberFormat="1" applyFont="1" applyFill="1"/>
    <xf numFmtId="0" fontId="4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8" builtinId="3"/>
    <cellStyle name="Comma0" xfId="29"/>
    <cellStyle name="Currency0" xfId="30"/>
    <cellStyle name="Check Cell" xfId="27" builtinId="23" customBuiltin="1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</xdr:row>
      <xdr:rowOff>190500</xdr:rowOff>
    </xdr:from>
    <xdr:to>
      <xdr:col>3</xdr:col>
      <xdr:colOff>504825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90625" y="400050"/>
          <a:ext cx="742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3:AC80" totalsRowCount="1" dataDxfId="52" tableBorderDxfId="51">
  <autoFilter ref="A13:AC79"/>
  <tableColumns count="29">
    <tableColumn id="1" name="Column1" dataDxfId="50" totalsRowDxfId="28"/>
    <tableColumn id="2" name="Column2" dataDxfId="49" totalsRowDxfId="27"/>
    <tableColumn id="3" name="Column3" dataDxfId="48" totalsRowDxfId="26"/>
    <tableColumn id="4" name="Column4" totalsRowDxfId="25"/>
    <tableColumn id="5" name="Column5" dataDxfId="47" totalsRowDxfId="24"/>
    <tableColumn id="6" name="Column6" dataDxfId="46" totalsRowDxfId="23"/>
    <tableColumn id="7" name="Column7" totalsRowDxfId="22"/>
    <tableColumn id="8" name="Column8" totalsRowDxfId="21"/>
    <tableColumn id="9" name="Column9" dataDxfId="45" totalsRowDxfId="20"/>
    <tableColumn id="10" name="Column10" dataDxfId="44" totalsRowDxfId="19"/>
    <tableColumn id="11" name="Column11" dataDxfId="43" totalsRowDxfId="18"/>
    <tableColumn id="12" name="Column12" dataDxfId="42" totalsRowDxfId="17"/>
    <tableColumn id="13" name="Column13" dataDxfId="41" totalsRowDxfId="16"/>
    <tableColumn id="14" name="Column14" dataDxfId="40" totalsRowDxfId="15"/>
    <tableColumn id="15" name="Column15" dataDxfId="39" totalsRowDxfId="14"/>
    <tableColumn id="16" name="Column16" dataDxfId="38" totalsRowDxfId="13"/>
    <tableColumn id="17" name="Column17" dataDxfId="37" totalsRowDxfId="12"/>
    <tableColumn id="18" name="Column18" dataDxfId="36" totalsRowDxfId="11"/>
    <tableColumn id="19" name="Column19" dataDxfId="35" totalsRowDxfId="10"/>
    <tableColumn id="20" name="Column20" dataDxfId="34" totalsRowDxfId="9"/>
    <tableColumn id="21" name="Column21" dataDxfId="33" totalsRowDxfId="8"/>
    <tableColumn id="22" name="Column22" dataDxfId="32" totalsRowDxfId="7"/>
    <tableColumn id="23" name="Column23" totalsRowDxfId="6"/>
    <tableColumn id="24" name="Column24" totalsRowDxfId="5"/>
    <tableColumn id="25" name="Column25" totalsRowDxfId="4"/>
    <tableColumn id="26" name="Column26" totalsRowDxfId="3"/>
    <tableColumn id="27" name="Column27" totalsRowFunction="custom" dataDxfId="31" totalsRowDxfId="2">
      <totalsRowFormula>SUBTOTAL(9,AA15:AA79)</totalsRowFormula>
    </tableColumn>
    <tableColumn id="28" name="Column28" dataDxfId="30" totalsRowDxfId="1"/>
    <tableColumn id="29" name="Column29" dataDxfId="2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5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5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339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49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340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0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745"/>
      <c r="D3" s="745"/>
      <c r="E3" s="4"/>
      <c r="F3" s="37"/>
      <c r="G3" s="4"/>
      <c r="H3" s="45"/>
      <c r="I3" s="45"/>
      <c r="J3" s="375"/>
      <c r="L3" s="45"/>
      <c r="M3" s="45"/>
      <c r="N3" s="45"/>
      <c r="O3" s="45"/>
      <c r="P3" s="45"/>
      <c r="Q3" s="45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44"/>
      <c r="AD3" s="744"/>
      <c r="AE3" s="45"/>
      <c r="AF3" s="4"/>
      <c r="AG3" s="745"/>
      <c r="AH3" s="745"/>
      <c r="AI3" s="790"/>
      <c r="AJ3" s="790"/>
    </row>
    <row r="4" spans="1:39" ht="22.5" customHeight="1">
      <c r="A4" s="791" t="s">
        <v>190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791"/>
      <c r="AD4" s="791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791" t="s">
        <v>366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791"/>
      <c r="AD5" s="791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86</v>
      </c>
      <c r="D6" s="757"/>
      <c r="E6" s="757"/>
      <c r="F6" s="757"/>
      <c r="G6" s="757"/>
      <c r="H6" s="757"/>
      <c r="R6" s="48" t="s">
        <v>228</v>
      </c>
      <c r="S6" s="48"/>
      <c r="T6" s="48"/>
      <c r="U6" s="48"/>
      <c r="V6" s="48"/>
      <c r="W6" s="48"/>
      <c r="X6" s="48"/>
      <c r="Y6" s="48"/>
      <c r="Z6" s="48"/>
      <c r="AA6" s="351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757"/>
      <c r="E7" s="757"/>
      <c r="F7" s="757"/>
      <c r="G7" s="757"/>
      <c r="H7" s="757"/>
      <c r="I7" s="48"/>
      <c r="J7" s="341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1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784"/>
      <c r="E8" s="784"/>
      <c r="F8" s="784"/>
      <c r="G8" s="784"/>
      <c r="H8" s="784"/>
      <c r="I8" s="52"/>
      <c r="J8" s="342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2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2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1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785" t="s">
        <v>2</v>
      </c>
      <c r="B10" s="785" t="s">
        <v>3</v>
      </c>
      <c r="C10" s="785"/>
      <c r="D10" s="786" t="s">
        <v>51</v>
      </c>
      <c r="E10" s="782" t="s">
        <v>235</v>
      </c>
      <c r="F10" s="787" t="s">
        <v>15</v>
      </c>
      <c r="G10" s="769" t="s">
        <v>129</v>
      </c>
      <c r="H10" s="782" t="s">
        <v>270</v>
      </c>
      <c r="I10" s="778" t="s">
        <v>179</v>
      </c>
      <c r="J10" s="780" t="s">
        <v>369</v>
      </c>
      <c r="K10" s="778" t="s">
        <v>266</v>
      </c>
      <c r="L10" s="778" t="s">
        <v>267</v>
      </c>
      <c r="M10" s="778" t="s">
        <v>169</v>
      </c>
      <c r="N10" s="780"/>
      <c r="O10" s="782" t="s">
        <v>147</v>
      </c>
      <c r="P10" s="782" t="s">
        <v>148</v>
      </c>
      <c r="Q10" s="769" t="s">
        <v>149</v>
      </c>
      <c r="R10" s="762" t="s">
        <v>67</v>
      </c>
      <c r="S10" s="763"/>
      <c r="T10" s="763"/>
      <c r="U10" s="763"/>
      <c r="V10" s="764"/>
      <c r="W10" s="765" t="s">
        <v>167</v>
      </c>
      <c r="X10" s="766"/>
      <c r="Y10" s="765" t="s">
        <v>168</v>
      </c>
      <c r="Z10" s="766"/>
      <c r="AA10" s="767" t="s">
        <v>272</v>
      </c>
      <c r="AB10" s="769" t="s">
        <v>153</v>
      </c>
      <c r="AC10" s="771" t="s">
        <v>5</v>
      </c>
      <c r="AD10" s="772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775"/>
      <c r="AL10" s="87"/>
      <c r="AM10" s="79"/>
    </row>
    <row r="11" spans="1:39" s="43" customFormat="1" ht="41.25" customHeight="1">
      <c r="A11" s="785"/>
      <c r="B11" s="785"/>
      <c r="C11" s="785"/>
      <c r="D11" s="786"/>
      <c r="E11" s="783"/>
      <c r="F11" s="788"/>
      <c r="G11" s="770"/>
      <c r="H11" s="783"/>
      <c r="I11" s="779"/>
      <c r="J11" s="781"/>
      <c r="K11" s="779"/>
      <c r="L11" s="779"/>
      <c r="M11" s="779"/>
      <c r="N11" s="781"/>
      <c r="O11" s="783"/>
      <c r="P11" s="783"/>
      <c r="Q11" s="770"/>
      <c r="R11" s="140" t="s">
        <v>113</v>
      </c>
      <c r="S11" s="140" t="s">
        <v>68</v>
      </c>
      <c r="T11" s="140" t="s">
        <v>60</v>
      </c>
      <c r="U11" s="138" t="s">
        <v>150</v>
      </c>
      <c r="V11" s="138" t="s">
        <v>151</v>
      </c>
      <c r="W11" s="138" t="s">
        <v>84</v>
      </c>
      <c r="X11" s="338" t="s">
        <v>169</v>
      </c>
      <c r="Y11" s="138" t="s">
        <v>84</v>
      </c>
      <c r="Z11" s="338" t="s">
        <v>169</v>
      </c>
      <c r="AA11" s="768"/>
      <c r="AB11" s="770"/>
      <c r="AC11" s="773"/>
      <c r="AD11" s="774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775"/>
      <c r="AL11" s="87"/>
      <c r="AM11" s="79"/>
    </row>
    <row r="12" spans="1:39" s="43" customFormat="1" ht="27.75" customHeight="1">
      <c r="A12" s="82" t="s">
        <v>154</v>
      </c>
      <c r="B12" s="252" t="s">
        <v>155</v>
      </c>
      <c r="C12" s="253"/>
      <c r="D12" s="83" t="s">
        <v>156</v>
      </c>
      <c r="E12" s="83"/>
      <c r="F12" s="148"/>
      <c r="G12" s="161" t="s">
        <v>157</v>
      </c>
      <c r="H12" s="149" t="s">
        <v>46</v>
      </c>
      <c r="I12" s="254" t="s">
        <v>42</v>
      </c>
      <c r="J12" s="376"/>
      <c r="K12" s="254"/>
      <c r="L12" s="254" t="s">
        <v>43</v>
      </c>
      <c r="M12" s="254" t="s">
        <v>268</v>
      </c>
      <c r="N12" s="149"/>
      <c r="O12" s="149" t="s">
        <v>74</v>
      </c>
      <c r="P12" s="149" t="s">
        <v>47</v>
      </c>
      <c r="Q12" s="254" t="s">
        <v>175</v>
      </c>
      <c r="R12" s="149" t="s">
        <v>75</v>
      </c>
      <c r="S12" s="149" t="s">
        <v>76</v>
      </c>
      <c r="T12" s="149" t="s">
        <v>158</v>
      </c>
      <c r="U12" s="149" t="s">
        <v>159</v>
      </c>
      <c r="V12" s="254" t="s">
        <v>176</v>
      </c>
      <c r="W12" s="149" t="s">
        <v>160</v>
      </c>
      <c r="X12" s="149" t="s">
        <v>161</v>
      </c>
      <c r="Y12" s="149" t="s">
        <v>162</v>
      </c>
      <c r="Z12" s="149" t="s">
        <v>170</v>
      </c>
      <c r="AA12" s="360" t="s">
        <v>360</v>
      </c>
      <c r="AB12" s="254" t="s">
        <v>361</v>
      </c>
      <c r="AC12" s="776" t="s">
        <v>171</v>
      </c>
      <c r="AD12" s="777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74" customFormat="1" ht="29.25" customHeight="1">
      <c r="A13" s="129" t="s">
        <v>32</v>
      </c>
      <c r="B13" s="309" t="s">
        <v>191</v>
      </c>
      <c r="C13" s="130"/>
      <c r="D13" s="229" t="s">
        <v>55</v>
      </c>
      <c r="E13" s="362" t="s">
        <v>238</v>
      </c>
      <c r="F13" s="311" t="s">
        <v>205</v>
      </c>
      <c r="G13" s="312" t="s">
        <v>246</v>
      </c>
      <c r="H13" s="313">
        <v>3</v>
      </c>
      <c r="I13" s="131">
        <v>4873050</v>
      </c>
      <c r="J13" s="377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63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64"/>
      <c r="AE13" s="102" t="s">
        <v>231</v>
      </c>
      <c r="AF13" s="120"/>
      <c r="AG13" s="116"/>
      <c r="AL13" s="373"/>
    </row>
    <row r="14" spans="1:39" s="374" customFormat="1" ht="30.75" customHeight="1">
      <c r="A14" s="202" t="s">
        <v>33</v>
      </c>
      <c r="B14" s="94" t="s">
        <v>250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246</v>
      </c>
      <c r="H14" s="233">
        <v>9</v>
      </c>
      <c r="I14" s="98">
        <v>6530353</v>
      </c>
      <c r="J14" s="378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73"/>
      <c r="AF14" s="373"/>
      <c r="AL14" s="373"/>
    </row>
    <row r="15" spans="1:39" s="374" customFormat="1" ht="42.75" customHeight="1">
      <c r="A15" s="202" t="s">
        <v>34</v>
      </c>
      <c r="B15" s="94" t="s">
        <v>243</v>
      </c>
      <c r="C15" s="159"/>
      <c r="D15" s="112" t="s">
        <v>244</v>
      </c>
      <c r="E15" s="228"/>
      <c r="F15" s="223"/>
      <c r="G15" s="97" t="s">
        <v>242</v>
      </c>
      <c r="H15" s="233">
        <v>2</v>
      </c>
      <c r="I15" s="98">
        <v>5313481</v>
      </c>
      <c r="J15" s="378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65"/>
      <c r="AF15" s="232"/>
      <c r="AG15" s="232"/>
      <c r="AH15" s="110"/>
      <c r="AI15" s="110"/>
      <c r="AL15" s="111"/>
    </row>
    <row r="16" spans="1:39" s="374" customFormat="1" ht="24.75" customHeight="1">
      <c r="A16" s="202" t="s">
        <v>35</v>
      </c>
      <c r="B16" s="94" t="s">
        <v>249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246</v>
      </c>
      <c r="H16" s="233">
        <v>9</v>
      </c>
      <c r="I16" s="98">
        <v>6856871</v>
      </c>
      <c r="J16" s="378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73"/>
      <c r="AF16" s="373"/>
      <c r="AL16" s="373"/>
    </row>
    <row r="17" spans="1:38" s="374" customFormat="1" ht="39" customHeight="1">
      <c r="A17" s="202" t="s">
        <v>36</v>
      </c>
      <c r="B17" s="94" t="s">
        <v>306</v>
      </c>
      <c r="C17" s="95"/>
      <c r="D17" s="112" t="s">
        <v>307</v>
      </c>
      <c r="E17" s="228"/>
      <c r="F17" s="223"/>
      <c r="G17" s="97" t="s">
        <v>242</v>
      </c>
      <c r="H17" s="233">
        <v>1</v>
      </c>
      <c r="I17" s="98">
        <v>5060458</v>
      </c>
      <c r="J17" s="378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308</v>
      </c>
      <c r="AF17" s="117"/>
      <c r="AG17" s="144"/>
      <c r="AL17" s="373"/>
    </row>
    <row r="18" spans="1:38" s="374" customFormat="1" ht="42.75" customHeight="1">
      <c r="A18" s="202" t="s">
        <v>37</v>
      </c>
      <c r="B18" s="94" t="s">
        <v>318</v>
      </c>
      <c r="C18" s="95"/>
      <c r="D18" s="112" t="s">
        <v>244</v>
      </c>
      <c r="E18" s="227" t="s">
        <v>335</v>
      </c>
      <c r="F18" s="334" t="s">
        <v>336</v>
      </c>
      <c r="G18" s="97" t="s">
        <v>242</v>
      </c>
      <c r="H18" s="233">
        <v>1</v>
      </c>
      <c r="I18" s="98">
        <v>5060458</v>
      </c>
      <c r="J18" s="378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320</v>
      </c>
      <c r="AF18" s="117"/>
      <c r="AG18" s="144"/>
      <c r="AL18" s="373"/>
    </row>
    <row r="19" spans="1:38" s="374" customFormat="1" ht="31.5" customHeight="1">
      <c r="A19" s="202" t="s">
        <v>38</v>
      </c>
      <c r="B19" s="94" t="s">
        <v>343</v>
      </c>
      <c r="C19" s="95"/>
      <c r="D19" s="112" t="s">
        <v>55</v>
      </c>
      <c r="E19" s="228"/>
      <c r="F19" s="223"/>
      <c r="G19" s="97" t="s">
        <v>245</v>
      </c>
      <c r="H19" s="233">
        <v>12</v>
      </c>
      <c r="I19" s="98">
        <v>8088879</v>
      </c>
      <c r="J19" s="378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73"/>
    </row>
    <row r="20" spans="1:38" s="104" customFormat="1" ht="31.5" customHeight="1">
      <c r="A20" s="202" t="s">
        <v>39</v>
      </c>
      <c r="B20" s="94" t="s">
        <v>344</v>
      </c>
      <c r="C20" s="95"/>
      <c r="D20" s="112" t="s">
        <v>345</v>
      </c>
      <c r="E20" s="228"/>
      <c r="F20" s="209"/>
      <c r="G20" s="97" t="s">
        <v>242</v>
      </c>
      <c r="H20" s="233">
        <v>6</v>
      </c>
      <c r="I20" s="98">
        <v>6458569</v>
      </c>
      <c r="J20" s="378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74"/>
      <c r="AL20" s="105"/>
    </row>
    <row r="21" spans="1:38" s="104" customFormat="1" ht="28.5" customHeight="1">
      <c r="A21" s="202" t="s">
        <v>40</v>
      </c>
      <c r="B21" s="94" t="s">
        <v>135</v>
      </c>
      <c r="C21" s="95" t="s">
        <v>109</v>
      </c>
      <c r="D21" s="112" t="s">
        <v>120</v>
      </c>
      <c r="E21" s="227" t="s">
        <v>236</v>
      </c>
      <c r="F21" s="209" t="s">
        <v>208</v>
      </c>
      <c r="G21" s="107" t="s">
        <v>242</v>
      </c>
      <c r="H21" s="233">
        <v>5</v>
      </c>
      <c r="I21" s="98">
        <v>6151018</v>
      </c>
      <c r="J21" s="378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110</v>
      </c>
      <c r="AF21" s="102" t="s">
        <v>112</v>
      </c>
      <c r="AG21" s="110" t="e">
        <f>#REF!*2</f>
        <v>#REF!</v>
      </c>
      <c r="AH21" s="110"/>
      <c r="AI21" s="110"/>
      <c r="AL21" s="111"/>
    </row>
    <row r="22" spans="1:38" s="374" customFormat="1" ht="26.25" customHeight="1">
      <c r="A22" s="202" t="s">
        <v>24</v>
      </c>
      <c r="B22" s="143" t="s">
        <v>132</v>
      </c>
      <c r="C22" s="95" t="s">
        <v>6</v>
      </c>
      <c r="D22" s="112" t="s">
        <v>166</v>
      </c>
      <c r="E22" s="336" t="s">
        <v>234</v>
      </c>
      <c r="F22" s="223" t="s">
        <v>202</v>
      </c>
      <c r="G22" s="107" t="s">
        <v>245</v>
      </c>
      <c r="H22" s="96">
        <v>5</v>
      </c>
      <c r="I22" s="98">
        <v>5748615</v>
      </c>
      <c r="J22" s="378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358</v>
      </c>
      <c r="AE22" s="117">
        <f>3.33*1390000</f>
        <v>4628700</v>
      </c>
      <c r="AF22" s="750"/>
      <c r="AG22" s="751"/>
      <c r="AH22" s="751"/>
      <c r="AL22" s="119"/>
    </row>
    <row r="23" spans="1:38" s="374" customFormat="1" ht="23.25" customHeight="1">
      <c r="A23" s="202" t="s">
        <v>25</v>
      </c>
      <c r="B23" s="94" t="s">
        <v>139</v>
      </c>
      <c r="C23" s="95" t="s">
        <v>81</v>
      </c>
      <c r="D23" s="112" t="s">
        <v>69</v>
      </c>
      <c r="E23" s="228" t="str">
        <f>VLOOKUP(B23,[2]T3!$B$2:$D$328,3,FALSE)</f>
        <v>026050143</v>
      </c>
      <c r="F23" s="223" t="s">
        <v>217</v>
      </c>
      <c r="G23" s="107" t="s">
        <v>242</v>
      </c>
      <c r="H23" s="233">
        <v>6</v>
      </c>
      <c r="I23" s="98">
        <v>6458569</v>
      </c>
      <c r="J23" s="378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108</v>
      </c>
      <c r="AF23" s="117" t="e">
        <f>#REF!/24</f>
        <v>#REF!</v>
      </c>
      <c r="AL23" s="373"/>
    </row>
    <row r="24" spans="1:38" s="374" customFormat="1" ht="27" customHeight="1">
      <c r="A24" s="202" t="s">
        <v>26</v>
      </c>
      <c r="B24" s="143" t="s">
        <v>127</v>
      </c>
      <c r="C24" s="95" t="s">
        <v>124</v>
      </c>
      <c r="D24" s="112" t="s">
        <v>120</v>
      </c>
      <c r="E24" s="228" t="str">
        <f>VLOOKUP(B24,[2]T3!$B$2:$D$328,3,FALSE)</f>
        <v>025444854</v>
      </c>
      <c r="F24" s="223" t="s">
        <v>209</v>
      </c>
      <c r="G24" s="107" t="s">
        <v>245</v>
      </c>
      <c r="H24" s="233">
        <v>2</v>
      </c>
      <c r="I24" s="98">
        <v>4965870</v>
      </c>
      <c r="J24" s="378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125</v>
      </c>
      <c r="AF24" s="144"/>
      <c r="AG24" s="110"/>
      <c r="AH24" s="110"/>
      <c r="AI24" s="110"/>
      <c r="AL24" s="111"/>
    </row>
    <row r="25" spans="1:38" s="374" customFormat="1" ht="30" customHeight="1">
      <c r="A25" s="202" t="s">
        <v>31</v>
      </c>
      <c r="B25" s="94" t="s">
        <v>256</v>
      </c>
      <c r="C25" s="95"/>
      <c r="D25" s="112" t="s">
        <v>257</v>
      </c>
      <c r="E25" s="228"/>
      <c r="F25" s="223" t="str">
        <f>VLOOKUP(B25,[1]LuongBC_T01!$B$277:$C$292,2,FALSE)</f>
        <v>0016100006675004</v>
      </c>
      <c r="G25" s="107" t="s">
        <v>245</v>
      </c>
      <c r="H25" s="96">
        <v>4</v>
      </c>
      <c r="I25" s="98">
        <v>5474872</v>
      </c>
      <c r="J25" s="378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74" customFormat="1" ht="30.75" customHeight="1">
      <c r="A26" s="202" t="s">
        <v>27</v>
      </c>
      <c r="B26" s="94" t="s">
        <v>247</v>
      </c>
      <c r="C26" s="95"/>
      <c r="D26" s="112" t="s">
        <v>8</v>
      </c>
      <c r="E26" s="336"/>
      <c r="F26" s="223" t="str">
        <f>VLOOKUP(B26,[1]LuongBC_T01!$B$277:$C$292,2,FALSE)</f>
        <v>0016100006692006</v>
      </c>
      <c r="G26" s="107" t="s">
        <v>246</v>
      </c>
      <c r="H26" s="233">
        <v>11</v>
      </c>
      <c r="I26" s="98">
        <v>7559700</v>
      </c>
      <c r="J26" s="378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74" customFormat="1" ht="29.25" customHeight="1">
      <c r="A27" s="202" t="s">
        <v>28</v>
      </c>
      <c r="B27" s="94" t="s">
        <v>248</v>
      </c>
      <c r="C27" s="95"/>
      <c r="D27" s="112" t="s">
        <v>8</v>
      </c>
      <c r="E27" s="336"/>
      <c r="F27" s="223" t="str">
        <f>VLOOKUP(B27,[1]LuongBC_T01!$B$277:$C$292,2,FALSE)</f>
        <v>0016100006677007</v>
      </c>
      <c r="G27" s="107" t="s">
        <v>246</v>
      </c>
      <c r="H27" s="233">
        <v>10</v>
      </c>
      <c r="I27" s="98">
        <v>7199714</v>
      </c>
      <c r="J27" s="378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74" customFormat="1" ht="29.25" customHeight="1">
      <c r="A28" s="202" t="s">
        <v>29</v>
      </c>
      <c r="B28" s="94" t="s">
        <v>253</v>
      </c>
      <c r="C28" s="95"/>
      <c r="D28" s="112" t="s">
        <v>8</v>
      </c>
      <c r="E28" s="228"/>
      <c r="F28" s="223"/>
      <c r="G28" s="97" t="s">
        <v>246</v>
      </c>
      <c r="H28" s="233">
        <v>2</v>
      </c>
      <c r="I28" s="98">
        <v>4641000</v>
      </c>
      <c r="J28" s="378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73"/>
    </row>
    <row r="29" spans="1:38" s="374" customFormat="1" ht="28.5" customHeight="1">
      <c r="A29" s="202" t="s">
        <v>30</v>
      </c>
      <c r="B29" s="94" t="s">
        <v>134</v>
      </c>
      <c r="C29" s="95" t="s">
        <v>56</v>
      </c>
      <c r="D29" s="112" t="s">
        <v>257</v>
      </c>
      <c r="E29" s="228" t="str">
        <f>VLOOKUP(B29,[2]T3!$B$2:$D$328,3,FALSE)</f>
        <v>025804258</v>
      </c>
      <c r="F29" s="223" t="s">
        <v>207</v>
      </c>
      <c r="G29" s="107" t="s">
        <v>245</v>
      </c>
      <c r="H29" s="96">
        <v>5</v>
      </c>
      <c r="I29" s="98">
        <v>5748615</v>
      </c>
      <c r="J29" s="378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106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88</v>
      </c>
      <c r="B30" s="94" t="s">
        <v>140</v>
      </c>
      <c r="C30" s="95" t="s">
        <v>58</v>
      </c>
      <c r="D30" s="112" t="s">
        <v>274</v>
      </c>
      <c r="E30" s="228" t="str">
        <f>VLOOKUP(B30,[2]T3!$B$2:$D$328,3,FALSE)</f>
        <v>025177943</v>
      </c>
      <c r="F30" s="209" t="s">
        <v>215</v>
      </c>
      <c r="G30" s="107" t="s">
        <v>245</v>
      </c>
      <c r="H30" s="96">
        <v>4</v>
      </c>
      <c r="I30" s="98">
        <v>5474872</v>
      </c>
      <c r="J30" s="378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89</v>
      </c>
      <c r="B31" s="94" t="s">
        <v>144</v>
      </c>
      <c r="C31" s="95" t="s">
        <v>23</v>
      </c>
      <c r="D31" s="112" t="s">
        <v>274</v>
      </c>
      <c r="E31" s="228" t="str">
        <f>VLOOKUP(B31,[2]T3!$B$2:$D$328,3,FALSE)</f>
        <v>025632449</v>
      </c>
      <c r="F31" s="209" t="s">
        <v>220</v>
      </c>
      <c r="G31" s="107" t="s">
        <v>245</v>
      </c>
      <c r="H31" s="233">
        <v>2</v>
      </c>
      <c r="I31" s="98">
        <v>4965870</v>
      </c>
      <c r="J31" s="378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85</v>
      </c>
      <c r="AF31" s="109"/>
      <c r="AG31" s="120" t="s">
        <v>111</v>
      </c>
      <c r="AH31" s="110"/>
      <c r="AI31" s="110"/>
      <c r="AL31" s="111"/>
    </row>
    <row r="32" spans="1:38" s="104" customFormat="1" ht="25.5" customHeight="1">
      <c r="A32" s="202" t="s">
        <v>90</v>
      </c>
      <c r="B32" s="94" t="s">
        <v>276</v>
      </c>
      <c r="C32" s="95"/>
      <c r="D32" s="112" t="s">
        <v>277</v>
      </c>
      <c r="E32" s="228"/>
      <c r="F32" s="223"/>
      <c r="G32" s="97" t="s">
        <v>246</v>
      </c>
      <c r="H32" s="233">
        <v>1</v>
      </c>
      <c r="I32" s="98">
        <v>4420000</v>
      </c>
      <c r="J32" s="378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278</v>
      </c>
      <c r="AF32" s="117"/>
      <c r="AG32" s="144"/>
      <c r="AH32" s="374"/>
      <c r="AL32" s="105"/>
    </row>
    <row r="33" spans="1:38" s="104" customFormat="1" ht="38.25" customHeight="1">
      <c r="A33" s="202" t="s">
        <v>91</v>
      </c>
      <c r="B33" s="94" t="s">
        <v>303</v>
      </c>
      <c r="C33" s="95"/>
      <c r="D33" s="112" t="s">
        <v>304</v>
      </c>
      <c r="E33" s="228"/>
      <c r="F33" s="223"/>
      <c r="G33" s="97" t="s">
        <v>246</v>
      </c>
      <c r="H33" s="233">
        <v>1</v>
      </c>
      <c r="I33" s="98">
        <v>4420000</v>
      </c>
      <c r="J33" s="378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314</v>
      </c>
      <c r="AF33" s="117"/>
      <c r="AG33" s="144"/>
      <c r="AH33" s="374"/>
      <c r="AL33" s="105"/>
    </row>
    <row r="34" spans="1:38" s="104" customFormat="1" ht="31.5" customHeight="1">
      <c r="A34" s="202" t="s">
        <v>92</v>
      </c>
      <c r="B34" s="94" t="s">
        <v>350</v>
      </c>
      <c r="C34" s="95"/>
      <c r="D34" s="112" t="s">
        <v>239</v>
      </c>
      <c r="E34" s="228"/>
      <c r="F34" s="209"/>
      <c r="G34" s="97" t="s">
        <v>246</v>
      </c>
      <c r="H34" s="233">
        <v>12</v>
      </c>
      <c r="I34" s="98">
        <v>7559700</v>
      </c>
      <c r="J34" s="378">
        <f t="shared" si="6"/>
        <v>453582</v>
      </c>
      <c r="K34" s="337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74"/>
      <c r="AL34" s="105"/>
    </row>
    <row r="35" spans="1:38" s="104" customFormat="1" ht="39.75" customHeight="1">
      <c r="A35" s="202" t="s">
        <v>93</v>
      </c>
      <c r="B35" s="94" t="s">
        <v>305</v>
      </c>
      <c r="C35" s="95"/>
      <c r="D35" s="112" t="s">
        <v>304</v>
      </c>
      <c r="E35" s="228"/>
      <c r="F35" s="223"/>
      <c r="G35" s="97" t="s">
        <v>246</v>
      </c>
      <c r="H35" s="233">
        <v>1</v>
      </c>
      <c r="I35" s="98">
        <v>4420000</v>
      </c>
      <c r="J35" s="378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315</v>
      </c>
      <c r="AF35" s="117"/>
      <c r="AG35" s="144"/>
      <c r="AH35" s="374"/>
      <c r="AL35" s="105"/>
    </row>
    <row r="36" spans="1:38" s="374" customFormat="1" ht="30" customHeight="1">
      <c r="A36" s="202" t="s">
        <v>94</v>
      </c>
      <c r="B36" s="94" t="s">
        <v>254</v>
      </c>
      <c r="C36" s="95"/>
      <c r="D36" s="112" t="s">
        <v>255</v>
      </c>
      <c r="E36" s="228"/>
      <c r="F36" s="223"/>
      <c r="G36" s="107" t="s">
        <v>245</v>
      </c>
      <c r="H36" s="96">
        <v>7</v>
      </c>
      <c r="I36" s="98">
        <v>6337848</v>
      </c>
      <c r="J36" s="378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74" customFormat="1" ht="24.75" customHeight="1">
      <c r="A37" s="202" t="s">
        <v>95</v>
      </c>
      <c r="B37" s="94" t="s">
        <v>133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206</v>
      </c>
      <c r="G37" s="107" t="s">
        <v>242</v>
      </c>
      <c r="H37" s="233">
        <v>5</v>
      </c>
      <c r="I37" s="98">
        <v>6151018</v>
      </c>
      <c r="J37" s="378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105</v>
      </c>
      <c r="AF37" s="108"/>
      <c r="AH37" s="374" t="e">
        <f>#REF!-#REF!</f>
        <v>#REF!</v>
      </c>
      <c r="AI37" s="116"/>
      <c r="AL37" s="373"/>
    </row>
    <row r="38" spans="1:38" s="104" customFormat="1" ht="24.75" customHeight="1">
      <c r="A38" s="202" t="s">
        <v>96</v>
      </c>
      <c r="B38" s="94" t="s">
        <v>290</v>
      </c>
      <c r="C38" s="95"/>
      <c r="D38" s="112" t="s">
        <v>291</v>
      </c>
      <c r="E38" s="228"/>
      <c r="F38" s="223"/>
      <c r="G38" s="97" t="s">
        <v>242</v>
      </c>
      <c r="H38" s="233">
        <v>1</v>
      </c>
      <c r="I38" s="98">
        <v>5060458</v>
      </c>
      <c r="J38" s="378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300</v>
      </c>
      <c r="AF38" s="117"/>
      <c r="AG38" s="144"/>
      <c r="AH38" s="374"/>
      <c r="AL38" s="105"/>
    </row>
    <row r="39" spans="1:38" s="104" customFormat="1" ht="33" customHeight="1">
      <c r="A39" s="202" t="s">
        <v>97</v>
      </c>
      <c r="B39" s="94" t="s">
        <v>327</v>
      </c>
      <c r="C39" s="95"/>
      <c r="D39" s="112" t="s">
        <v>326</v>
      </c>
      <c r="E39" s="228"/>
      <c r="F39" s="334" t="s">
        <v>337</v>
      </c>
      <c r="G39" s="97" t="s">
        <v>242</v>
      </c>
      <c r="H39" s="233">
        <v>1</v>
      </c>
      <c r="I39" s="98">
        <v>5060458</v>
      </c>
      <c r="J39" s="378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3" t="s">
        <v>328</v>
      </c>
      <c r="AF39" s="117"/>
      <c r="AG39" s="144"/>
      <c r="AH39" s="374"/>
      <c r="AL39" s="105"/>
    </row>
    <row r="40" spans="1:38" s="104" customFormat="1" ht="36.75" customHeight="1">
      <c r="A40" s="202" t="s">
        <v>98</v>
      </c>
      <c r="B40" s="94" t="s">
        <v>138</v>
      </c>
      <c r="C40" s="95" t="s">
        <v>66</v>
      </c>
      <c r="D40" s="112" t="s">
        <v>172</v>
      </c>
      <c r="E40" s="227" t="s">
        <v>237</v>
      </c>
      <c r="F40" s="209" t="s">
        <v>214</v>
      </c>
      <c r="G40" s="107" t="s">
        <v>242</v>
      </c>
      <c r="H40" s="235">
        <v>7</v>
      </c>
      <c r="I40" s="98">
        <v>6781498</v>
      </c>
      <c r="J40" s="378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74"/>
      <c r="AL40" s="105"/>
    </row>
    <row r="41" spans="1:38" s="104" customFormat="1" ht="42.75" customHeight="1">
      <c r="A41" s="202" t="s">
        <v>99</v>
      </c>
      <c r="B41" s="94" t="s">
        <v>283</v>
      </c>
      <c r="C41" s="95"/>
      <c r="D41" s="112" t="s">
        <v>287</v>
      </c>
      <c r="E41" s="228"/>
      <c r="F41" s="223" t="s">
        <v>324</v>
      </c>
      <c r="G41" s="97" t="s">
        <v>242</v>
      </c>
      <c r="H41" s="233">
        <v>1</v>
      </c>
      <c r="I41" s="98">
        <v>5060458</v>
      </c>
      <c r="J41" s="378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284</v>
      </c>
      <c r="AF41" s="117"/>
      <c r="AG41" s="144"/>
      <c r="AH41" s="374"/>
      <c r="AL41" s="105"/>
    </row>
    <row r="42" spans="1:38" s="374" customFormat="1" ht="33" customHeight="1">
      <c r="A42" s="202" t="s">
        <v>100</v>
      </c>
      <c r="B42" s="143" t="s">
        <v>130</v>
      </c>
      <c r="C42" s="95" t="s">
        <v>7</v>
      </c>
      <c r="D42" s="112" t="s">
        <v>239</v>
      </c>
      <c r="E42" s="226" t="s">
        <v>233</v>
      </c>
      <c r="F42" s="223" t="s">
        <v>203</v>
      </c>
      <c r="G42" s="107" t="s">
        <v>245</v>
      </c>
      <c r="H42" s="233">
        <v>4</v>
      </c>
      <c r="I42" s="98">
        <v>5474872</v>
      </c>
      <c r="J42" s="378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359</v>
      </c>
      <c r="AE42" s="117">
        <f>AE22*10.5%</f>
        <v>486013.5</v>
      </c>
      <c r="AF42" s="750"/>
      <c r="AG42" s="751"/>
      <c r="AH42" s="751"/>
      <c r="AI42" s="751"/>
      <c r="AL42" s="119"/>
    </row>
    <row r="43" spans="1:38" s="104" customFormat="1" ht="37.5" customHeight="1">
      <c r="A43" s="202" t="s">
        <v>101</v>
      </c>
      <c r="B43" s="94" t="s">
        <v>145</v>
      </c>
      <c r="C43" s="95" t="s">
        <v>117</v>
      </c>
      <c r="D43" s="112" t="s">
        <v>287</v>
      </c>
      <c r="E43" s="226" t="s">
        <v>232</v>
      </c>
      <c r="F43" s="209" t="s">
        <v>210</v>
      </c>
      <c r="G43" s="107" t="s">
        <v>242</v>
      </c>
      <c r="H43" s="233">
        <v>1</v>
      </c>
      <c r="I43" s="98">
        <v>5060458</v>
      </c>
      <c r="J43" s="378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118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102</v>
      </c>
      <c r="B44" s="94" t="s">
        <v>311</v>
      </c>
      <c r="C44" s="95"/>
      <c r="D44" s="112" t="s">
        <v>287</v>
      </c>
      <c r="E44" s="228"/>
      <c r="F44" s="223"/>
      <c r="G44" s="97" t="s">
        <v>242</v>
      </c>
      <c r="H44" s="233">
        <v>1</v>
      </c>
      <c r="I44" s="98">
        <v>5060458</v>
      </c>
      <c r="J44" s="378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312</v>
      </c>
      <c r="AF44" s="117"/>
      <c r="AG44" s="144"/>
      <c r="AH44" s="374"/>
      <c r="AL44" s="105"/>
    </row>
    <row r="45" spans="1:38" s="374" customFormat="1" ht="39" customHeight="1">
      <c r="A45" s="202" t="s">
        <v>103</v>
      </c>
      <c r="B45" s="94" t="s">
        <v>346</v>
      </c>
      <c r="C45" s="95"/>
      <c r="D45" s="112" t="s">
        <v>347</v>
      </c>
      <c r="E45" s="228"/>
      <c r="F45" s="223"/>
      <c r="G45" s="97" t="s">
        <v>245</v>
      </c>
      <c r="H45" s="233">
        <v>4</v>
      </c>
      <c r="I45" s="98">
        <v>5474872</v>
      </c>
      <c r="J45" s="378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73"/>
    </row>
    <row r="46" spans="1:38" s="104" customFormat="1" ht="33" customHeight="1">
      <c r="A46" s="202" t="s">
        <v>104</v>
      </c>
      <c r="B46" s="94" t="s">
        <v>128</v>
      </c>
      <c r="C46" s="95" t="s">
        <v>123</v>
      </c>
      <c r="D46" s="112" t="s">
        <v>187</v>
      </c>
      <c r="E46" s="228" t="str">
        <f>VLOOKUP(B46,[2]T3!$B$2:$D$328,3,FALSE)</f>
        <v>024759058</v>
      </c>
      <c r="F46" s="209" t="s">
        <v>224</v>
      </c>
      <c r="G46" s="107" t="s">
        <v>242</v>
      </c>
      <c r="H46" s="331">
        <v>1</v>
      </c>
      <c r="I46" s="98">
        <v>5060458</v>
      </c>
      <c r="J46" s="378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2"/>
      <c r="Y46" s="332"/>
      <c r="Z46" s="332"/>
      <c r="AA46" s="332"/>
      <c r="AB46" s="99">
        <f t="shared" si="4"/>
        <v>4529109.91</v>
      </c>
      <c r="AC46" s="101" t="str">
        <f t="shared" si="11"/>
        <v>34</v>
      </c>
      <c r="AD46" s="102"/>
      <c r="AE46" s="145" t="s">
        <v>126</v>
      </c>
      <c r="AF46" s="374"/>
      <c r="AG46" s="374"/>
      <c r="AK46" s="105"/>
    </row>
    <row r="47" spans="1:38" s="104" customFormat="1" ht="28.5" customHeight="1">
      <c r="A47" s="202" t="s">
        <v>258</v>
      </c>
      <c r="B47" s="94" t="s">
        <v>141</v>
      </c>
      <c r="C47" s="95" t="s">
        <v>87</v>
      </c>
      <c r="D47" s="112" t="s">
        <v>187</v>
      </c>
      <c r="E47" s="228" t="str">
        <f>VLOOKUP(B47,[2]T3!$B$2:$D$328,3,FALSE)</f>
        <v>025128010</v>
      </c>
      <c r="F47" s="209" t="s">
        <v>216</v>
      </c>
      <c r="G47" s="107" t="s">
        <v>242</v>
      </c>
      <c r="H47" s="96">
        <v>3</v>
      </c>
      <c r="I47" s="98">
        <v>5579155</v>
      </c>
      <c r="J47" s="378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115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259</v>
      </c>
      <c r="B48" s="94" t="s">
        <v>163</v>
      </c>
      <c r="C48" s="95"/>
      <c r="D48" s="112" t="s">
        <v>187</v>
      </c>
      <c r="E48" s="228" t="str">
        <f>VLOOKUP(B48,[2]T3!$B$2:$D$328,3,FALSE)</f>
        <v>290936998</v>
      </c>
      <c r="F48" s="209" t="s">
        <v>221</v>
      </c>
      <c r="G48" s="97" t="s">
        <v>242</v>
      </c>
      <c r="H48" s="233">
        <v>5</v>
      </c>
      <c r="I48" s="98">
        <v>6151018</v>
      </c>
      <c r="J48" s="378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260</v>
      </c>
      <c r="B49" s="94" t="s">
        <v>146</v>
      </c>
      <c r="C49" s="95" t="s">
        <v>63</v>
      </c>
      <c r="D49" s="112" t="s">
        <v>187</v>
      </c>
      <c r="E49" s="228" t="str">
        <f>VLOOKUP(B49,[2]T3!$B$2:$D$328,3,FALSE)</f>
        <v>001186011890</v>
      </c>
      <c r="F49" s="209" t="s">
        <v>222</v>
      </c>
      <c r="G49" s="97" t="s">
        <v>242</v>
      </c>
      <c r="H49" s="233">
        <v>6</v>
      </c>
      <c r="I49" s="98">
        <v>6458569</v>
      </c>
      <c r="J49" s="378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74"/>
      <c r="AL49" s="105"/>
    </row>
    <row r="50" spans="1:39" s="104" customFormat="1" ht="28.5" customHeight="1">
      <c r="A50" s="202" t="s">
        <v>261</v>
      </c>
      <c r="B50" s="94" t="s">
        <v>362</v>
      </c>
      <c r="C50" s="95"/>
      <c r="D50" s="112" t="s">
        <v>187</v>
      </c>
      <c r="E50" s="228"/>
      <c r="F50" s="209"/>
      <c r="G50" s="97" t="s">
        <v>242</v>
      </c>
      <c r="H50" s="233">
        <v>1</v>
      </c>
      <c r="I50" s="98">
        <v>5060458</v>
      </c>
      <c r="J50" s="378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367</v>
      </c>
      <c r="AF50" s="103"/>
      <c r="AG50" s="144"/>
      <c r="AH50" s="374"/>
      <c r="AL50" s="105"/>
    </row>
    <row r="51" spans="1:39" s="104" customFormat="1" ht="36.75" customHeight="1">
      <c r="A51" s="202" t="s">
        <v>262</v>
      </c>
      <c r="B51" s="143" t="s">
        <v>137</v>
      </c>
      <c r="C51" s="95" t="s">
        <v>82</v>
      </c>
      <c r="D51" s="112" t="s">
        <v>188</v>
      </c>
      <c r="E51" s="228" t="str">
        <f>VLOOKUP(B51,[2]T3!$B$2:$D$328,3,FALSE)</f>
        <v>095189000070</v>
      </c>
      <c r="F51" s="209" t="s">
        <v>213</v>
      </c>
      <c r="G51" s="97" t="s">
        <v>242</v>
      </c>
      <c r="H51" s="235">
        <v>5</v>
      </c>
      <c r="I51" s="98">
        <v>6151018</v>
      </c>
      <c r="J51" s="378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83</v>
      </c>
      <c r="AF51" s="102" t="s">
        <v>112</v>
      </c>
      <c r="AG51" s="104" t="e">
        <f>#REF!/24</f>
        <v>#REF!</v>
      </c>
      <c r="AH51" s="374"/>
      <c r="AL51" s="105"/>
    </row>
    <row r="52" spans="1:39" s="104" customFormat="1" ht="27" customHeight="1">
      <c r="A52" s="202" t="s">
        <v>263</v>
      </c>
      <c r="B52" s="94" t="s">
        <v>136</v>
      </c>
      <c r="C52" s="329" t="s">
        <v>7</v>
      </c>
      <c r="D52" s="112" t="s">
        <v>189</v>
      </c>
      <c r="E52" s="228" t="str">
        <f>VLOOKUP(B52,[2]T3!$B$2:$D$328,3,FALSE)</f>
        <v>023680986</v>
      </c>
      <c r="F52" s="209" t="s">
        <v>212</v>
      </c>
      <c r="G52" s="97" t="s">
        <v>242</v>
      </c>
      <c r="H52" s="233">
        <v>5</v>
      </c>
      <c r="I52" s="98">
        <v>6151018</v>
      </c>
      <c r="J52" s="378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0"/>
      <c r="Y52" s="330"/>
      <c r="Z52" s="330"/>
      <c r="AA52" s="330"/>
      <c r="AB52" s="99">
        <f t="shared" si="4"/>
        <v>5505161.1100000003</v>
      </c>
      <c r="AC52" s="101" t="str">
        <f t="shared" si="11"/>
        <v>40</v>
      </c>
      <c r="AD52" s="118"/>
      <c r="AE52" s="114" t="s">
        <v>107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264</v>
      </c>
      <c r="B53" s="94" t="s">
        <v>301</v>
      </c>
      <c r="C53" s="95"/>
      <c r="D53" s="112" t="s">
        <v>189</v>
      </c>
      <c r="E53" s="228"/>
      <c r="F53" s="223" t="s">
        <v>325</v>
      </c>
      <c r="G53" s="97" t="s">
        <v>242</v>
      </c>
      <c r="H53" s="233">
        <v>1</v>
      </c>
      <c r="I53" s="98">
        <v>5060458</v>
      </c>
      <c r="J53" s="378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302</v>
      </c>
      <c r="AF53" s="117"/>
      <c r="AG53" s="144"/>
      <c r="AH53" s="374"/>
      <c r="AL53" s="105"/>
    </row>
    <row r="54" spans="1:39" s="104" customFormat="1" ht="35.25" customHeight="1">
      <c r="A54" s="202" t="s">
        <v>265</v>
      </c>
      <c r="B54" s="94" t="s">
        <v>181</v>
      </c>
      <c r="C54" s="95"/>
      <c r="D54" s="112" t="s">
        <v>364</v>
      </c>
      <c r="E54" s="228" t="str">
        <f>VLOOKUP(B54,[2]T3!$B$2:$D$328,3,FALSE)</f>
        <v>025273555</v>
      </c>
      <c r="F54" s="223" t="s">
        <v>223</v>
      </c>
      <c r="G54" s="97" t="s">
        <v>246</v>
      </c>
      <c r="H54" s="233">
        <v>3</v>
      </c>
      <c r="I54" s="98">
        <v>4873050</v>
      </c>
      <c r="J54" s="378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183</v>
      </c>
      <c r="AF54" s="117"/>
      <c r="AG54" s="144"/>
      <c r="AH54" s="374"/>
      <c r="AL54" s="105"/>
    </row>
    <row r="55" spans="1:39" s="104" customFormat="1" ht="33.75" customHeight="1">
      <c r="A55" s="202" t="s">
        <v>279</v>
      </c>
      <c r="B55" s="94" t="s">
        <v>173</v>
      </c>
      <c r="C55" s="95"/>
      <c r="D55" s="112" t="s">
        <v>364</v>
      </c>
      <c r="E55" s="228" t="str">
        <f>VLOOKUP(B55,[2]T3!$B$2:$D$328,3,FALSE)</f>
        <v>025947357</v>
      </c>
      <c r="F55" s="209" t="s">
        <v>211</v>
      </c>
      <c r="G55" s="97" t="s">
        <v>242</v>
      </c>
      <c r="H55" s="233">
        <v>3</v>
      </c>
      <c r="I55" s="98">
        <v>5579155</v>
      </c>
      <c r="J55" s="378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174</v>
      </c>
      <c r="AF55" s="155"/>
      <c r="AG55" s="128"/>
      <c r="AH55" s="110"/>
      <c r="AI55" s="110"/>
      <c r="AL55" s="111"/>
    </row>
    <row r="56" spans="1:39" s="374" customFormat="1" ht="24" customHeight="1">
      <c r="A56" s="202" t="s">
        <v>285</v>
      </c>
      <c r="B56" s="94" t="s">
        <v>143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219</v>
      </c>
      <c r="G56" s="107" t="s">
        <v>242</v>
      </c>
      <c r="H56" s="96">
        <v>3</v>
      </c>
      <c r="I56" s="98">
        <v>5579155</v>
      </c>
      <c r="J56" s="378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116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288</v>
      </c>
      <c r="B57" s="94" t="s">
        <v>309</v>
      </c>
      <c r="C57" s="95"/>
      <c r="D57" s="112" t="s">
        <v>310</v>
      </c>
      <c r="E57" s="228"/>
      <c r="F57" s="223"/>
      <c r="G57" s="97" t="s">
        <v>245</v>
      </c>
      <c r="H57" s="233">
        <v>1</v>
      </c>
      <c r="I57" s="98">
        <v>4729400</v>
      </c>
      <c r="J57" s="378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308</v>
      </c>
      <c r="AF57" s="117"/>
      <c r="AG57" s="144"/>
      <c r="AH57" s="374"/>
      <c r="AL57" s="105"/>
    </row>
    <row r="58" spans="1:39" s="104" customFormat="1" ht="30" customHeight="1">
      <c r="A58" s="202" t="s">
        <v>292</v>
      </c>
      <c r="B58" s="94" t="s">
        <v>142</v>
      </c>
      <c r="C58" s="95" t="s">
        <v>114</v>
      </c>
      <c r="D58" s="112" t="s">
        <v>10</v>
      </c>
      <c r="E58" s="228" t="str">
        <f>VLOOKUP(B58,[2]T3!$B$2:$D$328,3,FALSE)</f>
        <v>250835904</v>
      </c>
      <c r="F58" s="223" t="s">
        <v>218</v>
      </c>
      <c r="G58" s="107" t="s">
        <v>242</v>
      </c>
      <c r="H58" s="96">
        <v>3</v>
      </c>
      <c r="I58" s="98">
        <v>5579155</v>
      </c>
      <c r="J58" s="378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115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293</v>
      </c>
      <c r="B59" s="94" t="s">
        <v>165</v>
      </c>
      <c r="C59" s="159"/>
      <c r="D59" s="112" t="s">
        <v>269</v>
      </c>
      <c r="E59" s="226"/>
      <c r="F59" s="209"/>
      <c r="G59" s="107" t="s">
        <v>242</v>
      </c>
      <c r="H59" s="233">
        <v>12</v>
      </c>
      <c r="I59" s="98">
        <v>8655100</v>
      </c>
      <c r="J59" s="378">
        <f t="shared" si="6"/>
        <v>519306</v>
      </c>
      <c r="K59" s="337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73"/>
      <c r="AG59" s="374"/>
      <c r="AH59" s="374"/>
      <c r="AL59" s="105"/>
    </row>
    <row r="60" spans="1:39" s="374" customFormat="1" ht="39" customHeight="1">
      <c r="A60" s="202" t="s">
        <v>313</v>
      </c>
      <c r="B60" s="94" t="s">
        <v>348</v>
      </c>
      <c r="C60" s="95"/>
      <c r="D60" s="112" t="s">
        <v>349</v>
      </c>
      <c r="E60" s="228"/>
      <c r="F60" s="209"/>
      <c r="G60" s="97" t="s">
        <v>245</v>
      </c>
      <c r="H60" s="233">
        <v>4</v>
      </c>
      <c r="I60" s="98">
        <v>5474872</v>
      </c>
      <c r="J60" s="378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73"/>
    </row>
    <row r="61" spans="1:39" s="104" customFormat="1" ht="28.5" customHeight="1">
      <c r="A61" s="202" t="s">
        <v>363</v>
      </c>
      <c r="B61" s="316" t="s">
        <v>280</v>
      </c>
      <c r="C61" s="317"/>
      <c r="D61" s="318" t="s">
        <v>281</v>
      </c>
      <c r="E61" s="230"/>
      <c r="F61" s="319"/>
      <c r="G61" s="320" t="s">
        <v>242</v>
      </c>
      <c r="H61" s="321">
        <v>10</v>
      </c>
      <c r="I61" s="236">
        <v>7850431</v>
      </c>
      <c r="J61" s="379">
        <f t="shared" si="6"/>
        <v>471025.86</v>
      </c>
      <c r="K61" s="322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3">
        <v>0</v>
      </c>
      <c r="T61" s="236">
        <v>0</v>
      </c>
      <c r="U61" s="323"/>
      <c r="V61" s="323">
        <f t="shared" si="3"/>
        <v>0</v>
      </c>
      <c r="W61" s="323"/>
      <c r="X61" s="324"/>
      <c r="Y61" s="324"/>
      <c r="Z61" s="324"/>
      <c r="AA61" s="324"/>
      <c r="AB61" s="323">
        <f t="shared" si="4"/>
        <v>7850431</v>
      </c>
      <c r="AC61" s="325" t="str">
        <f t="shared" si="11"/>
        <v>49</v>
      </c>
      <c r="AD61" s="326"/>
      <c r="AE61" s="255" t="s">
        <v>278</v>
      </c>
      <c r="AF61" s="752" t="s">
        <v>330</v>
      </c>
      <c r="AG61" s="753"/>
      <c r="AH61" s="753"/>
      <c r="AL61" s="105"/>
    </row>
    <row r="62" spans="1:39" ht="33" customHeight="1">
      <c r="A62" s="88"/>
      <c r="B62" s="754" t="s">
        <v>11</v>
      </c>
      <c r="C62" s="755"/>
      <c r="D62" s="161"/>
      <c r="E62" s="161"/>
      <c r="F62" s="82"/>
      <c r="G62" s="82"/>
      <c r="H62" s="361">
        <f>SUM(H13:H61)</f>
        <v>212</v>
      </c>
      <c r="I62" s="80">
        <f>SUM(I13:I61)</f>
        <v>282965402</v>
      </c>
      <c r="J62" s="343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3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2"/>
      <c r="K63" s="46"/>
      <c r="L63" s="52"/>
      <c r="M63" s="52"/>
      <c r="N63" s="52"/>
      <c r="O63" s="52"/>
      <c r="P63" s="52"/>
      <c r="Q63" s="52"/>
      <c r="R63" s="343">
        <v>21574227</v>
      </c>
      <c r="S63" s="343">
        <v>4045167</v>
      </c>
      <c r="T63" s="343">
        <v>2696778</v>
      </c>
      <c r="U63" s="342"/>
      <c r="V63" s="343">
        <v>28316172</v>
      </c>
      <c r="W63" s="342"/>
      <c r="X63" s="342"/>
      <c r="Y63" s="342"/>
      <c r="Z63" s="342"/>
      <c r="AA63" s="342"/>
      <c r="AB63" s="343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756" t="s">
        <v>12</v>
      </c>
      <c r="C64" s="756"/>
      <c r="D64" s="17" t="s">
        <v>368</v>
      </c>
      <c r="E64" s="17"/>
      <c r="T64" s="18"/>
      <c r="U64" s="18"/>
      <c r="V64" s="18"/>
      <c r="W64" s="18"/>
      <c r="X64" s="18"/>
      <c r="Y64" s="18"/>
      <c r="Z64" s="18"/>
      <c r="AA64" s="350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756"/>
      <c r="C65" s="756"/>
      <c r="D65" s="163"/>
      <c r="E65" s="163"/>
      <c r="F65" s="206"/>
      <c r="G65" s="49"/>
      <c r="H65" s="49"/>
      <c r="I65" s="50"/>
      <c r="J65" s="344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4"/>
      <c r="AB65" s="50"/>
      <c r="AC65" s="757"/>
      <c r="AD65" s="757"/>
      <c r="AE65" s="50"/>
      <c r="AF65" s="746" t="e">
        <f>1000000-#REF!</f>
        <v>#REF!</v>
      </c>
      <c r="AG65" s="743"/>
      <c r="AH65" s="743"/>
    </row>
    <row r="66" spans="1:40" ht="21" customHeight="1">
      <c r="A66" s="5"/>
      <c r="B66" s="743"/>
      <c r="C66" s="743"/>
      <c r="D66" s="7"/>
      <c r="E66" s="7"/>
      <c r="F66" s="207"/>
      <c r="G66" s="5"/>
      <c r="H66" s="5"/>
      <c r="T66" s="758" t="s">
        <v>365</v>
      </c>
      <c r="U66" s="758"/>
      <c r="V66" s="758"/>
      <c r="W66" s="758"/>
      <c r="X66" s="758"/>
      <c r="Y66" s="758"/>
      <c r="Z66" s="758"/>
      <c r="AA66" s="758"/>
      <c r="AB66" s="758"/>
      <c r="AC66" s="758"/>
      <c r="AD66" s="758"/>
      <c r="AE66" s="759"/>
      <c r="AF66" s="743"/>
      <c r="AG66" s="743"/>
      <c r="AH66" s="743"/>
    </row>
    <row r="67" spans="1:40" ht="15.75" customHeight="1">
      <c r="A67" s="747" t="s">
        <v>13</v>
      </c>
      <c r="B67" s="747"/>
      <c r="C67" s="747"/>
      <c r="D67" s="747"/>
      <c r="E67" s="747"/>
      <c r="F67" s="747"/>
      <c r="G67" s="747"/>
      <c r="H67" s="747"/>
      <c r="I67" s="747" t="s">
        <v>182</v>
      </c>
      <c r="J67" s="747"/>
      <c r="K67" s="747"/>
      <c r="L67" s="747"/>
      <c r="M67" s="747"/>
      <c r="N67" s="747"/>
      <c r="O67" s="747"/>
      <c r="P67" s="747"/>
      <c r="Q67" s="747"/>
      <c r="R67" s="747"/>
      <c r="S67" s="747"/>
      <c r="T67" s="761" t="s">
        <v>14</v>
      </c>
      <c r="U67" s="761"/>
      <c r="V67" s="761"/>
      <c r="W67" s="761"/>
      <c r="X67" s="761"/>
      <c r="Y67" s="761"/>
      <c r="Z67" s="761"/>
      <c r="AA67" s="761"/>
      <c r="AB67" s="761"/>
      <c r="AC67" s="761"/>
      <c r="AD67" s="761"/>
      <c r="AE67" s="760"/>
      <c r="AF67" s="748"/>
      <c r="AG67" s="748"/>
      <c r="AH67" s="748"/>
    </row>
    <row r="68" spans="1:40" ht="15.75" customHeight="1">
      <c r="A68" s="5"/>
      <c r="B68" s="745"/>
      <c r="C68" s="745"/>
      <c r="D68" s="7"/>
      <c r="E68" s="7"/>
      <c r="F68" s="207"/>
      <c r="G68" s="5"/>
      <c r="H68" s="5"/>
      <c r="I68" s="4"/>
      <c r="J68" s="380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745"/>
      <c r="AD68" s="745"/>
      <c r="AE68" s="4"/>
      <c r="AF68" s="743"/>
      <c r="AG68" s="743"/>
      <c r="AH68" s="743"/>
    </row>
    <row r="69" spans="1:40" ht="15.75" customHeight="1">
      <c r="A69" s="5"/>
      <c r="B69" s="743"/>
      <c r="C69" s="743"/>
      <c r="D69" s="7"/>
      <c r="E69" s="7"/>
      <c r="F69" s="207"/>
      <c r="G69" s="5"/>
      <c r="H69" s="5"/>
      <c r="I69" s="4"/>
      <c r="J69" s="380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56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80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743"/>
      <c r="C71" s="743"/>
      <c r="D71" s="7"/>
      <c r="E71" s="7"/>
      <c r="F71" s="207"/>
      <c r="G71" s="5"/>
      <c r="H71" s="5"/>
      <c r="I71" s="4"/>
      <c r="J71" s="380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745"/>
      <c r="AD71" s="745"/>
      <c r="AE71" s="4"/>
      <c r="AF71" s="746"/>
      <c r="AG71" s="743"/>
      <c r="AH71" s="743"/>
    </row>
    <row r="72" spans="1:40" ht="15.75" customHeight="1">
      <c r="A72" s="5"/>
      <c r="B72" s="743"/>
      <c r="C72" s="743"/>
      <c r="D72" s="7"/>
      <c r="E72" s="7"/>
      <c r="F72" s="207"/>
      <c r="G72" s="5"/>
      <c r="H72" s="5"/>
      <c r="I72" s="4"/>
      <c r="J72" s="380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745"/>
      <c r="AD72" s="745"/>
      <c r="AE72" s="4"/>
      <c r="AF72" s="746"/>
      <c r="AG72" s="743"/>
      <c r="AH72" s="743"/>
    </row>
    <row r="73" spans="1:40" ht="15.75" customHeight="1">
      <c r="A73" s="5"/>
      <c r="B73" s="743"/>
      <c r="C73" s="743"/>
      <c r="D73" s="7"/>
      <c r="E73" s="7"/>
      <c r="F73" s="207"/>
      <c r="G73" s="5"/>
      <c r="H73" s="5"/>
      <c r="I73" s="4"/>
      <c r="J73" s="380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745"/>
      <c r="AD73" s="745"/>
      <c r="AE73" s="4"/>
      <c r="AF73" s="746"/>
      <c r="AG73" s="743"/>
      <c r="AH73" s="743"/>
    </row>
    <row r="74" spans="1:40" ht="15.75" customHeight="1">
      <c r="A74" s="747" t="s">
        <v>225</v>
      </c>
      <c r="B74" s="747"/>
      <c r="C74" s="747"/>
      <c r="D74" s="747"/>
      <c r="E74" s="747"/>
      <c r="F74" s="747"/>
      <c r="G74" s="747"/>
      <c r="H74" s="747"/>
      <c r="I74" s="747" t="s">
        <v>122</v>
      </c>
      <c r="J74" s="747"/>
      <c r="K74" s="747"/>
      <c r="L74" s="747"/>
      <c r="M74" s="747"/>
      <c r="N74" s="747"/>
      <c r="O74" s="747"/>
      <c r="P74" s="747"/>
      <c r="Q74" s="747"/>
      <c r="R74" s="747"/>
      <c r="S74" s="747"/>
      <c r="T74" s="747" t="s">
        <v>119</v>
      </c>
      <c r="U74" s="747"/>
      <c r="V74" s="747"/>
      <c r="W74" s="747"/>
      <c r="X74" s="747"/>
      <c r="Y74" s="747"/>
      <c r="Z74" s="747"/>
      <c r="AA74" s="747"/>
      <c r="AB74" s="747"/>
      <c r="AC74" s="747"/>
      <c r="AD74" s="747"/>
      <c r="AE74" s="8"/>
      <c r="AF74" s="748"/>
      <c r="AG74" s="748"/>
      <c r="AH74" s="748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47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57"/>
      <c r="AB75" s="63"/>
      <c r="AC75" s="749"/>
      <c r="AD75" s="749"/>
      <c r="AE75" s="51"/>
      <c r="AF75" s="746"/>
      <c r="AG75" s="743"/>
      <c r="AH75" s="743"/>
    </row>
    <row r="76" spans="1:40">
      <c r="B76" s="30"/>
      <c r="C76" s="19"/>
      <c r="G76" s="30"/>
      <c r="H76" s="30"/>
      <c r="AC76" s="744"/>
      <c r="AD76" s="744"/>
      <c r="AE76" s="45"/>
      <c r="AF76" s="743"/>
      <c r="AG76" s="743"/>
      <c r="AH76" s="743"/>
    </row>
    <row r="77" spans="1:40">
      <c r="A77" s="5"/>
      <c r="B77" s="743"/>
      <c r="C77" s="743"/>
      <c r="AC77" s="744"/>
      <c r="AD77" s="744"/>
      <c r="AE77" s="45"/>
      <c r="AF77" s="743"/>
      <c r="AG77" s="743"/>
      <c r="AH77" s="743"/>
    </row>
    <row r="78" spans="1:40">
      <c r="A78" s="5"/>
      <c r="B78" s="743"/>
      <c r="C78" s="743"/>
      <c r="AC78" s="744"/>
      <c r="AD78" s="744"/>
      <c r="AE78" s="45"/>
      <c r="AF78" s="743"/>
      <c r="AG78" s="743"/>
      <c r="AH78" s="743"/>
    </row>
    <row r="79" spans="1:40">
      <c r="A79" s="5"/>
      <c r="B79" s="743"/>
      <c r="C79" s="743"/>
      <c r="AC79" s="744"/>
      <c r="AD79" s="744"/>
      <c r="AE79" s="45"/>
      <c r="AF79" s="743"/>
      <c r="AG79" s="743"/>
      <c r="AH79" s="743"/>
    </row>
    <row r="80" spans="1:40">
      <c r="A80" s="5"/>
      <c r="B80" s="743"/>
      <c r="C80" s="743"/>
      <c r="AC80" s="744"/>
      <c r="AD80" s="744"/>
      <c r="AE80" s="45"/>
      <c r="AF80" s="743"/>
      <c r="AG80" s="743"/>
      <c r="AH80" s="743"/>
    </row>
    <row r="81" spans="1:34">
      <c r="A81" s="5"/>
      <c r="B81" s="743"/>
      <c r="C81" s="743"/>
      <c r="AC81" s="744"/>
      <c r="AD81" s="744"/>
      <c r="AE81" s="45"/>
      <c r="AF81" s="743"/>
      <c r="AG81" s="743"/>
      <c r="AH81" s="743"/>
    </row>
    <row r="82" spans="1:34">
      <c r="A82" s="5"/>
      <c r="B82" s="743"/>
      <c r="C82" s="743"/>
      <c r="AC82" s="744"/>
      <c r="AD82" s="744"/>
      <c r="AE82" s="45"/>
      <c r="AF82" s="743"/>
      <c r="AG82" s="743"/>
      <c r="AH82" s="743"/>
    </row>
    <row r="83" spans="1:34">
      <c r="A83" s="5"/>
      <c r="B83" s="743"/>
      <c r="C83" s="743"/>
      <c r="AC83" s="744"/>
      <c r="AD83" s="744"/>
      <c r="AE83" s="45"/>
      <c r="AF83" s="743"/>
      <c r="AG83" s="743"/>
      <c r="AH83" s="743"/>
    </row>
    <row r="84" spans="1:34">
      <c r="A84" s="5"/>
      <c r="B84" s="743"/>
      <c r="C84" s="743"/>
      <c r="AC84" s="744"/>
      <c r="AD84" s="744"/>
      <c r="AE84" s="45"/>
      <c r="AF84" s="743"/>
      <c r="AG84" s="743"/>
      <c r="AH84" s="743"/>
    </row>
    <row r="85" spans="1:34">
      <c r="A85" s="5"/>
      <c r="B85" s="743"/>
      <c r="C85" s="743"/>
      <c r="AC85" s="744"/>
      <c r="AD85" s="744"/>
      <c r="AE85" s="45"/>
      <c r="AF85" s="743"/>
      <c r="AG85" s="743"/>
      <c r="AH85" s="743"/>
    </row>
    <row r="86" spans="1:34">
      <c r="A86" s="5"/>
      <c r="B86" s="743"/>
      <c r="C86" s="743"/>
      <c r="AC86" s="744"/>
      <c r="AD86" s="744"/>
      <c r="AE86" s="45"/>
      <c r="AF86" s="743"/>
      <c r="AG86" s="743"/>
      <c r="AH86" s="743"/>
    </row>
    <row r="87" spans="1:34">
      <c r="A87" s="5"/>
      <c r="B87" s="743"/>
      <c r="C87" s="743"/>
      <c r="AC87" s="744"/>
      <c r="AD87" s="744"/>
      <c r="AE87" s="45"/>
      <c r="AF87" s="743"/>
      <c r="AG87" s="743"/>
      <c r="AH87" s="743"/>
    </row>
    <row r="88" spans="1:34">
      <c r="A88" s="5"/>
      <c r="B88" s="743"/>
      <c r="C88" s="743"/>
      <c r="AC88" s="744"/>
      <c r="AD88" s="744"/>
      <c r="AE88" s="45"/>
      <c r="AF88" s="743"/>
      <c r="AG88" s="743"/>
      <c r="AH88" s="743"/>
    </row>
    <row r="89" spans="1:34">
      <c r="A89" s="5"/>
      <c r="B89" s="743"/>
      <c r="C89" s="743"/>
      <c r="AC89" s="744"/>
      <c r="AD89" s="744"/>
      <c r="AE89" s="45"/>
      <c r="AF89" s="743"/>
      <c r="AG89" s="743"/>
      <c r="AH89" s="743"/>
    </row>
    <row r="90" spans="1:34">
      <c r="A90" s="5"/>
      <c r="B90" s="743"/>
      <c r="C90" s="743"/>
      <c r="AC90" s="744"/>
      <c r="AD90" s="744"/>
      <c r="AE90" s="45"/>
      <c r="AF90" s="743"/>
      <c r="AG90" s="743"/>
      <c r="AH90" s="743"/>
    </row>
    <row r="91" spans="1:34">
      <c r="A91" s="5"/>
      <c r="B91" s="743"/>
      <c r="C91" s="743"/>
      <c r="AC91" s="744"/>
      <c r="AD91" s="744"/>
      <c r="AE91" s="45"/>
      <c r="AF91" s="743"/>
      <c r="AG91" s="743"/>
      <c r="AH91" s="743"/>
    </row>
    <row r="92" spans="1:34">
      <c r="A92" s="5"/>
      <c r="B92" s="743"/>
      <c r="C92" s="743"/>
      <c r="AC92" s="744"/>
      <c r="AD92" s="744"/>
      <c r="AE92" s="45"/>
      <c r="AF92" s="743"/>
      <c r="AG92" s="743"/>
      <c r="AH92" s="743"/>
    </row>
    <row r="93" spans="1:34">
      <c r="A93" s="5"/>
      <c r="B93" s="743"/>
      <c r="C93" s="743"/>
      <c r="AC93" s="744"/>
      <c r="AD93" s="744"/>
      <c r="AE93" s="45"/>
      <c r="AF93" s="743"/>
      <c r="AG93" s="743"/>
      <c r="AH93" s="743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5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9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0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745"/>
      <c r="D3" s="74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744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44"/>
      <c r="AD3" s="45"/>
      <c r="AE3" s="4"/>
      <c r="AF3" s="745"/>
      <c r="AG3" s="745"/>
      <c r="AH3" s="790"/>
      <c r="AI3" s="790"/>
    </row>
    <row r="4" spans="1:38" ht="22.5" customHeight="1">
      <c r="A4" s="791" t="s">
        <v>394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791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791" t="s">
        <v>373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791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86</v>
      </c>
      <c r="D6" s="757"/>
      <c r="E6" s="757"/>
      <c r="F6" s="757"/>
      <c r="G6" s="757"/>
      <c r="H6" s="757"/>
      <c r="Q6" s="48" t="s">
        <v>228</v>
      </c>
      <c r="R6" s="48"/>
      <c r="S6" s="48"/>
      <c r="T6" s="48"/>
      <c r="U6" s="48"/>
      <c r="V6" s="48"/>
      <c r="W6" s="48"/>
      <c r="X6" s="48"/>
      <c r="Y6" s="48"/>
      <c r="Z6" s="351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757"/>
      <c r="E7" s="757"/>
      <c r="F7" s="757"/>
      <c r="G7" s="757"/>
      <c r="H7" s="75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1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784"/>
      <c r="E8" s="784"/>
      <c r="F8" s="784"/>
      <c r="G8" s="784"/>
      <c r="H8" s="78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2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1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785" t="s">
        <v>2</v>
      </c>
      <c r="B10" s="785" t="s">
        <v>3</v>
      </c>
      <c r="C10" s="785"/>
      <c r="D10" s="786" t="s">
        <v>51</v>
      </c>
      <c r="E10" s="782" t="s">
        <v>235</v>
      </c>
      <c r="F10" s="787" t="s">
        <v>15</v>
      </c>
      <c r="G10" s="769" t="s">
        <v>129</v>
      </c>
      <c r="H10" s="782" t="s">
        <v>270</v>
      </c>
      <c r="I10" s="778" t="s">
        <v>179</v>
      </c>
      <c r="J10" s="778" t="s">
        <v>266</v>
      </c>
      <c r="K10" s="778" t="s">
        <v>267</v>
      </c>
      <c r="L10" s="778" t="s">
        <v>169</v>
      </c>
      <c r="M10" s="780"/>
      <c r="N10" s="782" t="s">
        <v>147</v>
      </c>
      <c r="O10" s="782" t="s">
        <v>148</v>
      </c>
      <c r="P10" s="769" t="s">
        <v>149</v>
      </c>
      <c r="Q10" s="762" t="s">
        <v>67</v>
      </c>
      <c r="R10" s="763"/>
      <c r="S10" s="763"/>
      <c r="T10" s="763"/>
      <c r="U10" s="764"/>
      <c r="V10" s="765" t="s">
        <v>167</v>
      </c>
      <c r="W10" s="766"/>
      <c r="X10" s="765" t="s">
        <v>168</v>
      </c>
      <c r="Y10" s="766"/>
      <c r="Z10" s="767" t="s">
        <v>272</v>
      </c>
      <c r="AA10" s="769" t="s">
        <v>153</v>
      </c>
      <c r="AB10" s="771" t="s">
        <v>5</v>
      </c>
      <c r="AC10" s="772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775"/>
      <c r="AK10" s="87"/>
      <c r="AL10" s="79"/>
    </row>
    <row r="11" spans="1:38" s="43" customFormat="1" ht="41.25" customHeight="1">
      <c r="A11" s="785"/>
      <c r="B11" s="785"/>
      <c r="C11" s="785"/>
      <c r="D11" s="786"/>
      <c r="E11" s="783"/>
      <c r="F11" s="788"/>
      <c r="G11" s="770"/>
      <c r="H11" s="783"/>
      <c r="I11" s="779"/>
      <c r="J11" s="779"/>
      <c r="K11" s="779"/>
      <c r="L11" s="779"/>
      <c r="M11" s="781"/>
      <c r="N11" s="783"/>
      <c r="O11" s="783"/>
      <c r="P11" s="770"/>
      <c r="Q11" s="140" t="s">
        <v>113</v>
      </c>
      <c r="R11" s="140" t="s">
        <v>68</v>
      </c>
      <c r="S11" s="140" t="s">
        <v>60</v>
      </c>
      <c r="T11" s="138" t="s">
        <v>150</v>
      </c>
      <c r="U11" s="138" t="s">
        <v>151</v>
      </c>
      <c r="V11" s="138" t="s">
        <v>84</v>
      </c>
      <c r="W11" s="338" t="s">
        <v>169</v>
      </c>
      <c r="X11" s="138" t="s">
        <v>84</v>
      </c>
      <c r="Y11" s="338" t="s">
        <v>169</v>
      </c>
      <c r="Z11" s="768"/>
      <c r="AA11" s="770"/>
      <c r="AB11" s="773"/>
      <c r="AC11" s="774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775"/>
      <c r="AK11" s="87"/>
      <c r="AL11" s="79"/>
    </row>
    <row r="12" spans="1:38" s="43" customFormat="1" ht="27.75" customHeight="1">
      <c r="A12" s="82" t="s">
        <v>154</v>
      </c>
      <c r="B12" s="252" t="s">
        <v>155</v>
      </c>
      <c r="C12" s="253"/>
      <c r="D12" s="83" t="s">
        <v>156</v>
      </c>
      <c r="E12" s="83"/>
      <c r="F12" s="148"/>
      <c r="G12" s="161" t="s">
        <v>157</v>
      </c>
      <c r="H12" s="149" t="s">
        <v>46</v>
      </c>
      <c r="I12" s="254" t="s">
        <v>42</v>
      </c>
      <c r="J12" s="254"/>
      <c r="K12" s="254" t="s">
        <v>43</v>
      </c>
      <c r="L12" s="254" t="s">
        <v>268</v>
      </c>
      <c r="M12" s="149"/>
      <c r="N12" s="149" t="s">
        <v>74</v>
      </c>
      <c r="O12" s="149" t="s">
        <v>47</v>
      </c>
      <c r="P12" s="254" t="s">
        <v>175</v>
      </c>
      <c r="Q12" s="149" t="s">
        <v>75</v>
      </c>
      <c r="R12" s="149" t="s">
        <v>76</v>
      </c>
      <c r="S12" s="149" t="s">
        <v>158</v>
      </c>
      <c r="T12" s="149" t="s">
        <v>159</v>
      </c>
      <c r="U12" s="254" t="s">
        <v>176</v>
      </c>
      <c r="V12" s="149" t="s">
        <v>160</v>
      </c>
      <c r="W12" s="149" t="s">
        <v>161</v>
      </c>
      <c r="X12" s="149" t="s">
        <v>162</v>
      </c>
      <c r="Y12" s="149" t="s">
        <v>170</v>
      </c>
      <c r="Z12" s="360" t="s">
        <v>360</v>
      </c>
      <c r="AA12" s="254" t="s">
        <v>361</v>
      </c>
      <c r="AB12" s="776" t="s">
        <v>171</v>
      </c>
      <c r="AC12" s="777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10" customFormat="1" ht="29.25" customHeight="1">
      <c r="A13" s="129" t="s">
        <v>32</v>
      </c>
      <c r="B13" s="309" t="s">
        <v>191</v>
      </c>
      <c r="C13" s="130"/>
      <c r="D13" s="229" t="s">
        <v>55</v>
      </c>
      <c r="E13" s="362" t="s">
        <v>238</v>
      </c>
      <c r="F13" s="311" t="s">
        <v>205</v>
      </c>
      <c r="G13" s="312" t="s">
        <v>246</v>
      </c>
      <c r="H13" s="313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63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64"/>
      <c r="AD13" s="102" t="s">
        <v>231</v>
      </c>
      <c r="AE13" s="120"/>
      <c r="AF13" s="116"/>
      <c r="AK13" s="409"/>
    </row>
    <row r="14" spans="1:38" s="410" customFormat="1" ht="30.75" customHeight="1">
      <c r="A14" s="202" t="s">
        <v>33</v>
      </c>
      <c r="B14" s="94" t="s">
        <v>250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246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09"/>
      <c r="AE14" s="409"/>
      <c r="AK14" s="409"/>
    </row>
    <row r="15" spans="1:38" s="410" customFormat="1" ht="42.75" customHeight="1">
      <c r="A15" s="202" t="s">
        <v>34</v>
      </c>
      <c r="B15" s="394" t="s">
        <v>243</v>
      </c>
      <c r="C15" s="395"/>
      <c r="D15" s="396" t="s">
        <v>244</v>
      </c>
      <c r="E15" s="397"/>
      <c r="F15" s="398"/>
      <c r="G15" s="399" t="s">
        <v>242</v>
      </c>
      <c r="H15" s="400">
        <v>3</v>
      </c>
      <c r="I15" s="401">
        <v>5579155</v>
      </c>
      <c r="J15" s="402"/>
      <c r="K15" s="401"/>
      <c r="L15" s="401">
        <f t="shared" si="0"/>
        <v>5579155</v>
      </c>
      <c r="M15" s="401"/>
      <c r="N15" s="401">
        <f t="shared" si="1"/>
        <v>0</v>
      </c>
      <c r="O15" s="401"/>
      <c r="P15" s="401">
        <f t="shared" si="2"/>
        <v>5579155</v>
      </c>
      <c r="Q15" s="401"/>
      <c r="R15" s="403"/>
      <c r="S15" s="401"/>
      <c r="T15" s="403"/>
      <c r="U15" s="403">
        <f t="shared" si="3"/>
        <v>0</v>
      </c>
      <c r="V15" s="403"/>
      <c r="W15" s="403"/>
      <c r="X15" s="403"/>
      <c r="Y15" s="403"/>
      <c r="Z15" s="403"/>
      <c r="AA15" s="403">
        <f t="shared" si="4"/>
        <v>5579155</v>
      </c>
      <c r="AB15" s="404" t="str">
        <f t="shared" si="5"/>
        <v>03</v>
      </c>
      <c r="AC15" s="405" t="s">
        <v>376</v>
      </c>
      <c r="AD15" s="365"/>
      <c r="AE15" s="232"/>
      <c r="AF15" s="232"/>
      <c r="AG15" s="110"/>
      <c r="AH15" s="110"/>
      <c r="AK15" s="111"/>
    </row>
    <row r="16" spans="1:38" s="410" customFormat="1" ht="24.75" customHeight="1">
      <c r="A16" s="202" t="s">
        <v>35</v>
      </c>
      <c r="B16" s="94" t="s">
        <v>249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246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09"/>
      <c r="AE16" s="409"/>
      <c r="AK16" s="409"/>
    </row>
    <row r="17" spans="1:37" s="410" customFormat="1" ht="42.75" customHeight="1">
      <c r="A17" s="202" t="s">
        <v>36</v>
      </c>
      <c r="B17" s="94" t="s">
        <v>318</v>
      </c>
      <c r="C17" s="95"/>
      <c r="D17" s="112" t="s">
        <v>244</v>
      </c>
      <c r="E17" s="227" t="s">
        <v>335</v>
      </c>
      <c r="F17" s="334" t="s">
        <v>336</v>
      </c>
      <c r="G17" s="97" t="s">
        <v>242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320</v>
      </c>
      <c r="AE17" s="117"/>
      <c r="AF17" s="144"/>
      <c r="AK17" s="409"/>
    </row>
    <row r="18" spans="1:37" s="410" customFormat="1" ht="31.5" customHeight="1">
      <c r="A18" s="202" t="s">
        <v>37</v>
      </c>
      <c r="B18" s="94" t="s">
        <v>343</v>
      </c>
      <c r="C18" s="95"/>
      <c r="D18" s="112" t="s">
        <v>55</v>
      </c>
      <c r="E18" s="228"/>
      <c r="F18" s="223"/>
      <c r="G18" s="97" t="s">
        <v>245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09"/>
    </row>
    <row r="19" spans="1:37" s="104" customFormat="1" ht="31.5" customHeight="1">
      <c r="A19" s="202" t="s">
        <v>38</v>
      </c>
      <c r="B19" s="94" t="s">
        <v>344</v>
      </c>
      <c r="C19" s="95"/>
      <c r="D19" s="112" t="s">
        <v>345</v>
      </c>
      <c r="E19" s="228"/>
      <c r="F19" s="209"/>
      <c r="G19" s="97" t="s">
        <v>242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10"/>
      <c r="AK19" s="105"/>
    </row>
    <row r="20" spans="1:37" s="104" customFormat="1" ht="28.5" customHeight="1">
      <c r="A20" s="202" t="s">
        <v>39</v>
      </c>
      <c r="B20" s="94" t="s">
        <v>135</v>
      </c>
      <c r="C20" s="95" t="s">
        <v>109</v>
      </c>
      <c r="D20" s="112" t="s">
        <v>120</v>
      </c>
      <c r="E20" s="227" t="s">
        <v>236</v>
      </c>
      <c r="F20" s="209" t="s">
        <v>208</v>
      </c>
      <c r="G20" s="107" t="s">
        <v>242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110</v>
      </c>
      <c r="AE20" s="102" t="s">
        <v>112</v>
      </c>
      <c r="AF20" s="110" t="e">
        <f>#REF!*2</f>
        <v>#REF!</v>
      </c>
      <c r="AG20" s="110"/>
      <c r="AH20" s="110"/>
      <c r="AK20" s="111"/>
    </row>
    <row r="21" spans="1:37" s="410" customFormat="1" ht="26.25" customHeight="1">
      <c r="A21" s="202" t="s">
        <v>40</v>
      </c>
      <c r="B21" s="143" t="s">
        <v>132</v>
      </c>
      <c r="C21" s="95" t="s">
        <v>6</v>
      </c>
      <c r="D21" s="112" t="s">
        <v>166</v>
      </c>
      <c r="E21" s="336" t="s">
        <v>234</v>
      </c>
      <c r="F21" s="223" t="s">
        <v>202</v>
      </c>
      <c r="G21" s="107" t="s">
        <v>245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358</v>
      </c>
      <c r="AD21" s="117">
        <f>3.33*1390000</f>
        <v>4628700</v>
      </c>
      <c r="AE21" s="750"/>
      <c r="AF21" s="751"/>
      <c r="AG21" s="751"/>
      <c r="AK21" s="119"/>
    </row>
    <row r="22" spans="1:37" s="410" customFormat="1" ht="23.25" customHeight="1">
      <c r="A22" s="202" t="s">
        <v>24</v>
      </c>
      <c r="B22" s="94" t="s">
        <v>139</v>
      </c>
      <c r="C22" s="95" t="s">
        <v>81</v>
      </c>
      <c r="D22" s="112" t="s">
        <v>69</v>
      </c>
      <c r="E22" s="228" t="str">
        <f>VLOOKUP(B22,[2]T3!$B$2:$D$328,3,FALSE)</f>
        <v>026050143</v>
      </c>
      <c r="F22" s="223" t="s">
        <v>217</v>
      </c>
      <c r="G22" s="107" t="s">
        <v>242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108</v>
      </c>
      <c r="AE22" s="117" t="e">
        <f>#REF!/24</f>
        <v>#REF!</v>
      </c>
      <c r="AK22" s="409"/>
    </row>
    <row r="23" spans="1:37" s="410" customFormat="1" ht="27" customHeight="1">
      <c r="A23" s="202" t="s">
        <v>25</v>
      </c>
      <c r="B23" s="143" t="s">
        <v>127</v>
      </c>
      <c r="C23" s="95" t="s">
        <v>124</v>
      </c>
      <c r="D23" s="112" t="s">
        <v>120</v>
      </c>
      <c r="E23" s="228" t="str">
        <f>VLOOKUP(B23,[2]T3!$B$2:$D$328,3,FALSE)</f>
        <v>025444854</v>
      </c>
      <c r="F23" s="223" t="s">
        <v>209</v>
      </c>
      <c r="G23" s="107" t="s">
        <v>245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125</v>
      </c>
      <c r="AE23" s="144"/>
      <c r="AF23" s="110"/>
      <c r="AG23" s="110"/>
      <c r="AH23" s="110"/>
      <c r="AK23" s="111"/>
    </row>
    <row r="24" spans="1:37" s="410" customFormat="1" ht="30" customHeight="1">
      <c r="A24" s="202" t="s">
        <v>26</v>
      </c>
      <c r="B24" s="94" t="s">
        <v>256</v>
      </c>
      <c r="C24" s="95"/>
      <c r="D24" s="112" t="s">
        <v>257</v>
      </c>
      <c r="E24" s="228"/>
      <c r="F24" s="223" t="str">
        <f>VLOOKUP(B24,[1]LuongBC_T01!$B$277:$C$292,2,FALSE)</f>
        <v>0016100006675004</v>
      </c>
      <c r="G24" s="107" t="s">
        <v>245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10" customFormat="1" ht="30.75" customHeight="1">
      <c r="A25" s="202" t="s">
        <v>31</v>
      </c>
      <c r="B25" s="94" t="s">
        <v>247</v>
      </c>
      <c r="C25" s="95"/>
      <c r="D25" s="112" t="s">
        <v>8</v>
      </c>
      <c r="E25" s="336"/>
      <c r="F25" s="223" t="str">
        <f>VLOOKUP(B25,[1]LuongBC_T01!$B$277:$C$292,2,FALSE)</f>
        <v>0016100006692006</v>
      </c>
      <c r="G25" s="107" t="s">
        <v>246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10" customFormat="1" ht="29.25" customHeight="1">
      <c r="A26" s="202" t="s">
        <v>27</v>
      </c>
      <c r="B26" s="94" t="s">
        <v>248</v>
      </c>
      <c r="C26" s="95"/>
      <c r="D26" s="112" t="s">
        <v>8</v>
      </c>
      <c r="E26" s="336"/>
      <c r="F26" s="223" t="str">
        <f>VLOOKUP(B26,[1]LuongBC_T01!$B$277:$C$292,2,FALSE)</f>
        <v>0016100006677007</v>
      </c>
      <c r="G26" s="107" t="s">
        <v>246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10" customFormat="1" ht="29.25" customHeight="1">
      <c r="A27" s="202" t="s">
        <v>28</v>
      </c>
      <c r="B27" s="94" t="s">
        <v>253</v>
      </c>
      <c r="C27" s="95"/>
      <c r="D27" s="112" t="s">
        <v>8</v>
      </c>
      <c r="E27" s="228"/>
      <c r="F27" s="223"/>
      <c r="G27" s="97" t="s">
        <v>246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09"/>
    </row>
    <row r="28" spans="1:37" s="104" customFormat="1" ht="28.5" customHeight="1">
      <c r="A28" s="202" t="s">
        <v>29</v>
      </c>
      <c r="B28" s="94" t="s">
        <v>140</v>
      </c>
      <c r="C28" s="95" t="s">
        <v>58</v>
      </c>
      <c r="D28" s="112" t="s">
        <v>274</v>
      </c>
      <c r="E28" s="228" t="str">
        <f>VLOOKUP(B28,[2]T3!$B$2:$D$328,3,FALSE)</f>
        <v>025177943</v>
      </c>
      <c r="F28" s="209" t="s">
        <v>215</v>
      </c>
      <c r="G28" s="107" t="s">
        <v>245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144</v>
      </c>
      <c r="C29" s="95" t="s">
        <v>23</v>
      </c>
      <c r="D29" s="112" t="s">
        <v>274</v>
      </c>
      <c r="E29" s="228" t="str">
        <f>VLOOKUP(B29,[2]T3!$B$2:$D$328,3,FALSE)</f>
        <v>025632449</v>
      </c>
      <c r="F29" s="209" t="s">
        <v>220</v>
      </c>
      <c r="G29" s="107" t="s">
        <v>245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85</v>
      </c>
      <c r="AE29" s="109"/>
      <c r="AF29" s="120" t="s">
        <v>111</v>
      </c>
      <c r="AG29" s="110"/>
      <c r="AH29" s="110"/>
      <c r="AK29" s="111"/>
    </row>
    <row r="30" spans="1:37" s="104" customFormat="1" ht="25.5" customHeight="1">
      <c r="A30" s="202" t="s">
        <v>88</v>
      </c>
      <c r="B30" s="394" t="s">
        <v>276</v>
      </c>
      <c r="C30" s="406"/>
      <c r="D30" s="396" t="s">
        <v>277</v>
      </c>
      <c r="E30" s="397"/>
      <c r="F30" s="398"/>
      <c r="G30" s="399" t="s">
        <v>246</v>
      </c>
      <c r="H30" s="400">
        <v>1</v>
      </c>
      <c r="I30" s="401">
        <v>4641000</v>
      </c>
      <c r="J30" s="402"/>
      <c r="K30" s="401"/>
      <c r="L30" s="401">
        <f t="shared" si="0"/>
        <v>4641000</v>
      </c>
      <c r="M30" s="401"/>
      <c r="N30" s="401">
        <f t="shared" si="1"/>
        <v>0</v>
      </c>
      <c r="O30" s="401"/>
      <c r="P30" s="401">
        <f t="shared" si="2"/>
        <v>4641000</v>
      </c>
      <c r="Q30" s="401">
        <f t="shared" si="6"/>
        <v>371280</v>
      </c>
      <c r="R30" s="403">
        <f t="shared" si="7"/>
        <v>69615</v>
      </c>
      <c r="S30" s="401">
        <f t="shared" si="8"/>
        <v>46410</v>
      </c>
      <c r="T30" s="403"/>
      <c r="U30" s="403">
        <f t="shared" si="3"/>
        <v>487305</v>
      </c>
      <c r="V30" s="403"/>
      <c r="W30" s="407"/>
      <c r="X30" s="407"/>
      <c r="Y30" s="407"/>
      <c r="Z30" s="407"/>
      <c r="AA30" s="403">
        <f t="shared" si="4"/>
        <v>4153695</v>
      </c>
      <c r="AB30" s="404" t="str">
        <f t="shared" si="5"/>
        <v>18</v>
      </c>
      <c r="AC30" s="408" t="s">
        <v>377</v>
      </c>
      <c r="AD30" s="255" t="s">
        <v>278</v>
      </c>
      <c r="AE30" s="117"/>
      <c r="AF30" s="144"/>
      <c r="AG30" s="410"/>
      <c r="AK30" s="105"/>
    </row>
    <row r="31" spans="1:37" s="104" customFormat="1" ht="38.25" customHeight="1">
      <c r="A31" s="202" t="s">
        <v>89</v>
      </c>
      <c r="B31" s="94" t="s">
        <v>303</v>
      </c>
      <c r="C31" s="95"/>
      <c r="D31" s="112" t="s">
        <v>304</v>
      </c>
      <c r="E31" s="228"/>
      <c r="F31" s="223"/>
      <c r="G31" s="97" t="s">
        <v>246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314</v>
      </c>
      <c r="AE31" s="117"/>
      <c r="AF31" s="144"/>
      <c r="AG31" s="410"/>
      <c r="AK31" s="105"/>
    </row>
    <row r="32" spans="1:37" s="104" customFormat="1" ht="31.5" customHeight="1">
      <c r="A32" s="202" t="s">
        <v>90</v>
      </c>
      <c r="B32" s="94" t="s">
        <v>350</v>
      </c>
      <c r="C32" s="95"/>
      <c r="D32" s="112" t="s">
        <v>239</v>
      </c>
      <c r="E32" s="228"/>
      <c r="F32" s="209"/>
      <c r="G32" s="97" t="s">
        <v>246</v>
      </c>
      <c r="H32" s="233">
        <v>12</v>
      </c>
      <c r="I32" s="98">
        <v>7559700</v>
      </c>
      <c r="J32" s="337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10"/>
      <c r="AK32" s="105"/>
    </row>
    <row r="33" spans="1:37" s="104" customFormat="1" ht="39.75" customHeight="1">
      <c r="A33" s="202" t="s">
        <v>91</v>
      </c>
      <c r="B33" s="94" t="s">
        <v>305</v>
      </c>
      <c r="C33" s="95"/>
      <c r="D33" s="112" t="s">
        <v>304</v>
      </c>
      <c r="E33" s="228"/>
      <c r="F33" s="223"/>
      <c r="G33" s="97" t="s">
        <v>246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315</v>
      </c>
      <c r="AE33" s="117"/>
      <c r="AF33" s="144"/>
      <c r="AG33" s="410"/>
      <c r="AK33" s="105"/>
    </row>
    <row r="34" spans="1:37" s="104" customFormat="1" ht="39.75" customHeight="1">
      <c r="A34" s="202" t="s">
        <v>92</v>
      </c>
      <c r="B34" s="381" t="s">
        <v>370</v>
      </c>
      <c r="C34" s="382"/>
      <c r="D34" s="383" t="s">
        <v>371</v>
      </c>
      <c r="E34" s="384"/>
      <c r="F34" s="385"/>
      <c r="G34" s="386" t="s">
        <v>246</v>
      </c>
      <c r="H34" s="387">
        <v>1</v>
      </c>
      <c r="I34" s="388">
        <v>4420000</v>
      </c>
      <c r="J34" s="389"/>
      <c r="K34" s="388"/>
      <c r="L34" s="388">
        <f t="shared" si="0"/>
        <v>4420000</v>
      </c>
      <c r="M34" s="388"/>
      <c r="N34" s="388">
        <f t="shared" si="1"/>
        <v>0</v>
      </c>
      <c r="O34" s="388"/>
      <c r="P34" s="388">
        <f t="shared" si="2"/>
        <v>4420000</v>
      </c>
      <c r="Q34" s="388">
        <f t="shared" si="6"/>
        <v>353600</v>
      </c>
      <c r="R34" s="390">
        <f t="shared" si="7"/>
        <v>66300</v>
      </c>
      <c r="S34" s="388">
        <f t="shared" si="8"/>
        <v>44200</v>
      </c>
      <c r="T34" s="390"/>
      <c r="U34" s="390">
        <f t="shared" si="3"/>
        <v>464100</v>
      </c>
      <c r="V34" s="390"/>
      <c r="W34" s="391"/>
      <c r="X34" s="391"/>
      <c r="Y34" s="391"/>
      <c r="Z34" s="391"/>
      <c r="AA34" s="390">
        <f t="shared" si="4"/>
        <v>3955900</v>
      </c>
      <c r="AB34" s="392" t="str">
        <f>A34</f>
        <v>22</v>
      </c>
      <c r="AC34" s="393" t="s">
        <v>374</v>
      </c>
      <c r="AD34" s="255"/>
      <c r="AE34" s="117"/>
      <c r="AF34" s="144"/>
      <c r="AG34" s="410"/>
      <c r="AK34" s="105"/>
    </row>
    <row r="35" spans="1:37" s="410" customFormat="1" ht="30" customHeight="1">
      <c r="A35" s="202" t="s">
        <v>93</v>
      </c>
      <c r="B35" s="94" t="s">
        <v>254</v>
      </c>
      <c r="C35" s="95"/>
      <c r="D35" s="112" t="s">
        <v>255</v>
      </c>
      <c r="E35" s="228"/>
      <c r="F35" s="223"/>
      <c r="G35" s="107" t="s">
        <v>245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10" customFormat="1" ht="24.75" customHeight="1">
      <c r="A36" s="202" t="s">
        <v>94</v>
      </c>
      <c r="B36" s="94" t="s">
        <v>133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206</v>
      </c>
      <c r="G36" s="107" t="s">
        <v>242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105</v>
      </c>
      <c r="AE36" s="108"/>
      <c r="AG36" s="410" t="e">
        <f>#REF!-#REF!</f>
        <v>#REF!</v>
      </c>
      <c r="AH36" s="116"/>
      <c r="AK36" s="409"/>
    </row>
    <row r="37" spans="1:37" s="104" customFormat="1" ht="24.75" customHeight="1">
      <c r="A37" s="202" t="s">
        <v>95</v>
      </c>
      <c r="B37" s="94" t="s">
        <v>290</v>
      </c>
      <c r="C37" s="95"/>
      <c r="D37" s="112" t="s">
        <v>291</v>
      </c>
      <c r="E37" s="228"/>
      <c r="F37" s="223"/>
      <c r="G37" s="97" t="s">
        <v>242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300</v>
      </c>
      <c r="AE37" s="117"/>
      <c r="AF37" s="144"/>
      <c r="AG37" s="410"/>
      <c r="AK37" s="105"/>
    </row>
    <row r="38" spans="1:37" s="104" customFormat="1" ht="33" customHeight="1">
      <c r="A38" s="202" t="s">
        <v>96</v>
      </c>
      <c r="B38" s="94" t="s">
        <v>327</v>
      </c>
      <c r="C38" s="95"/>
      <c r="D38" s="112" t="s">
        <v>326</v>
      </c>
      <c r="E38" s="228"/>
      <c r="F38" s="334" t="s">
        <v>337</v>
      </c>
      <c r="G38" s="97" t="s">
        <v>242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3" t="s">
        <v>328</v>
      </c>
      <c r="AE38" s="117"/>
      <c r="AF38" s="144"/>
      <c r="AG38" s="410"/>
      <c r="AK38" s="105"/>
    </row>
    <row r="39" spans="1:37" s="104" customFormat="1" ht="36.75" customHeight="1">
      <c r="A39" s="202" t="s">
        <v>97</v>
      </c>
      <c r="B39" s="94" t="s">
        <v>138</v>
      </c>
      <c r="C39" s="95" t="s">
        <v>66</v>
      </c>
      <c r="D39" s="112" t="s">
        <v>172</v>
      </c>
      <c r="E39" s="227" t="s">
        <v>237</v>
      </c>
      <c r="F39" s="209" t="s">
        <v>214</v>
      </c>
      <c r="G39" s="107" t="s">
        <v>242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10"/>
      <c r="AK39" s="105"/>
    </row>
    <row r="40" spans="1:37" s="104" customFormat="1" ht="42.75" customHeight="1">
      <c r="A40" s="202" t="s">
        <v>98</v>
      </c>
      <c r="B40" s="94" t="s">
        <v>283</v>
      </c>
      <c r="C40" s="95"/>
      <c r="D40" s="112" t="s">
        <v>287</v>
      </c>
      <c r="E40" s="228"/>
      <c r="F40" s="223" t="s">
        <v>324</v>
      </c>
      <c r="G40" s="97" t="s">
        <v>242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284</v>
      </c>
      <c r="AE40" s="117"/>
      <c r="AF40" s="144"/>
      <c r="AG40" s="410"/>
      <c r="AK40" s="105"/>
    </row>
    <row r="41" spans="1:37" s="410" customFormat="1" ht="33" customHeight="1">
      <c r="A41" s="202" t="s">
        <v>99</v>
      </c>
      <c r="B41" s="143" t="s">
        <v>130</v>
      </c>
      <c r="C41" s="95" t="s">
        <v>7</v>
      </c>
      <c r="D41" s="112" t="s">
        <v>239</v>
      </c>
      <c r="E41" s="226" t="s">
        <v>233</v>
      </c>
      <c r="F41" s="223" t="s">
        <v>203</v>
      </c>
      <c r="G41" s="107" t="s">
        <v>245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359</v>
      </c>
      <c r="AD41" s="117">
        <f>AD21*10.5%</f>
        <v>486013.5</v>
      </c>
      <c r="AE41" s="750"/>
      <c r="AF41" s="751"/>
      <c r="AG41" s="751"/>
      <c r="AH41" s="751"/>
      <c r="AK41" s="119"/>
    </row>
    <row r="42" spans="1:37" s="104" customFormat="1" ht="37.5" customHeight="1">
      <c r="A42" s="202" t="s">
        <v>100</v>
      </c>
      <c r="B42" s="94" t="s">
        <v>145</v>
      </c>
      <c r="C42" s="95" t="s">
        <v>117</v>
      </c>
      <c r="D42" s="112" t="s">
        <v>287</v>
      </c>
      <c r="E42" s="226" t="s">
        <v>232</v>
      </c>
      <c r="F42" s="209" t="s">
        <v>210</v>
      </c>
      <c r="G42" s="107" t="s">
        <v>242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118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101</v>
      </c>
      <c r="B43" s="94" t="s">
        <v>311</v>
      </c>
      <c r="C43" s="95"/>
      <c r="D43" s="112" t="s">
        <v>287</v>
      </c>
      <c r="E43" s="228"/>
      <c r="F43" s="223"/>
      <c r="G43" s="97" t="s">
        <v>242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312</v>
      </c>
      <c r="AE43" s="117"/>
      <c r="AF43" s="144"/>
      <c r="AG43" s="410"/>
      <c r="AK43" s="105"/>
    </row>
    <row r="44" spans="1:37" s="410" customFormat="1" ht="39" customHeight="1">
      <c r="A44" s="202" t="s">
        <v>102</v>
      </c>
      <c r="B44" s="94" t="s">
        <v>346</v>
      </c>
      <c r="C44" s="95"/>
      <c r="D44" s="112" t="s">
        <v>347</v>
      </c>
      <c r="E44" s="228"/>
      <c r="F44" s="223"/>
      <c r="G44" s="97" t="s">
        <v>245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09"/>
    </row>
    <row r="45" spans="1:37" s="410" customFormat="1" ht="41.25" customHeight="1">
      <c r="A45" s="202" t="s">
        <v>103</v>
      </c>
      <c r="B45" s="94" t="s">
        <v>134</v>
      </c>
      <c r="C45" s="95" t="s">
        <v>56</v>
      </c>
      <c r="D45" s="112" t="s">
        <v>347</v>
      </c>
      <c r="E45" s="228" t="str">
        <f>VLOOKUP(B45,[2]T3!$B$2:$D$328,3,FALSE)</f>
        <v>025804258</v>
      </c>
      <c r="F45" s="223" t="s">
        <v>207</v>
      </c>
      <c r="G45" s="107" t="s">
        <v>245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106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104</v>
      </c>
      <c r="B46" s="94" t="s">
        <v>128</v>
      </c>
      <c r="C46" s="95" t="s">
        <v>123</v>
      </c>
      <c r="D46" s="112" t="s">
        <v>187</v>
      </c>
      <c r="E46" s="228" t="str">
        <f>VLOOKUP(B46,[2]T3!$B$2:$D$328,3,FALSE)</f>
        <v>024759058</v>
      </c>
      <c r="F46" s="209" t="s">
        <v>224</v>
      </c>
      <c r="G46" s="107" t="s">
        <v>242</v>
      </c>
      <c r="H46" s="331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2"/>
      <c r="X46" s="332"/>
      <c r="Y46" s="332"/>
      <c r="Z46" s="332"/>
      <c r="AA46" s="99">
        <f t="shared" si="4"/>
        <v>4529109.91</v>
      </c>
      <c r="AB46" s="101" t="str">
        <f t="shared" si="10"/>
        <v>34</v>
      </c>
      <c r="AC46" s="102"/>
      <c r="AD46" s="145" t="s">
        <v>126</v>
      </c>
      <c r="AE46" s="410"/>
      <c r="AF46" s="410"/>
      <c r="AJ46" s="105"/>
    </row>
    <row r="47" spans="1:37" s="104" customFormat="1" ht="28.5" customHeight="1">
      <c r="A47" s="202" t="s">
        <v>258</v>
      </c>
      <c r="B47" s="94" t="s">
        <v>141</v>
      </c>
      <c r="C47" s="95" t="s">
        <v>87</v>
      </c>
      <c r="D47" s="112" t="s">
        <v>187</v>
      </c>
      <c r="E47" s="228" t="str">
        <f>VLOOKUP(B47,[2]T3!$B$2:$D$328,3,FALSE)</f>
        <v>025128010</v>
      </c>
      <c r="F47" s="209" t="s">
        <v>216</v>
      </c>
      <c r="G47" s="107" t="s">
        <v>242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115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259</v>
      </c>
      <c r="B48" s="94" t="s">
        <v>163</v>
      </c>
      <c r="C48" s="95"/>
      <c r="D48" s="112" t="s">
        <v>187</v>
      </c>
      <c r="E48" s="228" t="str">
        <f>VLOOKUP(B48,[2]T3!$B$2:$D$328,3,FALSE)</f>
        <v>290936998</v>
      </c>
      <c r="F48" s="209" t="s">
        <v>221</v>
      </c>
      <c r="G48" s="97" t="s">
        <v>242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260</v>
      </c>
      <c r="B49" s="94" t="s">
        <v>146</v>
      </c>
      <c r="C49" s="95" t="s">
        <v>63</v>
      </c>
      <c r="D49" s="112" t="s">
        <v>187</v>
      </c>
      <c r="E49" s="228" t="str">
        <f>VLOOKUP(B49,[2]T3!$B$2:$D$328,3,FALSE)</f>
        <v>001186011890</v>
      </c>
      <c r="F49" s="209" t="s">
        <v>222</v>
      </c>
      <c r="G49" s="97" t="s">
        <v>242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10"/>
      <c r="AK49" s="105"/>
    </row>
    <row r="50" spans="1:37" s="104" customFormat="1" ht="36.75" customHeight="1">
      <c r="A50" s="202" t="s">
        <v>261</v>
      </c>
      <c r="B50" s="143" t="s">
        <v>137</v>
      </c>
      <c r="C50" s="95" t="s">
        <v>82</v>
      </c>
      <c r="D50" s="112" t="s">
        <v>188</v>
      </c>
      <c r="E50" s="228" t="str">
        <f>VLOOKUP(B50,[2]T3!$B$2:$D$328,3,FALSE)</f>
        <v>095189000070</v>
      </c>
      <c r="F50" s="209" t="s">
        <v>213</v>
      </c>
      <c r="G50" s="97" t="s">
        <v>242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83</v>
      </c>
      <c r="AE50" s="102" t="s">
        <v>112</v>
      </c>
      <c r="AF50" s="104" t="e">
        <f>#REF!/24</f>
        <v>#REF!</v>
      </c>
      <c r="AG50" s="410"/>
      <c r="AK50" s="105"/>
    </row>
    <row r="51" spans="1:37" s="104" customFormat="1" ht="27" customHeight="1">
      <c r="A51" s="202" t="s">
        <v>262</v>
      </c>
      <c r="B51" s="94" t="s">
        <v>136</v>
      </c>
      <c r="C51" s="329" t="s">
        <v>7</v>
      </c>
      <c r="D51" s="112" t="s">
        <v>189</v>
      </c>
      <c r="E51" s="228" t="str">
        <f>VLOOKUP(B51,[2]T3!$B$2:$D$328,3,FALSE)</f>
        <v>023680986</v>
      </c>
      <c r="F51" s="209" t="s">
        <v>212</v>
      </c>
      <c r="G51" s="97" t="s">
        <v>242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0"/>
      <c r="X51" s="330"/>
      <c r="Y51" s="330"/>
      <c r="Z51" s="330"/>
      <c r="AA51" s="99">
        <f t="shared" si="4"/>
        <v>5505161.1100000003</v>
      </c>
      <c r="AB51" s="101" t="str">
        <f t="shared" si="10"/>
        <v>39</v>
      </c>
      <c r="AC51" s="118"/>
      <c r="AD51" s="114" t="s">
        <v>107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263</v>
      </c>
      <c r="B52" s="94" t="s">
        <v>301</v>
      </c>
      <c r="C52" s="95"/>
      <c r="D52" s="112" t="s">
        <v>189</v>
      </c>
      <c r="E52" s="228"/>
      <c r="F52" s="223" t="s">
        <v>325</v>
      </c>
      <c r="G52" s="97" t="s">
        <v>242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302</v>
      </c>
      <c r="AE52" s="117"/>
      <c r="AF52" s="144"/>
      <c r="AG52" s="410"/>
      <c r="AK52" s="105"/>
    </row>
    <row r="53" spans="1:37" s="104" customFormat="1" ht="35.25" customHeight="1">
      <c r="A53" s="202" t="s">
        <v>264</v>
      </c>
      <c r="B53" s="94" t="s">
        <v>181</v>
      </c>
      <c r="C53" s="95"/>
      <c r="D53" s="112" t="s">
        <v>364</v>
      </c>
      <c r="E53" s="228" t="str">
        <f>VLOOKUP(B53,[2]T3!$B$2:$D$328,3,FALSE)</f>
        <v>025273555</v>
      </c>
      <c r="F53" s="223" t="s">
        <v>223</v>
      </c>
      <c r="G53" s="97" t="s">
        <v>246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183</v>
      </c>
      <c r="AE53" s="117"/>
      <c r="AF53" s="144"/>
      <c r="AG53" s="410"/>
      <c r="AK53" s="105"/>
    </row>
    <row r="54" spans="1:37" s="104" customFormat="1" ht="33.75" customHeight="1">
      <c r="A54" s="202" t="s">
        <v>265</v>
      </c>
      <c r="B54" s="94" t="s">
        <v>173</v>
      </c>
      <c r="C54" s="95"/>
      <c r="D54" s="112" t="s">
        <v>364</v>
      </c>
      <c r="E54" s="228" t="str">
        <f>VLOOKUP(B54,[2]T3!$B$2:$D$328,3,FALSE)</f>
        <v>025947357</v>
      </c>
      <c r="F54" s="209" t="s">
        <v>211</v>
      </c>
      <c r="G54" s="97" t="s">
        <v>242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174</v>
      </c>
      <c r="AE54" s="155"/>
      <c r="AF54" s="128"/>
      <c r="AG54" s="110"/>
      <c r="AH54" s="110"/>
      <c r="AK54" s="111"/>
    </row>
    <row r="55" spans="1:37" s="410" customFormat="1" ht="24" customHeight="1">
      <c r="A55" s="202" t="s">
        <v>279</v>
      </c>
      <c r="B55" s="94" t="s">
        <v>143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219</v>
      </c>
      <c r="G55" s="107" t="s">
        <v>242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116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285</v>
      </c>
      <c r="B56" s="94" t="s">
        <v>309</v>
      </c>
      <c r="C56" s="95"/>
      <c r="D56" s="112" t="s">
        <v>310</v>
      </c>
      <c r="E56" s="228"/>
      <c r="F56" s="223"/>
      <c r="G56" s="97" t="s">
        <v>245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308</v>
      </c>
      <c r="AE56" s="117"/>
      <c r="AF56" s="144"/>
      <c r="AG56" s="410"/>
      <c r="AK56" s="105"/>
    </row>
    <row r="57" spans="1:37" s="104" customFormat="1" ht="30" customHeight="1">
      <c r="A57" s="202" t="s">
        <v>288</v>
      </c>
      <c r="B57" s="94" t="s">
        <v>142</v>
      </c>
      <c r="C57" s="95" t="s">
        <v>114</v>
      </c>
      <c r="D57" s="112" t="s">
        <v>10</v>
      </c>
      <c r="E57" s="228" t="str">
        <f>VLOOKUP(B57,[2]T3!$B$2:$D$328,3,FALSE)</f>
        <v>250835904</v>
      </c>
      <c r="F57" s="223" t="s">
        <v>218</v>
      </c>
      <c r="G57" s="107" t="s">
        <v>242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115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292</v>
      </c>
      <c r="B58" s="94" t="s">
        <v>165</v>
      </c>
      <c r="C58" s="159"/>
      <c r="D58" s="112" t="s">
        <v>269</v>
      </c>
      <c r="E58" s="226"/>
      <c r="F58" s="209"/>
      <c r="G58" s="107" t="s">
        <v>242</v>
      </c>
      <c r="H58" s="233">
        <v>12</v>
      </c>
      <c r="I58" s="98">
        <v>8655100</v>
      </c>
      <c r="J58" s="337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09"/>
      <c r="AF58" s="410"/>
      <c r="AG58" s="410"/>
      <c r="AK58" s="105"/>
    </row>
    <row r="59" spans="1:37" s="410" customFormat="1" ht="39" customHeight="1">
      <c r="A59" s="202" t="s">
        <v>293</v>
      </c>
      <c r="B59" s="94" t="s">
        <v>348</v>
      </c>
      <c r="C59" s="95"/>
      <c r="D59" s="112" t="s">
        <v>349</v>
      </c>
      <c r="E59" s="228"/>
      <c r="F59" s="209"/>
      <c r="G59" s="97" t="s">
        <v>245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09"/>
    </row>
    <row r="60" spans="1:37" s="410" customFormat="1" ht="29.25" customHeight="1">
      <c r="A60" s="202" t="s">
        <v>313</v>
      </c>
      <c r="B60" s="94" t="s">
        <v>306</v>
      </c>
      <c r="C60" s="95"/>
      <c r="D60" s="112" t="s">
        <v>378</v>
      </c>
      <c r="E60" s="228"/>
      <c r="F60" s="223"/>
      <c r="G60" s="97" t="s">
        <v>242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308</v>
      </c>
      <c r="AE60" s="117"/>
      <c r="AF60" s="144"/>
      <c r="AK60" s="409"/>
    </row>
    <row r="61" spans="1:37" s="412" customFormat="1" ht="29.25" customHeight="1">
      <c r="A61" s="202" t="s">
        <v>363</v>
      </c>
      <c r="B61" s="413" t="s">
        <v>379</v>
      </c>
      <c r="C61" s="414"/>
      <c r="D61" s="112" t="s">
        <v>378</v>
      </c>
      <c r="E61" s="265"/>
      <c r="F61" s="415"/>
      <c r="G61" s="97" t="s">
        <v>242</v>
      </c>
      <c r="H61" s="233">
        <v>1</v>
      </c>
      <c r="I61" s="98">
        <v>5060458</v>
      </c>
      <c r="J61" s="416"/>
      <c r="K61" s="266"/>
      <c r="L61" s="98">
        <f t="shared" ref="L61:L67" si="11">ROUND(I61+K61,0)</f>
        <v>5060458</v>
      </c>
      <c r="M61" s="266"/>
      <c r="N61" s="98">
        <f t="shared" ref="N61:N67" si="12">L61/24*M61</f>
        <v>0</v>
      </c>
      <c r="O61" s="266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17"/>
      <c r="U61" s="99">
        <f t="shared" ref="U61:U67" si="17">SUM(Q61:T61)</f>
        <v>531348.09</v>
      </c>
      <c r="V61" s="417"/>
      <c r="W61" s="417"/>
      <c r="X61" s="418"/>
      <c r="Y61" s="417"/>
      <c r="Z61" s="417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11"/>
    </row>
    <row r="62" spans="1:37" s="412" customFormat="1" ht="29.25" customHeight="1">
      <c r="A62" s="202" t="s">
        <v>386</v>
      </c>
      <c r="B62" s="413" t="s">
        <v>380</v>
      </c>
      <c r="C62" s="414"/>
      <c r="D62" s="112" t="s">
        <v>378</v>
      </c>
      <c r="E62" s="265"/>
      <c r="F62" s="415"/>
      <c r="G62" s="97" t="s">
        <v>242</v>
      </c>
      <c r="H62" s="233">
        <v>1</v>
      </c>
      <c r="I62" s="98">
        <v>5060458</v>
      </c>
      <c r="J62" s="416"/>
      <c r="K62" s="266"/>
      <c r="L62" s="98">
        <f t="shared" si="11"/>
        <v>5060458</v>
      </c>
      <c r="M62" s="266"/>
      <c r="N62" s="98">
        <f t="shared" si="12"/>
        <v>0</v>
      </c>
      <c r="O62" s="266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17"/>
      <c r="U62" s="99">
        <f t="shared" si="17"/>
        <v>531348.09</v>
      </c>
      <c r="V62" s="417"/>
      <c r="W62" s="417"/>
      <c r="X62" s="418"/>
      <c r="Y62" s="417"/>
      <c r="Z62" s="417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11"/>
    </row>
    <row r="63" spans="1:37" s="412" customFormat="1" ht="29.25" customHeight="1">
      <c r="A63" s="202" t="s">
        <v>387</v>
      </c>
      <c r="B63" s="413" t="s">
        <v>381</v>
      </c>
      <c r="C63" s="414"/>
      <c r="D63" s="112" t="s">
        <v>378</v>
      </c>
      <c r="E63" s="265"/>
      <c r="F63" s="415"/>
      <c r="G63" s="97" t="s">
        <v>242</v>
      </c>
      <c r="H63" s="233">
        <v>1</v>
      </c>
      <c r="I63" s="98">
        <v>5060458</v>
      </c>
      <c r="J63" s="416"/>
      <c r="K63" s="266"/>
      <c r="L63" s="98">
        <f t="shared" si="11"/>
        <v>5060458</v>
      </c>
      <c r="M63" s="266"/>
      <c r="N63" s="98">
        <f t="shared" si="12"/>
        <v>0</v>
      </c>
      <c r="O63" s="266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17"/>
      <c r="U63" s="99">
        <f t="shared" si="17"/>
        <v>531348.09</v>
      </c>
      <c r="V63" s="417"/>
      <c r="W63" s="417"/>
      <c r="X63" s="418"/>
      <c r="Y63" s="417"/>
      <c r="Z63" s="417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11"/>
    </row>
    <row r="64" spans="1:37" s="412" customFormat="1" ht="29.25" customHeight="1">
      <c r="A64" s="202" t="s">
        <v>388</v>
      </c>
      <c r="B64" s="413" t="s">
        <v>382</v>
      </c>
      <c r="C64" s="414"/>
      <c r="D64" s="112" t="s">
        <v>378</v>
      </c>
      <c r="E64" s="265"/>
      <c r="F64" s="415"/>
      <c r="G64" s="97" t="s">
        <v>242</v>
      </c>
      <c r="H64" s="233">
        <v>1</v>
      </c>
      <c r="I64" s="98">
        <v>5060458</v>
      </c>
      <c r="J64" s="416"/>
      <c r="K64" s="266"/>
      <c r="L64" s="98">
        <f t="shared" si="11"/>
        <v>5060458</v>
      </c>
      <c r="M64" s="266"/>
      <c r="N64" s="98">
        <f t="shared" si="12"/>
        <v>0</v>
      </c>
      <c r="O64" s="266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17"/>
      <c r="U64" s="99">
        <f t="shared" si="17"/>
        <v>531348.09</v>
      </c>
      <c r="V64" s="417"/>
      <c r="W64" s="417"/>
      <c r="X64" s="418"/>
      <c r="Y64" s="417"/>
      <c r="Z64" s="417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11"/>
    </row>
    <row r="65" spans="1:39" s="412" customFormat="1" ht="29.25" customHeight="1">
      <c r="A65" s="202" t="s">
        <v>389</v>
      </c>
      <c r="B65" s="413" t="s">
        <v>383</v>
      </c>
      <c r="C65" s="414"/>
      <c r="D65" s="112" t="s">
        <v>378</v>
      </c>
      <c r="E65" s="265"/>
      <c r="F65" s="415"/>
      <c r="G65" s="97" t="s">
        <v>242</v>
      </c>
      <c r="H65" s="233">
        <v>1</v>
      </c>
      <c r="I65" s="98">
        <v>5060458</v>
      </c>
      <c r="J65" s="416"/>
      <c r="K65" s="266"/>
      <c r="L65" s="98">
        <f t="shared" si="11"/>
        <v>5060458</v>
      </c>
      <c r="M65" s="266"/>
      <c r="N65" s="98">
        <f t="shared" si="12"/>
        <v>0</v>
      </c>
      <c r="O65" s="266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17"/>
      <c r="U65" s="99">
        <f t="shared" si="17"/>
        <v>531348.09</v>
      </c>
      <c r="V65" s="417"/>
      <c r="W65" s="417"/>
      <c r="X65" s="418"/>
      <c r="Y65" s="417"/>
      <c r="Z65" s="417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11"/>
    </row>
    <row r="66" spans="1:39" s="412" customFormat="1" ht="29.25" customHeight="1">
      <c r="A66" s="202" t="s">
        <v>390</v>
      </c>
      <c r="B66" s="413" t="s">
        <v>384</v>
      </c>
      <c r="C66" s="414"/>
      <c r="D66" s="112" t="s">
        <v>378</v>
      </c>
      <c r="E66" s="265"/>
      <c r="F66" s="415"/>
      <c r="G66" s="97" t="s">
        <v>242</v>
      </c>
      <c r="H66" s="233">
        <v>1</v>
      </c>
      <c r="I66" s="98">
        <v>5060458</v>
      </c>
      <c r="J66" s="416"/>
      <c r="K66" s="266"/>
      <c r="L66" s="98">
        <f t="shared" si="11"/>
        <v>5060458</v>
      </c>
      <c r="M66" s="266"/>
      <c r="N66" s="98">
        <f t="shared" si="12"/>
        <v>0</v>
      </c>
      <c r="O66" s="266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17"/>
      <c r="U66" s="99">
        <f t="shared" si="17"/>
        <v>531348.09</v>
      </c>
      <c r="V66" s="417"/>
      <c r="W66" s="417"/>
      <c r="X66" s="418"/>
      <c r="Y66" s="417"/>
      <c r="Z66" s="417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11"/>
    </row>
    <row r="67" spans="1:39" s="412" customFormat="1" ht="29.25" customHeight="1">
      <c r="A67" s="202" t="s">
        <v>391</v>
      </c>
      <c r="B67" s="413" t="s">
        <v>385</v>
      </c>
      <c r="C67" s="414"/>
      <c r="D67" s="112" t="s">
        <v>378</v>
      </c>
      <c r="E67" s="265"/>
      <c r="F67" s="415"/>
      <c r="G67" s="97" t="s">
        <v>242</v>
      </c>
      <c r="H67" s="233">
        <v>1</v>
      </c>
      <c r="I67" s="98">
        <v>5060458</v>
      </c>
      <c r="J67" s="416"/>
      <c r="K67" s="266"/>
      <c r="L67" s="98">
        <f t="shared" si="11"/>
        <v>5060458</v>
      </c>
      <c r="M67" s="266"/>
      <c r="N67" s="98">
        <f t="shared" si="12"/>
        <v>0</v>
      </c>
      <c r="O67" s="266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17"/>
      <c r="U67" s="99">
        <f t="shared" si="17"/>
        <v>531348.09</v>
      </c>
      <c r="V67" s="417"/>
      <c r="W67" s="417"/>
      <c r="X67" s="418"/>
      <c r="Y67" s="417"/>
      <c r="Z67" s="417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11"/>
    </row>
    <row r="68" spans="1:39" s="104" customFormat="1" ht="28.5" customHeight="1">
      <c r="A68" s="202" t="s">
        <v>392</v>
      </c>
      <c r="B68" s="316" t="s">
        <v>280</v>
      </c>
      <c r="C68" s="317"/>
      <c r="D68" s="318" t="s">
        <v>281</v>
      </c>
      <c r="E68" s="230"/>
      <c r="F68" s="319"/>
      <c r="G68" s="320" t="s">
        <v>242</v>
      </c>
      <c r="H68" s="321">
        <v>10</v>
      </c>
      <c r="I68" s="236">
        <v>7850431</v>
      </c>
      <c r="J68" s="322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3"/>
      <c r="U68" s="99">
        <f>SUM(Q68:T68)</f>
        <v>0</v>
      </c>
      <c r="V68" s="323"/>
      <c r="W68" s="324"/>
      <c r="X68" s="324"/>
      <c r="Y68" s="324"/>
      <c r="Z68" s="324"/>
      <c r="AA68" s="323">
        <f t="shared" si="4"/>
        <v>7850431</v>
      </c>
      <c r="AB68" s="101" t="str">
        <f t="shared" si="19"/>
        <v>56</v>
      </c>
      <c r="AC68" s="326"/>
      <c r="AD68" s="255" t="s">
        <v>278</v>
      </c>
      <c r="AE68" s="752" t="s">
        <v>330</v>
      </c>
      <c r="AF68" s="753"/>
      <c r="AG68" s="753"/>
      <c r="AK68" s="105"/>
    </row>
    <row r="69" spans="1:39" ht="33" customHeight="1">
      <c r="A69" s="88"/>
      <c r="B69" s="754" t="s">
        <v>11</v>
      </c>
      <c r="C69" s="755"/>
      <c r="D69" s="161"/>
      <c r="E69" s="161"/>
      <c r="F69" s="82"/>
      <c r="G69" s="82"/>
      <c r="H69" s="361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3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3">
        <v>21574227</v>
      </c>
      <c r="R70" s="343">
        <v>4045167</v>
      </c>
      <c r="S70" s="343">
        <v>2696778</v>
      </c>
      <c r="T70" s="342"/>
      <c r="U70" s="343">
        <v>28316172</v>
      </c>
      <c r="V70" s="342"/>
      <c r="W70" s="342"/>
      <c r="X70" s="342"/>
      <c r="Y70" s="342"/>
      <c r="Z70" s="342"/>
      <c r="AA70" s="343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756" t="s">
        <v>12</v>
      </c>
      <c r="C71" s="756"/>
      <c r="D71" s="17" t="s">
        <v>393</v>
      </c>
      <c r="E71" s="17"/>
      <c r="S71" s="18"/>
      <c r="T71" s="18"/>
      <c r="U71" s="18"/>
      <c r="V71" s="18"/>
      <c r="W71" s="18"/>
      <c r="X71" s="18"/>
      <c r="Y71" s="18"/>
      <c r="Z71" s="350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756"/>
      <c r="C72" s="756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4"/>
      <c r="AA72" s="50"/>
      <c r="AB72" s="757"/>
      <c r="AC72" s="757"/>
      <c r="AD72" s="50"/>
      <c r="AE72" s="746" t="e">
        <f>1000000-#REF!</f>
        <v>#REF!</v>
      </c>
      <c r="AF72" s="743"/>
      <c r="AG72" s="743"/>
    </row>
    <row r="73" spans="1:39" ht="21" customHeight="1">
      <c r="A73" s="5"/>
      <c r="B73" s="743"/>
      <c r="C73" s="743"/>
      <c r="D73" s="7"/>
      <c r="E73" s="7"/>
      <c r="F73" s="207"/>
      <c r="G73" s="5"/>
      <c r="H73" s="5"/>
      <c r="S73" s="758" t="s">
        <v>372</v>
      </c>
      <c r="T73" s="758"/>
      <c r="U73" s="758"/>
      <c r="V73" s="758"/>
      <c r="W73" s="758"/>
      <c r="X73" s="758"/>
      <c r="Y73" s="758"/>
      <c r="Z73" s="758"/>
      <c r="AA73" s="758"/>
      <c r="AB73" s="758"/>
      <c r="AC73" s="758"/>
      <c r="AD73" s="759"/>
      <c r="AE73" s="743"/>
      <c r="AF73" s="743"/>
      <c r="AG73" s="743"/>
    </row>
    <row r="74" spans="1:39" ht="15.75" customHeight="1">
      <c r="A74" s="747" t="s">
        <v>13</v>
      </c>
      <c r="B74" s="747"/>
      <c r="C74" s="747"/>
      <c r="D74" s="747"/>
      <c r="E74" s="747"/>
      <c r="F74" s="747"/>
      <c r="G74" s="747"/>
      <c r="H74" s="747"/>
      <c r="I74" s="747" t="s">
        <v>182</v>
      </c>
      <c r="J74" s="747"/>
      <c r="K74" s="747"/>
      <c r="L74" s="747"/>
      <c r="M74" s="747"/>
      <c r="N74" s="747"/>
      <c r="O74" s="747"/>
      <c r="P74" s="747"/>
      <c r="Q74" s="747"/>
      <c r="R74" s="747"/>
      <c r="S74" s="761" t="s">
        <v>14</v>
      </c>
      <c r="T74" s="761"/>
      <c r="U74" s="761"/>
      <c r="V74" s="761"/>
      <c r="W74" s="761"/>
      <c r="X74" s="761"/>
      <c r="Y74" s="761"/>
      <c r="Z74" s="761"/>
      <c r="AA74" s="761"/>
      <c r="AB74" s="761"/>
      <c r="AC74" s="761"/>
      <c r="AD74" s="760"/>
      <c r="AE74" s="748"/>
      <c r="AF74" s="748"/>
      <c r="AG74" s="748"/>
    </row>
    <row r="75" spans="1:39" ht="15.75" customHeight="1">
      <c r="A75" s="5"/>
      <c r="B75" s="745"/>
      <c r="C75" s="745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745"/>
      <c r="AC75" s="745"/>
      <c r="AD75" s="4"/>
      <c r="AE75" s="743"/>
      <c r="AF75" s="743"/>
      <c r="AG75" s="743"/>
    </row>
    <row r="76" spans="1:39" ht="15.75" customHeight="1">
      <c r="A76" s="5"/>
      <c r="B76" s="743"/>
      <c r="C76" s="743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56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743"/>
      <c r="C78" s="743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745"/>
      <c r="AC78" s="745"/>
      <c r="AD78" s="4"/>
      <c r="AE78" s="746"/>
      <c r="AF78" s="743"/>
      <c r="AG78" s="743"/>
    </row>
    <row r="79" spans="1:39" ht="15.75" customHeight="1">
      <c r="A79" s="5"/>
      <c r="B79" s="743"/>
      <c r="C79" s="743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745"/>
      <c r="AC79" s="745"/>
      <c r="AD79" s="4"/>
      <c r="AE79" s="746"/>
      <c r="AF79" s="743"/>
      <c r="AG79" s="743"/>
    </row>
    <row r="80" spans="1:39" ht="15.75" customHeight="1">
      <c r="A80" s="5"/>
      <c r="B80" s="743"/>
      <c r="C80" s="743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745"/>
      <c r="AC80" s="745"/>
      <c r="AD80" s="4"/>
      <c r="AE80" s="746"/>
      <c r="AF80" s="743"/>
      <c r="AG80" s="743"/>
    </row>
    <row r="81" spans="1:33" ht="15.75" customHeight="1">
      <c r="A81" s="747" t="s">
        <v>225</v>
      </c>
      <c r="B81" s="747"/>
      <c r="C81" s="747"/>
      <c r="D81" s="747"/>
      <c r="E81" s="747"/>
      <c r="F81" s="747"/>
      <c r="G81" s="747"/>
      <c r="H81" s="747"/>
      <c r="I81" s="747" t="s">
        <v>122</v>
      </c>
      <c r="J81" s="747"/>
      <c r="K81" s="747"/>
      <c r="L81" s="747"/>
      <c r="M81" s="747"/>
      <c r="N81" s="747"/>
      <c r="O81" s="747"/>
      <c r="P81" s="747"/>
      <c r="Q81" s="747"/>
      <c r="R81" s="747"/>
      <c r="S81" s="747" t="s">
        <v>119</v>
      </c>
      <c r="T81" s="747"/>
      <c r="U81" s="747"/>
      <c r="V81" s="747"/>
      <c r="W81" s="747"/>
      <c r="X81" s="747"/>
      <c r="Y81" s="747"/>
      <c r="Z81" s="747"/>
      <c r="AA81" s="747"/>
      <c r="AB81" s="747"/>
      <c r="AC81" s="747"/>
      <c r="AD81" s="8"/>
      <c r="AE81" s="748"/>
      <c r="AF81" s="748"/>
      <c r="AG81" s="748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57"/>
      <c r="AA82" s="63"/>
      <c r="AB82" s="749"/>
      <c r="AC82" s="749"/>
      <c r="AD82" s="51"/>
      <c r="AE82" s="746"/>
      <c r="AF82" s="743"/>
      <c r="AG82" s="743"/>
    </row>
    <row r="83" spans="1:33">
      <c r="B83" s="30"/>
      <c r="C83" s="19"/>
      <c r="G83" s="30"/>
      <c r="H83" s="30"/>
      <c r="AB83" s="744"/>
      <c r="AC83" s="744"/>
      <c r="AD83" s="45"/>
      <c r="AE83" s="743"/>
      <c r="AF83" s="743"/>
      <c r="AG83" s="743"/>
    </row>
    <row r="84" spans="1:33">
      <c r="A84" s="5"/>
      <c r="B84" s="743"/>
      <c r="C84" s="743"/>
      <c r="AB84" s="744"/>
      <c r="AC84" s="744"/>
      <c r="AD84" s="45"/>
      <c r="AE84" s="743"/>
      <c r="AF84" s="743"/>
      <c r="AG84" s="743"/>
    </row>
    <row r="85" spans="1:33">
      <c r="A85" s="5"/>
      <c r="B85" s="743"/>
      <c r="C85" s="743"/>
      <c r="AB85" s="744"/>
      <c r="AC85" s="744"/>
      <c r="AD85" s="45"/>
      <c r="AE85" s="743"/>
      <c r="AF85" s="743"/>
      <c r="AG85" s="743"/>
    </row>
    <row r="86" spans="1:33">
      <c r="A86" s="5"/>
      <c r="B86" s="743"/>
      <c r="C86" s="743"/>
      <c r="AB86" s="744"/>
      <c r="AC86" s="744"/>
      <c r="AD86" s="45"/>
      <c r="AE86" s="743"/>
      <c r="AF86" s="743"/>
      <c r="AG86" s="743"/>
    </row>
    <row r="87" spans="1:33">
      <c r="A87" s="5"/>
      <c r="B87" s="743"/>
      <c r="C87" s="743"/>
      <c r="AB87" s="744"/>
      <c r="AC87" s="744"/>
      <c r="AD87" s="45"/>
      <c r="AE87" s="743"/>
      <c r="AF87" s="743"/>
      <c r="AG87" s="743"/>
    </row>
    <row r="88" spans="1:33">
      <c r="A88" s="5"/>
      <c r="B88" s="743"/>
      <c r="C88" s="743"/>
      <c r="AB88" s="744"/>
      <c r="AC88" s="744"/>
      <c r="AD88" s="45"/>
      <c r="AE88" s="743"/>
      <c r="AF88" s="743"/>
      <c r="AG88" s="743"/>
    </row>
    <row r="89" spans="1:33">
      <c r="A89" s="5"/>
      <c r="B89" s="743"/>
      <c r="C89" s="743"/>
      <c r="AB89" s="744"/>
      <c r="AC89" s="744"/>
      <c r="AD89" s="45"/>
      <c r="AE89" s="743"/>
      <c r="AF89" s="743"/>
      <c r="AG89" s="743"/>
    </row>
    <row r="90" spans="1:33">
      <c r="A90" s="5"/>
      <c r="B90" s="743"/>
      <c r="C90" s="743"/>
      <c r="AB90" s="744"/>
      <c r="AC90" s="744"/>
      <c r="AD90" s="45"/>
      <c r="AE90" s="743"/>
      <c r="AF90" s="743"/>
      <c r="AG90" s="743"/>
    </row>
    <row r="91" spans="1:33">
      <c r="A91" s="5"/>
      <c r="B91" s="743"/>
      <c r="C91" s="743"/>
      <c r="AB91" s="744"/>
      <c r="AC91" s="744"/>
      <c r="AD91" s="45"/>
      <c r="AE91" s="743"/>
      <c r="AF91" s="743"/>
      <c r="AG91" s="743"/>
    </row>
    <row r="92" spans="1:33">
      <c r="A92" s="5"/>
      <c r="B92" s="743"/>
      <c r="C92" s="743"/>
      <c r="AB92" s="744"/>
      <c r="AC92" s="744"/>
      <c r="AD92" s="45"/>
      <c r="AE92" s="743"/>
      <c r="AF92" s="743"/>
      <c r="AG92" s="743"/>
    </row>
    <row r="93" spans="1:33">
      <c r="A93" s="5"/>
      <c r="B93" s="743"/>
      <c r="C93" s="743"/>
      <c r="AB93" s="744"/>
      <c r="AC93" s="744"/>
      <c r="AD93" s="45"/>
      <c r="AE93" s="743"/>
      <c r="AF93" s="743"/>
      <c r="AG93" s="743"/>
    </row>
    <row r="94" spans="1:33">
      <c r="A94" s="5"/>
      <c r="B94" s="743"/>
      <c r="C94" s="743"/>
      <c r="AB94" s="744"/>
      <c r="AC94" s="744"/>
      <c r="AD94" s="45"/>
      <c r="AE94" s="743"/>
      <c r="AF94" s="743"/>
      <c r="AG94" s="743"/>
    </row>
    <row r="95" spans="1:33">
      <c r="A95" s="5"/>
      <c r="B95" s="743"/>
      <c r="C95" s="743"/>
      <c r="AB95" s="744"/>
      <c r="AC95" s="744"/>
      <c r="AD95" s="45"/>
      <c r="AE95" s="743"/>
      <c r="AF95" s="743"/>
      <c r="AG95" s="743"/>
    </row>
    <row r="96" spans="1:33">
      <c r="A96" s="5"/>
      <c r="B96" s="743"/>
      <c r="C96" s="743"/>
      <c r="AB96" s="744"/>
      <c r="AC96" s="744"/>
      <c r="AD96" s="45"/>
      <c r="AE96" s="743"/>
      <c r="AF96" s="743"/>
      <c r="AG96" s="743"/>
    </row>
    <row r="97" spans="1:33">
      <c r="A97" s="5"/>
      <c r="B97" s="743"/>
      <c r="C97" s="743"/>
      <c r="AB97" s="744"/>
      <c r="AC97" s="744"/>
      <c r="AD97" s="45"/>
      <c r="AE97" s="743"/>
      <c r="AF97" s="743"/>
      <c r="AG97" s="743"/>
    </row>
    <row r="98" spans="1:33">
      <c r="A98" s="5"/>
      <c r="B98" s="743"/>
      <c r="C98" s="743"/>
      <c r="AB98" s="744"/>
      <c r="AC98" s="744"/>
      <c r="AD98" s="45"/>
      <c r="AE98" s="743"/>
      <c r="AF98" s="743"/>
      <c r="AG98" s="743"/>
    </row>
    <row r="99" spans="1:33">
      <c r="A99" s="5"/>
      <c r="B99" s="743"/>
      <c r="C99" s="743"/>
      <c r="AB99" s="744"/>
      <c r="AC99" s="744"/>
      <c r="AD99" s="45"/>
      <c r="AE99" s="743"/>
      <c r="AF99" s="743"/>
      <c r="AG99" s="743"/>
    </row>
    <row r="100" spans="1:33">
      <c r="A100" s="5"/>
      <c r="B100" s="743"/>
      <c r="C100" s="743"/>
      <c r="AB100" s="744"/>
      <c r="AC100" s="744"/>
      <c r="AD100" s="45"/>
      <c r="AE100" s="743"/>
      <c r="AF100" s="743"/>
      <c r="AG100" s="743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6" customWidth="1"/>
    <col min="2" max="2" width="16.25" style="586" customWidth="1"/>
    <col min="3" max="3" width="11.25" style="165" customWidth="1"/>
    <col min="4" max="4" width="13" style="165" hidden="1" customWidth="1"/>
    <col min="5" max="5" width="17.125" style="205" hidden="1" customWidth="1"/>
    <col min="6" max="6" width="14" style="205" hidden="1" customWidth="1"/>
    <col min="7" max="7" width="7.25" style="586" customWidth="1"/>
    <col min="8" max="8" width="6.625" style="586" customWidth="1"/>
    <col min="9" max="9" width="11.75" style="586" customWidth="1"/>
    <col min="10" max="10" width="5.875" style="558" bestFit="1" customWidth="1"/>
    <col min="11" max="11" width="10.375" style="586" customWidth="1"/>
    <col min="12" max="12" width="11.75" style="586" customWidth="1"/>
    <col min="13" max="13" width="2.875" style="586" hidden="1" customWidth="1"/>
    <col min="14" max="14" width="10.75" style="586" customWidth="1"/>
    <col min="15" max="15" width="6.5" style="586" customWidth="1"/>
    <col min="16" max="16" width="11.375" style="586" customWidth="1"/>
    <col min="17" max="17" width="10.75" style="586" customWidth="1"/>
    <col min="18" max="18" width="10" style="586" customWidth="1"/>
    <col min="19" max="19" width="10.5" style="586" customWidth="1"/>
    <col min="20" max="20" width="5.875" style="586" customWidth="1"/>
    <col min="21" max="21" width="11.125" style="586" customWidth="1"/>
    <col min="22" max="22" width="4.75" style="586" customWidth="1"/>
    <col min="23" max="23" width="5.125" style="586" customWidth="1"/>
    <col min="24" max="24" width="4.375" style="586" customWidth="1"/>
    <col min="25" max="25" width="5.25" style="586" customWidth="1"/>
    <col min="26" max="26" width="7.75" style="355" bestFit="1" customWidth="1"/>
    <col min="27" max="27" width="12.5" style="586" customWidth="1"/>
    <col min="28" max="28" width="2.5" style="586" customWidth="1"/>
    <col min="29" max="29" width="12.25" style="588" customWidth="1"/>
    <col min="30" max="30" width="20.25" style="588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560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9"/>
      <c r="AA1" s="17"/>
      <c r="AB1" s="17"/>
      <c r="AC1" s="17"/>
      <c r="AD1" s="560"/>
      <c r="AE1" s="421"/>
      <c r="AF1" s="421"/>
      <c r="AG1" s="421"/>
      <c r="AH1" s="421"/>
      <c r="AI1" s="577"/>
    </row>
    <row r="2" spans="1:39" ht="16.5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587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0"/>
      <c r="AA2" s="18"/>
      <c r="AB2" s="18"/>
      <c r="AC2" s="18"/>
      <c r="AD2" s="587"/>
      <c r="AE2" s="422"/>
      <c r="AF2" s="422"/>
      <c r="AG2" s="422"/>
      <c r="AH2" s="422"/>
      <c r="AI2" s="577"/>
    </row>
    <row r="3" spans="1:39" ht="3.75" customHeight="1">
      <c r="A3" s="559"/>
      <c r="B3" s="558"/>
      <c r="C3" s="559"/>
      <c r="D3" s="559"/>
      <c r="E3" s="37"/>
      <c r="F3" s="37"/>
      <c r="G3" s="559"/>
      <c r="H3" s="558"/>
      <c r="I3" s="558"/>
      <c r="K3" s="558"/>
      <c r="L3" s="558"/>
      <c r="M3" s="558"/>
      <c r="N3" s="558"/>
      <c r="O3" s="558"/>
      <c r="P3" s="558"/>
      <c r="Q3" s="744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44"/>
      <c r="AD3" s="558"/>
      <c r="AE3" s="578"/>
      <c r="AF3" s="809"/>
      <c r="AG3" s="809"/>
      <c r="AH3" s="808"/>
      <c r="AI3" s="808"/>
    </row>
    <row r="4" spans="1:39" ht="22.5" customHeight="1">
      <c r="A4" s="791" t="s">
        <v>190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791"/>
      <c r="AD4" s="576"/>
      <c r="AE4" s="421"/>
      <c r="AF4" s="421"/>
      <c r="AG4" s="421">
        <f>2.67*1150000*0.65</f>
        <v>1995825</v>
      </c>
      <c r="AH4" s="421"/>
      <c r="AI4" s="577"/>
    </row>
    <row r="5" spans="1:39" ht="22.5" customHeight="1">
      <c r="A5" s="791" t="s">
        <v>422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791"/>
      <c r="AD5" s="576"/>
      <c r="AE5" s="421"/>
      <c r="AF5" s="421"/>
      <c r="AG5" s="421"/>
      <c r="AH5" s="421"/>
      <c r="AI5" s="577"/>
    </row>
    <row r="6" spans="1:39" ht="18" customHeight="1">
      <c r="A6" s="560"/>
      <c r="B6" s="567"/>
      <c r="C6" s="757"/>
      <c r="D6" s="757"/>
      <c r="E6" s="757"/>
      <c r="F6" s="757"/>
      <c r="G6" s="757"/>
      <c r="H6" s="757"/>
      <c r="Q6" s="48" t="s">
        <v>228</v>
      </c>
      <c r="R6" s="48"/>
      <c r="S6" s="48"/>
      <c r="T6" s="48"/>
      <c r="U6" s="48"/>
      <c r="V6" s="48"/>
      <c r="W6" s="48"/>
      <c r="X6" s="48"/>
      <c r="Y6" s="48"/>
      <c r="Z6" s="351"/>
      <c r="AA6" s="48"/>
      <c r="AB6" s="48"/>
      <c r="AC6" s="67"/>
      <c r="AD6" s="67"/>
      <c r="AE6" s="421" t="s">
        <v>17</v>
      </c>
      <c r="AF6" s="421"/>
      <c r="AG6" s="421">
        <f>3*1150000</f>
        <v>3450000</v>
      </c>
      <c r="AH6" s="421">
        <f>2.67*1150000</f>
        <v>3070500</v>
      </c>
      <c r="AI6" s="421"/>
    </row>
    <row r="7" spans="1:39">
      <c r="A7" s="560"/>
      <c r="B7" s="146">
        <v>1490000</v>
      </c>
      <c r="C7" s="757"/>
      <c r="D7" s="757"/>
      <c r="E7" s="757"/>
      <c r="F7" s="757"/>
      <c r="G7" s="757"/>
      <c r="H7" s="757"/>
      <c r="I7" s="48"/>
      <c r="J7" s="567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1"/>
      <c r="AA7" s="48"/>
      <c r="AB7" s="48"/>
      <c r="AE7" s="421"/>
      <c r="AF7" s="421"/>
      <c r="AG7" s="421">
        <f>AG6*10.5%</f>
        <v>362250</v>
      </c>
      <c r="AH7" s="421">
        <f>AH6*10.5%</f>
        <v>322402.5</v>
      </c>
      <c r="AI7" s="421"/>
    </row>
    <row r="8" spans="1:39">
      <c r="A8" s="560"/>
      <c r="B8" s="567"/>
      <c r="C8" s="784"/>
      <c r="D8" s="784"/>
      <c r="E8" s="784"/>
      <c r="F8" s="784"/>
      <c r="G8" s="784"/>
      <c r="H8" s="784"/>
      <c r="I8" s="52"/>
      <c r="J8" s="571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2"/>
      <c r="AA8" s="52"/>
      <c r="AB8" s="52"/>
      <c r="AC8" s="66"/>
      <c r="AD8" s="66"/>
      <c r="AE8" s="421"/>
      <c r="AF8" s="421"/>
      <c r="AG8" s="42">
        <f>AG6-AG7</f>
        <v>3087750</v>
      </c>
      <c r="AH8" s="42">
        <f>AH6-AH7</f>
        <v>2748097.5</v>
      </c>
      <c r="AK8" s="423"/>
    </row>
    <row r="9" spans="1:39" ht="4.5" customHeight="1">
      <c r="A9" s="560"/>
      <c r="B9" s="567"/>
      <c r="C9" s="160"/>
      <c r="D9" s="160"/>
      <c r="E9" s="203"/>
      <c r="F9" s="203"/>
      <c r="G9" s="571"/>
      <c r="H9" s="571"/>
      <c r="I9" s="52"/>
      <c r="J9" s="571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1"/>
      <c r="AA9" s="48"/>
      <c r="AB9" s="53"/>
      <c r="AE9" s="421"/>
      <c r="AF9" s="421"/>
      <c r="AG9" s="42">
        <f>AG6*0.65</f>
        <v>2242500</v>
      </c>
      <c r="AH9" s="42">
        <f>AH6*0.65</f>
        <v>1995825</v>
      </c>
      <c r="AK9" s="423"/>
    </row>
    <row r="10" spans="1:39" s="43" customFormat="1" ht="27.75" customHeight="1">
      <c r="A10" s="785" t="s">
        <v>2</v>
      </c>
      <c r="B10" s="785" t="s">
        <v>3</v>
      </c>
      <c r="C10" s="786" t="s">
        <v>51</v>
      </c>
      <c r="D10" s="782" t="s">
        <v>235</v>
      </c>
      <c r="E10" s="787" t="s">
        <v>430</v>
      </c>
      <c r="F10" s="787" t="s">
        <v>431</v>
      </c>
      <c r="G10" s="769" t="s">
        <v>129</v>
      </c>
      <c r="H10" s="782" t="s">
        <v>270</v>
      </c>
      <c r="I10" s="778" t="s">
        <v>179</v>
      </c>
      <c r="J10" s="778" t="s">
        <v>266</v>
      </c>
      <c r="K10" s="778" t="s">
        <v>267</v>
      </c>
      <c r="L10" s="778" t="s">
        <v>169</v>
      </c>
      <c r="M10" s="780"/>
      <c r="N10" s="782" t="s">
        <v>147</v>
      </c>
      <c r="O10" s="782" t="s">
        <v>148</v>
      </c>
      <c r="P10" s="769" t="s">
        <v>149</v>
      </c>
      <c r="Q10" s="762" t="s">
        <v>67</v>
      </c>
      <c r="R10" s="763"/>
      <c r="S10" s="763"/>
      <c r="T10" s="763"/>
      <c r="U10" s="764"/>
      <c r="V10" s="765" t="s">
        <v>167</v>
      </c>
      <c r="W10" s="766"/>
      <c r="X10" s="765" t="s">
        <v>168</v>
      </c>
      <c r="Y10" s="766"/>
      <c r="Z10" s="767" t="s">
        <v>272</v>
      </c>
      <c r="AA10" s="769" t="s">
        <v>153</v>
      </c>
      <c r="AB10" s="771" t="s">
        <v>5</v>
      </c>
      <c r="AC10" s="772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775"/>
      <c r="AK10" s="87"/>
      <c r="AL10" s="79"/>
      <c r="AM10" s="79"/>
    </row>
    <row r="11" spans="1:39" s="43" customFormat="1" ht="41.25" customHeight="1">
      <c r="A11" s="785"/>
      <c r="B11" s="785"/>
      <c r="C11" s="786"/>
      <c r="D11" s="783"/>
      <c r="E11" s="788"/>
      <c r="F11" s="788"/>
      <c r="G11" s="770"/>
      <c r="H11" s="783"/>
      <c r="I11" s="779"/>
      <c r="J11" s="779"/>
      <c r="K11" s="779"/>
      <c r="L11" s="779"/>
      <c r="M11" s="781"/>
      <c r="N11" s="783"/>
      <c r="O11" s="783"/>
      <c r="P11" s="770"/>
      <c r="Q11" s="570" t="s">
        <v>113</v>
      </c>
      <c r="R11" s="570" t="s">
        <v>68</v>
      </c>
      <c r="S11" s="570" t="s">
        <v>60</v>
      </c>
      <c r="T11" s="138" t="s">
        <v>150</v>
      </c>
      <c r="U11" s="138" t="s">
        <v>151</v>
      </c>
      <c r="V11" s="138" t="s">
        <v>84</v>
      </c>
      <c r="W11" s="568" t="s">
        <v>169</v>
      </c>
      <c r="X11" s="138" t="s">
        <v>84</v>
      </c>
      <c r="Y11" s="568" t="s">
        <v>169</v>
      </c>
      <c r="Z11" s="768"/>
      <c r="AA11" s="770"/>
      <c r="AB11" s="773"/>
      <c r="AC11" s="774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775"/>
      <c r="AK11" s="87"/>
      <c r="AL11" s="79"/>
      <c r="AM11" s="79"/>
    </row>
    <row r="12" spans="1:39" s="43" customFormat="1" ht="27.75" customHeight="1">
      <c r="A12" s="572" t="s">
        <v>154</v>
      </c>
      <c r="B12" s="252" t="s">
        <v>155</v>
      </c>
      <c r="C12" s="573" t="s">
        <v>156</v>
      </c>
      <c r="D12" s="573"/>
      <c r="E12" s="148"/>
      <c r="F12" s="148"/>
      <c r="G12" s="161" t="s">
        <v>157</v>
      </c>
      <c r="H12" s="149" t="s">
        <v>46</v>
      </c>
      <c r="I12" s="254" t="s">
        <v>42</v>
      </c>
      <c r="J12" s="254"/>
      <c r="K12" s="254" t="s">
        <v>43</v>
      </c>
      <c r="L12" s="254" t="s">
        <v>268</v>
      </c>
      <c r="M12" s="149"/>
      <c r="N12" s="149" t="s">
        <v>74</v>
      </c>
      <c r="O12" s="149" t="s">
        <v>47</v>
      </c>
      <c r="P12" s="254" t="s">
        <v>175</v>
      </c>
      <c r="Q12" s="149" t="s">
        <v>75</v>
      </c>
      <c r="R12" s="149" t="s">
        <v>76</v>
      </c>
      <c r="S12" s="149" t="s">
        <v>158</v>
      </c>
      <c r="T12" s="149" t="s">
        <v>159</v>
      </c>
      <c r="U12" s="254" t="s">
        <v>176</v>
      </c>
      <c r="V12" s="149" t="s">
        <v>160</v>
      </c>
      <c r="W12" s="149" t="s">
        <v>161</v>
      </c>
      <c r="X12" s="149" t="s">
        <v>162</v>
      </c>
      <c r="Y12" s="149" t="s">
        <v>170</v>
      </c>
      <c r="Z12" s="360" t="s">
        <v>360</v>
      </c>
      <c r="AA12" s="254" t="s">
        <v>361</v>
      </c>
      <c r="AB12" s="776" t="s">
        <v>171</v>
      </c>
      <c r="AC12" s="777"/>
      <c r="AD12" s="84"/>
      <c r="AE12" s="147"/>
      <c r="AF12" s="86"/>
      <c r="AG12" s="86"/>
      <c r="AH12" s="86"/>
      <c r="AI12" s="86"/>
      <c r="AJ12" s="569"/>
      <c r="AK12" s="87"/>
      <c r="AL12" s="79"/>
      <c r="AM12" s="79"/>
    </row>
    <row r="13" spans="1:39" s="43" customFormat="1" ht="27.75" customHeight="1">
      <c r="A13" s="608" t="s">
        <v>432</v>
      </c>
      <c r="B13" s="804" t="s">
        <v>433</v>
      </c>
      <c r="C13" s="805"/>
      <c r="D13" s="805"/>
      <c r="E13" s="805"/>
      <c r="F13" s="805"/>
      <c r="G13" s="805"/>
      <c r="H13" s="805"/>
      <c r="I13" s="806"/>
      <c r="J13" s="610"/>
      <c r="K13" s="610"/>
      <c r="L13" s="610"/>
      <c r="M13" s="609"/>
      <c r="N13" s="609"/>
      <c r="O13" s="609"/>
      <c r="P13" s="610"/>
      <c r="Q13" s="609"/>
      <c r="R13" s="611"/>
      <c r="S13" s="609"/>
      <c r="T13" s="611"/>
      <c r="U13" s="612"/>
      <c r="V13" s="611"/>
      <c r="W13" s="611"/>
      <c r="X13" s="611"/>
      <c r="Y13" s="611"/>
      <c r="Z13" s="613"/>
      <c r="AA13" s="612"/>
      <c r="AB13" s="611"/>
      <c r="AC13" s="614"/>
      <c r="AD13" s="84"/>
      <c r="AE13" s="147"/>
      <c r="AF13" s="86"/>
      <c r="AG13" s="86"/>
      <c r="AH13" s="86"/>
      <c r="AI13" s="86"/>
      <c r="AJ13" s="569"/>
      <c r="AK13" s="87"/>
      <c r="AL13" s="79"/>
      <c r="AM13" s="79"/>
    </row>
    <row r="14" spans="1:39" s="104" customFormat="1" ht="35.450000000000003" customHeight="1">
      <c r="A14" s="202">
        <f ca="1">_xlfn.AGGREGATE(4,7,A$12:A29)+1</f>
        <v>2</v>
      </c>
      <c r="B14" s="462" t="s">
        <v>344</v>
      </c>
      <c r="C14" s="112" t="s">
        <v>345</v>
      </c>
      <c r="D14" s="228"/>
      <c r="E14" s="209"/>
      <c r="F14" s="223" t="str">
        <f>INDEX([3]SACOM!$C$7:$C$335,MATCH(B14,[3]SACOM!$B$7:$B$335,0))</f>
        <v>060310666028</v>
      </c>
      <c r="G14" s="445" t="s">
        <v>242</v>
      </c>
      <c r="H14" s="446">
        <v>6</v>
      </c>
      <c r="I14" s="447">
        <v>7515057</v>
      </c>
      <c r="J14" s="448"/>
      <c r="K14" s="447"/>
      <c r="L14" s="447">
        <f t="shared" ref="L14:L49" si="0">ROUND(I14+K14,0)</f>
        <v>7515057</v>
      </c>
      <c r="M14" s="447"/>
      <c r="N14" s="447">
        <f t="shared" ref="N14:N49" si="1">L14/26*M14</f>
        <v>0</v>
      </c>
      <c r="O14" s="447"/>
      <c r="P14" s="447">
        <f t="shared" ref="P14:P49" si="2">L14-N14+O14</f>
        <v>7515057</v>
      </c>
      <c r="Q14" s="447">
        <f t="shared" ref="Q14:Q48" si="3">L14*8%</f>
        <v>601204.56000000006</v>
      </c>
      <c r="R14" s="449">
        <f t="shared" ref="R14:R48" si="4">L14*1.5%</f>
        <v>112725.855</v>
      </c>
      <c r="S14" s="447">
        <f t="shared" ref="S14:S48" si="5">L14*1%</f>
        <v>75150.570000000007</v>
      </c>
      <c r="T14" s="449"/>
      <c r="U14" s="449">
        <f t="shared" ref="U14:U49" si="6">SUM(Q14:T14)</f>
        <v>789080.9850000001</v>
      </c>
      <c r="V14" s="449"/>
      <c r="W14" s="449"/>
      <c r="X14" s="450"/>
      <c r="Y14" s="449"/>
      <c r="Z14" s="449"/>
      <c r="AA14" s="455">
        <f t="shared" ref="AA14:AA43" si="7">P14-U14+W14+Y14+Z14</f>
        <v>6725976.0149999997</v>
      </c>
      <c r="AB14" s="101">
        <f t="shared" ref="AB14:AB36" ca="1" si="8">A14</f>
        <v>2</v>
      </c>
      <c r="AC14" s="102"/>
      <c r="AD14" s="102"/>
      <c r="AE14" s="120"/>
      <c r="AF14" s="116"/>
      <c r="AG14" s="562"/>
      <c r="AK14" s="105"/>
    </row>
    <row r="15" spans="1:39" s="104" customFormat="1" ht="28.5" customHeight="1">
      <c r="A15" s="202">
        <f ca="1">_xlfn.AGGREGATE(4,7,A$12:A14)+1</f>
        <v>3</v>
      </c>
      <c r="B15" s="462" t="s">
        <v>135</v>
      </c>
      <c r="C15" s="112" t="s">
        <v>120</v>
      </c>
      <c r="D15" s="227" t="s">
        <v>236</v>
      </c>
      <c r="E15" s="209" t="s">
        <v>208</v>
      </c>
      <c r="F15" s="223" t="str">
        <f>INDEX([3]SACOM!$C$7:$C$335,MATCH(B15,[3]SACOM!$B$7:$B$335,0))</f>
        <v>060310750304</v>
      </c>
      <c r="G15" s="452" t="s">
        <v>242</v>
      </c>
      <c r="H15" s="446">
        <v>5</v>
      </c>
      <c r="I15" s="447">
        <v>7023418</v>
      </c>
      <c r="J15" s="448"/>
      <c r="K15" s="447"/>
      <c r="L15" s="447">
        <f t="shared" si="0"/>
        <v>7023418</v>
      </c>
      <c r="M15" s="447"/>
      <c r="N15" s="447">
        <f t="shared" si="1"/>
        <v>0</v>
      </c>
      <c r="O15" s="447"/>
      <c r="P15" s="447">
        <f t="shared" si="2"/>
        <v>7023418</v>
      </c>
      <c r="Q15" s="447">
        <f t="shared" si="3"/>
        <v>561873.44000000006</v>
      </c>
      <c r="R15" s="449">
        <f t="shared" si="4"/>
        <v>105351.26999999999</v>
      </c>
      <c r="S15" s="447">
        <f t="shared" si="5"/>
        <v>70234.180000000008</v>
      </c>
      <c r="T15" s="449"/>
      <c r="U15" s="449">
        <f t="shared" si="6"/>
        <v>737458.89000000013</v>
      </c>
      <c r="V15" s="449"/>
      <c r="W15" s="449"/>
      <c r="X15" s="449"/>
      <c r="Y15" s="449"/>
      <c r="Z15" s="449"/>
      <c r="AA15" s="455">
        <f t="shared" si="7"/>
        <v>6285959.1099999994</v>
      </c>
      <c r="AB15" s="101">
        <f t="shared" ca="1" si="8"/>
        <v>3</v>
      </c>
      <c r="AC15" s="102"/>
      <c r="AD15" s="102" t="s">
        <v>110</v>
      </c>
      <c r="AE15" s="102" t="s">
        <v>112</v>
      </c>
      <c r="AF15" s="110" t="e">
        <f>#REF!*2</f>
        <v>#REF!</v>
      </c>
      <c r="AG15" s="110"/>
      <c r="AH15" s="110"/>
      <c r="AK15" s="111"/>
    </row>
    <row r="16" spans="1:39" s="562" customFormat="1" ht="29.45" customHeight="1">
      <c r="A16" s="202">
        <f ca="1">_xlfn.AGGREGATE(4,7,A$12:A15)+1</f>
        <v>4</v>
      </c>
      <c r="B16" s="462" t="s">
        <v>139</v>
      </c>
      <c r="C16" s="112" t="s">
        <v>69</v>
      </c>
      <c r="D16" s="228" t="str">
        <f>VLOOKUP(B16,[2]T3!$B$2:$D$328,3,FALSE)</f>
        <v>026050143</v>
      </c>
      <c r="E16" s="223" t="s">
        <v>217</v>
      </c>
      <c r="F16" s="223" t="str">
        <f>INDEX([3]SACOM!$C$7:$C$335,MATCH(B16,[3]SACOM!$B$7:$B$335,0))</f>
        <v>060311482761</v>
      </c>
      <c r="G16" s="452" t="s">
        <v>242</v>
      </c>
      <c r="H16" s="446">
        <v>7</v>
      </c>
      <c r="I16" s="447">
        <v>8041111</v>
      </c>
      <c r="J16" s="448"/>
      <c r="K16" s="447"/>
      <c r="L16" s="447">
        <f t="shared" si="0"/>
        <v>8041111</v>
      </c>
      <c r="M16" s="447"/>
      <c r="N16" s="447">
        <f t="shared" si="1"/>
        <v>0</v>
      </c>
      <c r="O16" s="447"/>
      <c r="P16" s="447">
        <f t="shared" si="2"/>
        <v>8041111</v>
      </c>
      <c r="Q16" s="447">
        <f t="shared" si="3"/>
        <v>643288.88</v>
      </c>
      <c r="R16" s="449">
        <f t="shared" si="4"/>
        <v>120616.66499999999</v>
      </c>
      <c r="S16" s="447">
        <f t="shared" si="5"/>
        <v>80411.11</v>
      </c>
      <c r="T16" s="449"/>
      <c r="U16" s="449">
        <f t="shared" si="6"/>
        <v>844316.65500000003</v>
      </c>
      <c r="V16" s="449"/>
      <c r="W16" s="449"/>
      <c r="X16" s="449"/>
      <c r="Y16" s="449"/>
      <c r="Z16" s="449"/>
      <c r="AA16" s="455">
        <f t="shared" si="7"/>
        <v>7196794.3449999997</v>
      </c>
      <c r="AB16" s="101">
        <f t="shared" ca="1" si="8"/>
        <v>4</v>
      </c>
      <c r="AC16" s="102"/>
      <c r="AD16" s="134" t="s">
        <v>108</v>
      </c>
      <c r="AE16" s="117" t="e">
        <f>#REF!/24</f>
        <v>#REF!</v>
      </c>
      <c r="AK16" s="561"/>
    </row>
    <row r="17" spans="1:39" s="562" customFormat="1" ht="30" customHeight="1">
      <c r="A17" s="202">
        <f ca="1">_xlfn.AGGREGATE(4,7,A$12:A16)+1</f>
        <v>5</v>
      </c>
      <c r="B17" s="463" t="s">
        <v>127</v>
      </c>
      <c r="C17" s="112" t="s">
        <v>120</v>
      </c>
      <c r="D17" s="228" t="str">
        <f>VLOOKUP(B17,[2]T3!$B$2:$D$328,3,FALSE)</f>
        <v>025444854</v>
      </c>
      <c r="E17" s="223" t="s">
        <v>209</v>
      </c>
      <c r="F17" s="223" t="str">
        <f>INDEX([3]SACOM!$C$7:$C$335,MATCH(B17,[3]SACOM!$B$7:$B$335,0))</f>
        <v>061828031994</v>
      </c>
      <c r="G17" s="452" t="s">
        <v>245</v>
      </c>
      <c r="H17" s="446">
        <v>3</v>
      </c>
      <c r="I17" s="447">
        <v>5520879</v>
      </c>
      <c r="J17" s="448"/>
      <c r="K17" s="447"/>
      <c r="L17" s="447">
        <f t="shared" si="0"/>
        <v>5520879</v>
      </c>
      <c r="M17" s="447"/>
      <c r="N17" s="447">
        <f t="shared" si="1"/>
        <v>0</v>
      </c>
      <c r="O17" s="447"/>
      <c r="P17" s="447">
        <f t="shared" si="2"/>
        <v>5520879</v>
      </c>
      <c r="Q17" s="447">
        <f t="shared" si="3"/>
        <v>441670.32</v>
      </c>
      <c r="R17" s="449">
        <f t="shared" si="4"/>
        <v>82813.184999999998</v>
      </c>
      <c r="S17" s="447">
        <f t="shared" si="5"/>
        <v>55208.79</v>
      </c>
      <c r="T17" s="449"/>
      <c r="U17" s="449">
        <f t="shared" si="6"/>
        <v>579692.29500000004</v>
      </c>
      <c r="V17" s="449"/>
      <c r="W17" s="449"/>
      <c r="X17" s="449"/>
      <c r="Y17" s="449"/>
      <c r="Z17" s="449"/>
      <c r="AA17" s="455">
        <f t="shared" si="7"/>
        <v>4941186.7050000001</v>
      </c>
      <c r="AB17" s="101">
        <f t="shared" ca="1" si="8"/>
        <v>5</v>
      </c>
      <c r="AC17" s="102"/>
      <c r="AD17" s="102" t="s">
        <v>125</v>
      </c>
      <c r="AE17" s="144"/>
      <c r="AF17" s="110"/>
      <c r="AG17" s="110"/>
      <c r="AH17" s="110"/>
      <c r="AK17" s="111"/>
    </row>
    <row r="18" spans="1:39" s="104" customFormat="1" ht="39" customHeight="1">
      <c r="A18" s="202">
        <f ca="1">_xlfn.AGGREGATE(4,7,A$12:A17)+1</f>
        <v>6</v>
      </c>
      <c r="B18" s="462" t="s">
        <v>140</v>
      </c>
      <c r="C18" s="112" t="s">
        <v>274</v>
      </c>
      <c r="D18" s="228" t="str">
        <f>VLOOKUP(B18,[2]T3!$B$2:$D$328,3,FALSE)</f>
        <v>025177943</v>
      </c>
      <c r="E18" s="209" t="s">
        <v>215</v>
      </c>
      <c r="F18" s="223" t="str">
        <f>INDEX([3]SACOM!$C$7:$C$335,MATCH(B18,[3]SACOM!$B$7:$B$335,0))</f>
        <v>060310749055</v>
      </c>
      <c r="G18" s="452" t="s">
        <v>245</v>
      </c>
      <c r="H18" s="453">
        <v>5</v>
      </c>
      <c r="I18" s="447">
        <v>6086769</v>
      </c>
      <c r="J18" s="448"/>
      <c r="K18" s="447"/>
      <c r="L18" s="447">
        <f t="shared" si="0"/>
        <v>6086769</v>
      </c>
      <c r="M18" s="447"/>
      <c r="N18" s="447">
        <f t="shared" si="1"/>
        <v>0</v>
      </c>
      <c r="O18" s="447"/>
      <c r="P18" s="447">
        <f t="shared" si="2"/>
        <v>6086769</v>
      </c>
      <c r="Q18" s="447">
        <f t="shared" si="3"/>
        <v>486941.52</v>
      </c>
      <c r="R18" s="449">
        <f t="shared" si="4"/>
        <v>91301.535000000003</v>
      </c>
      <c r="S18" s="447">
        <f t="shared" si="5"/>
        <v>60867.69</v>
      </c>
      <c r="T18" s="449"/>
      <c r="U18" s="449">
        <f t="shared" si="6"/>
        <v>639110.74500000011</v>
      </c>
      <c r="V18" s="449"/>
      <c r="W18" s="449"/>
      <c r="X18" s="449"/>
      <c r="Y18" s="449"/>
      <c r="Z18" s="449"/>
      <c r="AA18" s="455">
        <f t="shared" si="7"/>
        <v>5447658.2549999999</v>
      </c>
      <c r="AB18" s="101">
        <f t="shared" ca="1" si="8"/>
        <v>6</v>
      </c>
      <c r="AC18" s="102"/>
      <c r="AD18" s="135">
        <f>2.67-2.41</f>
        <v>0.25999999999999979</v>
      </c>
      <c r="AE18" s="106" t="s">
        <v>59</v>
      </c>
      <c r="AF18" s="136"/>
      <c r="AG18" s="137"/>
      <c r="AK18" s="111"/>
    </row>
    <row r="19" spans="1:39" s="104" customFormat="1" ht="39" customHeight="1">
      <c r="A19" s="202">
        <f ca="1">_xlfn.AGGREGATE(4,7,A$12:A18)+1</f>
        <v>7</v>
      </c>
      <c r="B19" s="462" t="s">
        <v>144</v>
      </c>
      <c r="C19" s="112" t="s">
        <v>274</v>
      </c>
      <c r="D19" s="228" t="str">
        <f>VLOOKUP(B19,[2]T3!$B$2:$D$328,3,FALSE)</f>
        <v>025632449</v>
      </c>
      <c r="E19" s="209" t="s">
        <v>220</v>
      </c>
      <c r="F19" s="223" t="str">
        <f>INDEX([3]SACOM!$C$7:$C$335,MATCH(B19,[3]SACOM!$B$7:$B$335,0))</f>
        <v>060310751688</v>
      </c>
      <c r="G19" s="452" t="s">
        <v>245</v>
      </c>
      <c r="H19" s="446">
        <v>3</v>
      </c>
      <c r="I19" s="447">
        <v>5520879</v>
      </c>
      <c r="J19" s="448"/>
      <c r="K19" s="447"/>
      <c r="L19" s="447">
        <f t="shared" si="0"/>
        <v>5520879</v>
      </c>
      <c r="M19" s="447"/>
      <c r="N19" s="447">
        <f t="shared" si="1"/>
        <v>0</v>
      </c>
      <c r="O19" s="447"/>
      <c r="P19" s="447">
        <f t="shared" si="2"/>
        <v>5520879</v>
      </c>
      <c r="Q19" s="447">
        <f t="shared" si="3"/>
        <v>441670.32</v>
      </c>
      <c r="R19" s="449">
        <f t="shared" si="4"/>
        <v>82813.184999999998</v>
      </c>
      <c r="S19" s="447">
        <f t="shared" si="5"/>
        <v>55208.79</v>
      </c>
      <c r="T19" s="449"/>
      <c r="U19" s="449">
        <f t="shared" si="6"/>
        <v>579692.29500000004</v>
      </c>
      <c r="V19" s="449"/>
      <c r="W19" s="449"/>
      <c r="X19" s="449"/>
      <c r="Y19" s="449"/>
      <c r="Z19" s="449"/>
      <c r="AA19" s="455">
        <f t="shared" si="7"/>
        <v>4941186.7050000001</v>
      </c>
      <c r="AB19" s="101">
        <f t="shared" ca="1" si="8"/>
        <v>7</v>
      </c>
      <c r="AC19" s="102"/>
      <c r="AD19" s="120" t="s">
        <v>85</v>
      </c>
      <c r="AE19" s="109"/>
      <c r="AF19" s="120" t="s">
        <v>111</v>
      </c>
      <c r="AG19" s="110"/>
      <c r="AH19" s="110"/>
      <c r="AK19" s="111"/>
    </row>
    <row r="20" spans="1:39" s="517" customFormat="1" ht="36.75" customHeight="1">
      <c r="A20" s="202">
        <f ca="1">_xlfn.AGGREGATE(4,7,A$12:A19)+1</f>
        <v>8</v>
      </c>
      <c r="B20" s="527" t="s">
        <v>229</v>
      </c>
      <c r="C20" s="112" t="s">
        <v>277</v>
      </c>
      <c r="D20" s="528" t="str">
        <f>VLOOKUP(B20,[2]T3!$B$2:$D$328,3,FALSE)</f>
        <v>024326689</v>
      </c>
      <c r="E20" s="209"/>
      <c r="F20" s="223" t="str">
        <f>INDEX([3]SACOM!$C$7:$C$335,MATCH(B20,[3]SACOM!$B$7:$B$335,0))</f>
        <v>060281693924</v>
      </c>
      <c r="G20" s="445" t="s">
        <v>246</v>
      </c>
      <c r="H20" s="529">
        <v>1</v>
      </c>
      <c r="I20" s="530">
        <v>5007600</v>
      </c>
      <c r="J20" s="531"/>
      <c r="K20" s="530"/>
      <c r="L20" s="530">
        <f t="shared" si="0"/>
        <v>5007600</v>
      </c>
      <c r="M20" s="530"/>
      <c r="N20" s="447">
        <f t="shared" si="1"/>
        <v>0</v>
      </c>
      <c r="O20" s="530"/>
      <c r="P20" s="530">
        <f t="shared" si="2"/>
        <v>5007600</v>
      </c>
      <c r="Q20" s="530">
        <f t="shared" si="3"/>
        <v>400608</v>
      </c>
      <c r="R20" s="532">
        <f t="shared" si="4"/>
        <v>75114</v>
      </c>
      <c r="S20" s="530">
        <f t="shared" si="5"/>
        <v>50076</v>
      </c>
      <c r="T20" s="532"/>
      <c r="U20" s="532">
        <f t="shared" si="6"/>
        <v>525798</v>
      </c>
      <c r="V20" s="532"/>
      <c r="W20" s="532"/>
      <c r="X20" s="533"/>
      <c r="Y20" s="532"/>
      <c r="Z20" s="532"/>
      <c r="AA20" s="455">
        <f t="shared" si="7"/>
        <v>4481802</v>
      </c>
      <c r="AB20" s="534">
        <f t="shared" ca="1" si="8"/>
        <v>8</v>
      </c>
      <c r="AC20" s="516"/>
      <c r="AD20" s="516" t="s">
        <v>230</v>
      </c>
    </row>
    <row r="21" spans="1:39" s="562" customFormat="1" ht="35.25" customHeight="1">
      <c r="A21" s="202">
        <f ca="1">_xlfn.AGGREGATE(4,7,A$12:A20)+1</f>
        <v>9</v>
      </c>
      <c r="B21" s="462" t="s">
        <v>133</v>
      </c>
      <c r="C21" s="112" t="s">
        <v>73</v>
      </c>
      <c r="D21" s="228" t="str">
        <f>VLOOKUP(B21,[2]T3!$B$2:$D$328,3,FALSE)</f>
        <v>230718298</v>
      </c>
      <c r="E21" s="209" t="s">
        <v>206</v>
      </c>
      <c r="F21" s="223" t="str">
        <f>INDEX([3]SACOM!$C$7:$C$335,MATCH(B21,[3]SACOM!$B$7:$B$335,0))</f>
        <v>0977414676</v>
      </c>
      <c r="G21" s="452" t="s">
        <v>242</v>
      </c>
      <c r="H21" s="446">
        <v>6</v>
      </c>
      <c r="I21" s="447">
        <v>7515057</v>
      </c>
      <c r="J21" s="448"/>
      <c r="K21" s="447"/>
      <c r="L21" s="447">
        <f t="shared" si="0"/>
        <v>7515057</v>
      </c>
      <c r="M21" s="447">
        <v>0</v>
      </c>
      <c r="N21" s="447">
        <f t="shared" si="1"/>
        <v>0</v>
      </c>
      <c r="O21" s="447"/>
      <c r="P21" s="447">
        <f t="shared" si="2"/>
        <v>7515057</v>
      </c>
      <c r="Q21" s="447">
        <f t="shared" si="3"/>
        <v>601204.56000000006</v>
      </c>
      <c r="R21" s="449">
        <f t="shared" si="4"/>
        <v>112725.855</v>
      </c>
      <c r="S21" s="447">
        <f t="shared" si="5"/>
        <v>75150.570000000007</v>
      </c>
      <c r="T21" s="449"/>
      <c r="U21" s="449">
        <f t="shared" si="6"/>
        <v>789080.9850000001</v>
      </c>
      <c r="V21" s="449"/>
      <c r="W21" s="451"/>
      <c r="X21" s="451"/>
      <c r="Y21" s="451"/>
      <c r="Z21" s="451"/>
      <c r="AA21" s="455">
        <f t="shared" si="7"/>
        <v>6725976.0149999997</v>
      </c>
      <c r="AB21" s="101">
        <f t="shared" ca="1" si="8"/>
        <v>9</v>
      </c>
      <c r="AC21" s="102"/>
      <c r="AD21" s="102" t="s">
        <v>105</v>
      </c>
      <c r="AE21" s="108"/>
      <c r="AH21" s="116"/>
      <c r="AK21" s="561"/>
    </row>
    <row r="22" spans="1:39" s="104" customFormat="1" ht="36.6" customHeight="1">
      <c r="A22" s="202">
        <f ca="1">_xlfn.AGGREGATE(4,7,A$12:A21)+1</f>
        <v>10</v>
      </c>
      <c r="B22" s="462" t="s">
        <v>290</v>
      </c>
      <c r="C22" s="112" t="s">
        <v>291</v>
      </c>
      <c r="D22" s="228"/>
      <c r="E22" s="223"/>
      <c r="F22" s="223" t="str">
        <f>INDEX([3]SACOM!$C$7:$C$335,MATCH(B22,[3]SACOM!$B$7:$B$335,0))</f>
        <v>0902915225</v>
      </c>
      <c r="G22" s="445" t="s">
        <v>242</v>
      </c>
      <c r="H22" s="446">
        <v>2</v>
      </c>
      <c r="I22" s="447">
        <v>5733201</v>
      </c>
      <c r="J22" s="448"/>
      <c r="K22" s="447"/>
      <c r="L22" s="447">
        <f t="shared" si="0"/>
        <v>5733201</v>
      </c>
      <c r="M22" s="447"/>
      <c r="N22" s="447">
        <f t="shared" si="1"/>
        <v>0</v>
      </c>
      <c r="O22" s="447"/>
      <c r="P22" s="447">
        <f t="shared" si="2"/>
        <v>5733201</v>
      </c>
      <c r="Q22" s="447">
        <f t="shared" si="3"/>
        <v>458656.08</v>
      </c>
      <c r="R22" s="449">
        <f t="shared" si="4"/>
        <v>85998.014999999999</v>
      </c>
      <c r="S22" s="447">
        <f t="shared" si="5"/>
        <v>57332.01</v>
      </c>
      <c r="T22" s="449"/>
      <c r="U22" s="449">
        <f t="shared" si="6"/>
        <v>601986.10499999998</v>
      </c>
      <c r="V22" s="449"/>
      <c r="W22" s="451"/>
      <c r="X22" s="451"/>
      <c r="Y22" s="451"/>
      <c r="Z22" s="451"/>
      <c r="AA22" s="455">
        <f t="shared" si="7"/>
        <v>5131214.8949999996</v>
      </c>
      <c r="AB22" s="101">
        <f t="shared" ca="1" si="8"/>
        <v>10</v>
      </c>
      <c r="AC22" s="255"/>
      <c r="AD22" s="255" t="s">
        <v>300</v>
      </c>
      <c r="AE22" s="117"/>
      <c r="AF22" s="144"/>
      <c r="AG22" s="562"/>
      <c r="AK22" s="105"/>
    </row>
    <row r="23" spans="1:39" s="104" customFormat="1" ht="37.5" customHeight="1">
      <c r="A23" s="202">
        <f ca="1">_xlfn.AGGREGATE(4,7,A$12:A22)+1</f>
        <v>11</v>
      </c>
      <c r="B23" s="462" t="s">
        <v>327</v>
      </c>
      <c r="C23" s="112" t="s">
        <v>326</v>
      </c>
      <c r="D23" s="228"/>
      <c r="E23" s="334" t="s">
        <v>337</v>
      </c>
      <c r="F23" s="223" t="str">
        <f>INDEX([3]SACOM!$C$7:$C$335,MATCH(B23,[3]SACOM!$B$7:$B$335,0))</f>
        <v>060311042826</v>
      </c>
      <c r="G23" s="445" t="s">
        <v>242</v>
      </c>
      <c r="H23" s="446">
        <v>1</v>
      </c>
      <c r="I23" s="447">
        <v>5358132</v>
      </c>
      <c r="J23" s="448"/>
      <c r="K23" s="447"/>
      <c r="L23" s="447">
        <f t="shared" si="0"/>
        <v>5358132</v>
      </c>
      <c r="M23" s="447"/>
      <c r="N23" s="447">
        <f t="shared" si="1"/>
        <v>0</v>
      </c>
      <c r="O23" s="447"/>
      <c r="P23" s="447">
        <f t="shared" si="2"/>
        <v>5358132</v>
      </c>
      <c r="Q23" s="447">
        <f t="shared" si="3"/>
        <v>428650.56</v>
      </c>
      <c r="R23" s="449">
        <f t="shared" si="4"/>
        <v>80371.98</v>
      </c>
      <c r="S23" s="447">
        <f t="shared" si="5"/>
        <v>53581.32</v>
      </c>
      <c r="T23" s="449"/>
      <c r="U23" s="449">
        <f t="shared" si="6"/>
        <v>562603.86</v>
      </c>
      <c r="V23" s="449"/>
      <c r="W23" s="451"/>
      <c r="X23" s="451"/>
      <c r="Y23" s="451"/>
      <c r="Z23" s="451"/>
      <c r="AA23" s="455">
        <f t="shared" si="7"/>
        <v>4795528.1399999997</v>
      </c>
      <c r="AB23" s="101">
        <f t="shared" ca="1" si="8"/>
        <v>11</v>
      </c>
      <c r="AC23" s="255"/>
      <c r="AD23" s="333" t="s">
        <v>328</v>
      </c>
      <c r="AE23" s="429"/>
      <c r="AF23" s="430"/>
      <c r="AG23" s="579"/>
      <c r="AH23" s="42"/>
      <c r="AI23" s="42"/>
      <c r="AJ23" s="42"/>
      <c r="AK23" s="58"/>
      <c r="AL23" s="42"/>
      <c r="AM23" s="42"/>
    </row>
    <row r="24" spans="1:39" s="104" customFormat="1" ht="38.450000000000003" customHeight="1">
      <c r="A24" s="202">
        <f ca="1">_xlfn.AGGREGATE(4,7,A$12:A23)+1</f>
        <v>12</v>
      </c>
      <c r="B24" s="462" t="s">
        <v>397</v>
      </c>
      <c r="C24" s="112" t="s">
        <v>326</v>
      </c>
      <c r="D24" s="228"/>
      <c r="E24" s="334"/>
      <c r="F24" s="223" t="str">
        <f>INDEX([3]SACOM!$C$7:$C$335,MATCH(B24,[3]SACOM!$B$7:$B$335,0))</f>
        <v>060310886001</v>
      </c>
      <c r="G24" s="445" t="s">
        <v>242</v>
      </c>
      <c r="H24" s="446">
        <v>1</v>
      </c>
      <c r="I24" s="447">
        <v>5358132</v>
      </c>
      <c r="J24" s="448"/>
      <c r="K24" s="447"/>
      <c r="L24" s="447">
        <f t="shared" si="0"/>
        <v>5358132</v>
      </c>
      <c r="M24" s="447"/>
      <c r="N24" s="447">
        <f t="shared" si="1"/>
        <v>0</v>
      </c>
      <c r="O24" s="447"/>
      <c r="P24" s="447">
        <f t="shared" si="2"/>
        <v>5358132</v>
      </c>
      <c r="Q24" s="447">
        <f t="shared" si="3"/>
        <v>428650.56</v>
      </c>
      <c r="R24" s="449">
        <f t="shared" si="4"/>
        <v>80371.98</v>
      </c>
      <c r="S24" s="447">
        <f t="shared" si="5"/>
        <v>53581.32</v>
      </c>
      <c r="T24" s="449"/>
      <c r="U24" s="449">
        <f t="shared" si="6"/>
        <v>562603.86</v>
      </c>
      <c r="V24" s="449"/>
      <c r="W24" s="451"/>
      <c r="X24" s="451"/>
      <c r="Y24" s="451"/>
      <c r="Z24" s="451"/>
      <c r="AA24" s="455">
        <f t="shared" si="7"/>
        <v>4795528.1399999997</v>
      </c>
      <c r="AB24" s="101">
        <f t="shared" ca="1" si="8"/>
        <v>12</v>
      </c>
      <c r="AC24" s="255"/>
      <c r="AD24" s="255" t="s">
        <v>402</v>
      </c>
      <c r="AE24" s="429"/>
      <c r="AF24" s="430"/>
      <c r="AG24" s="579"/>
      <c r="AH24" s="42"/>
      <c r="AI24" s="42"/>
      <c r="AJ24" s="42"/>
      <c r="AK24" s="58"/>
      <c r="AL24" s="42"/>
      <c r="AM24" s="42"/>
    </row>
    <row r="25" spans="1:39" s="104" customFormat="1" ht="36.75" customHeight="1">
      <c r="A25" s="202">
        <f ca="1">_xlfn.AGGREGATE(4,7,A$12:A24)+1</f>
        <v>13</v>
      </c>
      <c r="B25" s="462" t="s">
        <v>138</v>
      </c>
      <c r="C25" s="112" t="s">
        <v>172</v>
      </c>
      <c r="D25" s="227" t="s">
        <v>237</v>
      </c>
      <c r="E25" s="209" t="s">
        <v>214</v>
      </c>
      <c r="F25" s="223" t="str">
        <f>INDEX([3]SACOM!$C$7:$C$335,MATCH(B25,[3]SACOM!$B$7:$B$335,0))</f>
        <v>060310828079</v>
      </c>
      <c r="G25" s="452" t="s">
        <v>242</v>
      </c>
      <c r="H25" s="499">
        <v>7</v>
      </c>
      <c r="I25" s="447">
        <v>8041111</v>
      </c>
      <c r="J25" s="448"/>
      <c r="K25" s="447"/>
      <c r="L25" s="447">
        <f t="shared" si="0"/>
        <v>8041111</v>
      </c>
      <c r="M25" s="447"/>
      <c r="N25" s="447">
        <f t="shared" si="1"/>
        <v>0</v>
      </c>
      <c r="O25" s="447"/>
      <c r="P25" s="447">
        <f t="shared" si="2"/>
        <v>8041111</v>
      </c>
      <c r="Q25" s="447">
        <f t="shared" si="3"/>
        <v>643288.88</v>
      </c>
      <c r="R25" s="449">
        <f t="shared" si="4"/>
        <v>120616.66499999999</v>
      </c>
      <c r="S25" s="447">
        <f t="shared" si="5"/>
        <v>80411.11</v>
      </c>
      <c r="T25" s="449"/>
      <c r="U25" s="449">
        <f t="shared" si="6"/>
        <v>844316.65500000003</v>
      </c>
      <c r="V25" s="449"/>
      <c r="W25" s="449"/>
      <c r="X25" s="449"/>
      <c r="Y25" s="449"/>
      <c r="Z25" s="449"/>
      <c r="AA25" s="455">
        <f t="shared" si="7"/>
        <v>7196794.3449999997</v>
      </c>
      <c r="AB25" s="101">
        <f t="shared" ca="1" si="8"/>
        <v>13</v>
      </c>
      <c r="AC25" s="102"/>
      <c r="AD25" s="103" t="s">
        <v>72</v>
      </c>
      <c r="AE25" s="152"/>
      <c r="AG25" s="562"/>
      <c r="AK25" s="105"/>
    </row>
    <row r="26" spans="1:39" s="104" customFormat="1" ht="42.75" customHeight="1">
      <c r="A26" s="202">
        <f ca="1">_xlfn.AGGREGATE(4,7,A$12:A25)+1</f>
        <v>14</v>
      </c>
      <c r="B26" s="462" t="s">
        <v>283</v>
      </c>
      <c r="C26" s="112" t="s">
        <v>287</v>
      </c>
      <c r="D26" s="228"/>
      <c r="E26" s="223" t="s">
        <v>324</v>
      </c>
      <c r="F26" s="223" t="str">
        <f>INDEX([3]SACOM!$C$7:$C$335,MATCH(B26,[3]SACOM!$B$7:$B$335,0))</f>
        <v>060310836772</v>
      </c>
      <c r="G26" s="445" t="s">
        <v>242</v>
      </c>
      <c r="H26" s="446">
        <v>2</v>
      </c>
      <c r="I26" s="447">
        <v>5733201</v>
      </c>
      <c r="J26" s="448"/>
      <c r="K26" s="447"/>
      <c r="L26" s="447">
        <f t="shared" si="0"/>
        <v>5733201</v>
      </c>
      <c r="M26" s="447"/>
      <c r="N26" s="447">
        <f t="shared" si="1"/>
        <v>0</v>
      </c>
      <c r="O26" s="447"/>
      <c r="P26" s="447">
        <f t="shared" si="2"/>
        <v>5733201</v>
      </c>
      <c r="Q26" s="447">
        <f t="shared" si="3"/>
        <v>458656.08</v>
      </c>
      <c r="R26" s="449">
        <f t="shared" si="4"/>
        <v>85998.014999999999</v>
      </c>
      <c r="S26" s="447">
        <f t="shared" si="5"/>
        <v>57332.01</v>
      </c>
      <c r="T26" s="449"/>
      <c r="U26" s="449">
        <f t="shared" si="6"/>
        <v>601986.10499999998</v>
      </c>
      <c r="V26" s="449"/>
      <c r="W26" s="451"/>
      <c r="X26" s="451"/>
      <c r="Y26" s="451"/>
      <c r="Z26" s="451"/>
      <c r="AA26" s="455">
        <f t="shared" si="7"/>
        <v>5131214.8949999996</v>
      </c>
      <c r="AB26" s="101">
        <f t="shared" ca="1" si="8"/>
        <v>14</v>
      </c>
      <c r="AC26" s="255"/>
      <c r="AD26" s="255" t="s">
        <v>284</v>
      </c>
      <c r="AE26" s="117"/>
      <c r="AF26" s="144"/>
      <c r="AG26" s="562"/>
      <c r="AK26" s="105"/>
    </row>
    <row r="27" spans="1:39" s="562" customFormat="1" ht="36" customHeight="1">
      <c r="A27" s="202">
        <f ca="1">_xlfn.AGGREGATE(4,7,A$12:A26)+1</f>
        <v>15</v>
      </c>
      <c r="B27" s="589" t="s">
        <v>429</v>
      </c>
      <c r="C27" s="112" t="s">
        <v>239</v>
      </c>
      <c r="D27" s="226" t="s">
        <v>233</v>
      </c>
      <c r="E27" s="223" t="s">
        <v>203</v>
      </c>
      <c r="F27" s="223" t="str">
        <f>INDEX([3]SACOM!$C$7:$C$335,MATCH(B27,[3]SACOM!$B$7:$B$335,0))</f>
        <v>0358800688</v>
      </c>
      <c r="G27" s="452" t="s">
        <v>245</v>
      </c>
      <c r="H27" s="446">
        <v>5</v>
      </c>
      <c r="I27" s="447">
        <v>6086769</v>
      </c>
      <c r="J27" s="448"/>
      <c r="K27" s="447"/>
      <c r="L27" s="447">
        <f t="shared" si="0"/>
        <v>6086769</v>
      </c>
      <c r="M27" s="447"/>
      <c r="N27" s="447">
        <f t="shared" si="1"/>
        <v>0</v>
      </c>
      <c r="O27" s="447"/>
      <c r="P27" s="447">
        <f t="shared" si="2"/>
        <v>6086769</v>
      </c>
      <c r="Q27" s="447">
        <f t="shared" si="3"/>
        <v>486941.52</v>
      </c>
      <c r="R27" s="449">
        <f t="shared" si="4"/>
        <v>91301.535000000003</v>
      </c>
      <c r="S27" s="447">
        <f t="shared" si="5"/>
        <v>60867.69</v>
      </c>
      <c r="T27" s="449"/>
      <c r="U27" s="449">
        <f t="shared" si="6"/>
        <v>639110.74500000011</v>
      </c>
      <c r="V27" s="450"/>
      <c r="W27" s="449"/>
      <c r="X27" s="450"/>
      <c r="Y27" s="449"/>
      <c r="Z27" s="449"/>
      <c r="AA27" s="455">
        <f t="shared" si="7"/>
        <v>5447658.2549999999</v>
      </c>
      <c r="AB27" s="101">
        <f t="shared" ca="1" si="8"/>
        <v>15</v>
      </c>
      <c r="AC27" s="102"/>
      <c r="AD27" s="117">
        <f>'ND 111'!AD27*10.5%</f>
        <v>486013.5</v>
      </c>
      <c r="AE27" s="750"/>
      <c r="AF27" s="751"/>
      <c r="AG27" s="751"/>
      <c r="AH27" s="751"/>
      <c r="AK27" s="119"/>
    </row>
    <row r="28" spans="1:39" s="104" customFormat="1" ht="37.5" customHeight="1">
      <c r="A28" s="202">
        <f ca="1">_xlfn.AGGREGATE(4,7,A$12:A27)+1</f>
        <v>16</v>
      </c>
      <c r="B28" s="498" t="s">
        <v>428</v>
      </c>
      <c r="C28" s="112" t="s">
        <v>287</v>
      </c>
      <c r="D28" s="226" t="s">
        <v>232</v>
      </c>
      <c r="E28" s="209" t="s">
        <v>210</v>
      </c>
      <c r="F28" s="223" t="str">
        <f>INDEX([3]SACOM!$C$7:$C$335,MATCH(B28,[3]SACOM!$B$7:$B$335,0))</f>
        <v>060278335766</v>
      </c>
      <c r="G28" s="452" t="s">
        <v>242</v>
      </c>
      <c r="H28" s="446">
        <v>2</v>
      </c>
      <c r="I28" s="447">
        <v>5733201</v>
      </c>
      <c r="J28" s="448"/>
      <c r="K28" s="447"/>
      <c r="L28" s="447">
        <f t="shared" si="0"/>
        <v>5733201</v>
      </c>
      <c r="M28" s="447"/>
      <c r="N28" s="447">
        <f t="shared" si="1"/>
        <v>0</v>
      </c>
      <c r="O28" s="447"/>
      <c r="P28" s="447">
        <f t="shared" si="2"/>
        <v>5733201</v>
      </c>
      <c r="Q28" s="447">
        <f t="shared" si="3"/>
        <v>458656.08</v>
      </c>
      <c r="R28" s="449">
        <f t="shared" si="4"/>
        <v>85998.014999999999</v>
      </c>
      <c r="S28" s="447">
        <f t="shared" si="5"/>
        <v>57332.01</v>
      </c>
      <c r="T28" s="449"/>
      <c r="U28" s="449">
        <f t="shared" si="6"/>
        <v>601986.10499999998</v>
      </c>
      <c r="V28" s="449"/>
      <c r="W28" s="449"/>
      <c r="X28" s="449"/>
      <c r="Y28" s="449"/>
      <c r="Z28" s="449"/>
      <c r="AA28" s="455">
        <f t="shared" si="7"/>
        <v>5131214.8949999996</v>
      </c>
      <c r="AB28" s="101">
        <f t="shared" ca="1" si="8"/>
        <v>16</v>
      </c>
      <c r="AC28" s="118"/>
      <c r="AD28" s="139" t="s">
        <v>118</v>
      </c>
      <c r="AE28" s="155"/>
      <c r="AF28" s="128"/>
      <c r="AG28" s="110"/>
      <c r="AH28" s="110"/>
      <c r="AK28" s="111"/>
    </row>
    <row r="29" spans="1:39" s="562" customFormat="1" ht="42.75" customHeight="1">
      <c r="A29" s="202">
        <f>_xlfn.AGGREGATE(4,7,A$12:A12)+1</f>
        <v>1</v>
      </c>
      <c r="B29" s="462" t="s">
        <v>318</v>
      </c>
      <c r="C29" s="112" t="s">
        <v>409</v>
      </c>
      <c r="D29" s="227" t="s">
        <v>335</v>
      </c>
      <c r="E29" s="334" t="s">
        <v>336</v>
      </c>
      <c r="F29" s="223" t="str">
        <f>INDEX([3]SACOM!$C$7:$C$335,MATCH(B29,[3]SACOM!$B$7:$B$335,0))</f>
        <v>060310951679</v>
      </c>
      <c r="G29" s="445" t="s">
        <v>242</v>
      </c>
      <c r="H29" s="446">
        <v>1</v>
      </c>
      <c r="I29" s="447">
        <v>5358132</v>
      </c>
      <c r="J29" s="448"/>
      <c r="K29" s="447"/>
      <c r="L29" s="447">
        <f t="shared" si="0"/>
        <v>5358132</v>
      </c>
      <c r="M29" s="447"/>
      <c r="N29" s="447">
        <f t="shared" si="1"/>
        <v>0</v>
      </c>
      <c r="O29" s="447"/>
      <c r="P29" s="447">
        <f t="shared" si="2"/>
        <v>5358132</v>
      </c>
      <c r="Q29" s="447">
        <f t="shared" si="3"/>
        <v>428650.56</v>
      </c>
      <c r="R29" s="449">
        <f t="shared" si="4"/>
        <v>80371.98</v>
      </c>
      <c r="S29" s="447">
        <f t="shared" si="5"/>
        <v>53581.32</v>
      </c>
      <c r="T29" s="449"/>
      <c r="U29" s="449">
        <f t="shared" si="6"/>
        <v>562603.86</v>
      </c>
      <c r="V29" s="449"/>
      <c r="W29" s="451"/>
      <c r="X29" s="451"/>
      <c r="Y29" s="451"/>
      <c r="Z29" s="451"/>
      <c r="AA29" s="455">
        <f t="shared" si="7"/>
        <v>4795528.1399999997</v>
      </c>
      <c r="AB29" s="101">
        <f t="shared" si="8"/>
        <v>1</v>
      </c>
      <c r="AC29" s="255"/>
      <c r="AD29" s="255" t="s">
        <v>320</v>
      </c>
      <c r="AE29" s="117"/>
      <c r="AF29" s="144"/>
      <c r="AK29" s="561"/>
    </row>
    <row r="30" spans="1:39" s="104" customFormat="1" ht="42.75" customHeight="1">
      <c r="A30" s="202">
        <f ca="1">_xlfn.AGGREGATE(4,7,A$12:A28)+1</f>
        <v>17</v>
      </c>
      <c r="B30" s="462" t="s">
        <v>311</v>
      </c>
      <c r="C30" s="112" t="s">
        <v>287</v>
      </c>
      <c r="D30" s="228"/>
      <c r="E30" s="223"/>
      <c r="F30" s="223" t="str">
        <f>INDEX([3]SACOM!$C$7:$C$335,MATCH(B30,[3]SACOM!$B$7:$B$335,0))</f>
        <v>060278713264</v>
      </c>
      <c r="G30" s="445" t="s">
        <v>242</v>
      </c>
      <c r="H30" s="446">
        <v>2</v>
      </c>
      <c r="I30" s="447">
        <v>5733201</v>
      </c>
      <c r="J30" s="448"/>
      <c r="K30" s="447"/>
      <c r="L30" s="447">
        <f t="shared" si="0"/>
        <v>5733201</v>
      </c>
      <c r="M30" s="447"/>
      <c r="N30" s="447">
        <f t="shared" si="1"/>
        <v>0</v>
      </c>
      <c r="O30" s="447"/>
      <c r="P30" s="447">
        <f t="shared" si="2"/>
        <v>5733201</v>
      </c>
      <c r="Q30" s="447">
        <f t="shared" si="3"/>
        <v>458656.08</v>
      </c>
      <c r="R30" s="449">
        <f t="shared" si="4"/>
        <v>85998.014999999999</v>
      </c>
      <c r="S30" s="447">
        <f t="shared" si="5"/>
        <v>57332.01</v>
      </c>
      <c r="T30" s="449"/>
      <c r="U30" s="449">
        <f t="shared" si="6"/>
        <v>601986.10499999998</v>
      </c>
      <c r="V30" s="449"/>
      <c r="W30" s="451"/>
      <c r="X30" s="451"/>
      <c r="Y30" s="451"/>
      <c r="Z30" s="451"/>
      <c r="AA30" s="455">
        <f t="shared" si="7"/>
        <v>5131214.8949999996</v>
      </c>
      <c r="AB30" s="101">
        <f t="shared" ca="1" si="8"/>
        <v>17</v>
      </c>
      <c r="AC30" s="255"/>
      <c r="AD30" s="255" t="s">
        <v>312</v>
      </c>
      <c r="AE30" s="117"/>
      <c r="AF30" s="144"/>
      <c r="AG30" s="562"/>
      <c r="AK30" s="105"/>
    </row>
    <row r="31" spans="1:39" s="562" customFormat="1" ht="41.25" customHeight="1">
      <c r="A31" s="202">
        <f ca="1">_xlfn.AGGREGATE(4,7,A$12:A30)+1</f>
        <v>18</v>
      </c>
      <c r="B31" s="462" t="s">
        <v>134</v>
      </c>
      <c r="C31" s="112" t="s">
        <v>347</v>
      </c>
      <c r="D31" s="228" t="str">
        <f>VLOOKUP(B31,[2]T3!$B$2:$D$328,3,FALSE)</f>
        <v>025804258</v>
      </c>
      <c r="E31" s="223" t="s">
        <v>207</v>
      </c>
      <c r="F31" s="223" t="str">
        <f>INDEX([3]SACOM!$C$7:$C$335,MATCH(B31,[3]SACOM!$B$7:$B$335,0))</f>
        <v>060310837000</v>
      </c>
      <c r="G31" s="452" t="s">
        <v>245</v>
      </c>
      <c r="H31" s="453">
        <v>5</v>
      </c>
      <c r="I31" s="447">
        <v>6086769</v>
      </c>
      <c r="J31" s="448"/>
      <c r="K31" s="447"/>
      <c r="L31" s="447">
        <f t="shared" si="0"/>
        <v>6086769</v>
      </c>
      <c r="M31" s="447"/>
      <c r="N31" s="447">
        <f t="shared" si="1"/>
        <v>0</v>
      </c>
      <c r="O31" s="447"/>
      <c r="P31" s="447">
        <f t="shared" si="2"/>
        <v>6086769</v>
      </c>
      <c r="Q31" s="447">
        <f t="shared" si="3"/>
        <v>486941.52</v>
      </c>
      <c r="R31" s="449">
        <f t="shared" si="4"/>
        <v>91301.535000000003</v>
      </c>
      <c r="S31" s="447">
        <f t="shared" si="5"/>
        <v>60867.69</v>
      </c>
      <c r="T31" s="449"/>
      <c r="U31" s="449">
        <f t="shared" si="6"/>
        <v>639110.74500000011</v>
      </c>
      <c r="V31" s="449"/>
      <c r="W31" s="451"/>
      <c r="X31" s="451"/>
      <c r="Y31" s="451"/>
      <c r="Z31" s="451"/>
      <c r="AA31" s="455">
        <f t="shared" si="7"/>
        <v>5447658.2549999999</v>
      </c>
      <c r="AB31" s="101">
        <f t="shared" ca="1" si="8"/>
        <v>18</v>
      </c>
      <c r="AC31" s="102"/>
      <c r="AD31" s="102" t="s">
        <v>106</v>
      </c>
      <c r="AE31" s="109"/>
      <c r="AF31" s="110"/>
      <c r="AG31" s="110"/>
      <c r="AH31" s="110"/>
      <c r="AI31" s="110"/>
      <c r="AJ31" s="109"/>
      <c r="AK31" s="111"/>
    </row>
    <row r="32" spans="1:39" s="562" customFormat="1" ht="41.25" customHeight="1">
      <c r="A32" s="202">
        <f ca="1">_xlfn.AGGREGATE(4,7,A$12:A31)+1</f>
        <v>19</v>
      </c>
      <c r="B32" s="462" t="s">
        <v>399</v>
      </c>
      <c r="C32" s="112" t="s">
        <v>347</v>
      </c>
      <c r="D32" s="228"/>
      <c r="E32" s="223"/>
      <c r="F32" s="223" t="str">
        <f>INDEX([3]SACOM!$C$7:$C$335,MATCH(B32,[3]SACOM!$B$7:$B$335,0))</f>
        <v>060310936742</v>
      </c>
      <c r="G32" s="452" t="s">
        <v>245</v>
      </c>
      <c r="H32" s="453">
        <v>1</v>
      </c>
      <c r="I32" s="447">
        <v>5007600</v>
      </c>
      <c r="J32" s="448"/>
      <c r="K32" s="447"/>
      <c r="L32" s="447">
        <f t="shared" si="0"/>
        <v>5007600</v>
      </c>
      <c r="M32" s="447"/>
      <c r="N32" s="447">
        <f t="shared" si="1"/>
        <v>0</v>
      </c>
      <c r="O32" s="447"/>
      <c r="P32" s="447">
        <f t="shared" si="2"/>
        <v>5007600</v>
      </c>
      <c r="Q32" s="447">
        <f t="shared" si="3"/>
        <v>400608</v>
      </c>
      <c r="R32" s="449">
        <f t="shared" si="4"/>
        <v>75114</v>
      </c>
      <c r="S32" s="447">
        <f t="shared" si="5"/>
        <v>50076</v>
      </c>
      <c r="T32" s="449"/>
      <c r="U32" s="449">
        <f t="shared" si="6"/>
        <v>525798</v>
      </c>
      <c r="V32" s="449"/>
      <c r="W32" s="451"/>
      <c r="X32" s="451"/>
      <c r="Y32" s="451"/>
      <c r="Z32" s="451"/>
      <c r="AA32" s="455">
        <f t="shared" si="7"/>
        <v>4481802</v>
      </c>
      <c r="AB32" s="101">
        <f t="shared" ca="1" si="8"/>
        <v>19</v>
      </c>
      <c r="AC32" s="102"/>
      <c r="AD32" s="145" t="s">
        <v>400</v>
      </c>
      <c r="AE32" s="109"/>
      <c r="AF32" s="110"/>
      <c r="AG32" s="110"/>
      <c r="AH32" s="110"/>
      <c r="AI32" s="110"/>
      <c r="AJ32" s="109"/>
      <c r="AK32" s="111"/>
    </row>
    <row r="33" spans="1:39" s="104" customFormat="1" ht="33" customHeight="1">
      <c r="A33" s="202">
        <f ca="1">_xlfn.AGGREGATE(4,7,A$12:A32)+1</f>
        <v>20</v>
      </c>
      <c r="B33" s="462" t="s">
        <v>128</v>
      </c>
      <c r="C33" s="112" t="s">
        <v>187</v>
      </c>
      <c r="D33" s="228" t="str">
        <f>VLOOKUP(B33,[2]T3!$B$2:$D$328,3,FALSE)</f>
        <v>024759058</v>
      </c>
      <c r="E33" s="209" t="s">
        <v>224</v>
      </c>
      <c r="F33" s="223" t="str">
        <f>INDEX([3]SACOM!$C$7:$C$335,MATCH(B33,[3]SACOM!$B$7:$B$335,0))</f>
        <v>060311001951</v>
      </c>
      <c r="G33" s="452" t="s">
        <v>242</v>
      </c>
      <c r="H33" s="499">
        <v>2</v>
      </c>
      <c r="I33" s="447">
        <v>5733201</v>
      </c>
      <c r="J33" s="448"/>
      <c r="K33" s="447"/>
      <c r="L33" s="447">
        <f t="shared" si="0"/>
        <v>5733201</v>
      </c>
      <c r="M33" s="447"/>
      <c r="N33" s="447">
        <f t="shared" si="1"/>
        <v>0</v>
      </c>
      <c r="O33" s="447"/>
      <c r="P33" s="447">
        <f t="shared" si="2"/>
        <v>5733201</v>
      </c>
      <c r="Q33" s="447">
        <f t="shared" si="3"/>
        <v>458656.08</v>
      </c>
      <c r="R33" s="449">
        <f t="shared" si="4"/>
        <v>85998.014999999999</v>
      </c>
      <c r="S33" s="447">
        <f t="shared" si="5"/>
        <v>57332.01</v>
      </c>
      <c r="T33" s="449"/>
      <c r="U33" s="449">
        <f t="shared" si="6"/>
        <v>601986.10499999998</v>
      </c>
      <c r="V33" s="449"/>
      <c r="W33" s="455"/>
      <c r="X33" s="455"/>
      <c r="Y33" s="455"/>
      <c r="Z33" s="455"/>
      <c r="AA33" s="455">
        <f t="shared" si="7"/>
        <v>5131214.8949999996</v>
      </c>
      <c r="AB33" s="101">
        <f t="shared" ca="1" si="8"/>
        <v>20</v>
      </c>
      <c r="AC33" s="102"/>
      <c r="AD33" s="145" t="s">
        <v>126</v>
      </c>
      <c r="AE33" s="562"/>
      <c r="AF33" s="562"/>
      <c r="AJ33" s="105"/>
    </row>
    <row r="34" spans="1:39" s="104" customFormat="1" ht="31.15" customHeight="1">
      <c r="A34" s="202">
        <f ca="1">_xlfn.AGGREGATE(4,7,A$12:A33)+1</f>
        <v>21</v>
      </c>
      <c r="B34" s="462" t="s">
        <v>141</v>
      </c>
      <c r="C34" s="112" t="s">
        <v>187</v>
      </c>
      <c r="D34" s="228" t="str">
        <f>VLOOKUP(B34,[2]T3!$B$2:$D$328,3,FALSE)</f>
        <v>025128010</v>
      </c>
      <c r="E34" s="209" t="s">
        <v>216</v>
      </c>
      <c r="F34" s="223" t="str">
        <f>INDEX([3]SACOM!$C$7:$C$335,MATCH(B34,[3]SACOM!$B$7:$B$335,0))</f>
        <v>060311390204</v>
      </c>
      <c r="G34" s="452" t="s">
        <v>242</v>
      </c>
      <c r="H34" s="453">
        <v>4</v>
      </c>
      <c r="I34" s="447">
        <v>6563942</v>
      </c>
      <c r="J34" s="448"/>
      <c r="K34" s="447"/>
      <c r="L34" s="447">
        <f t="shared" si="0"/>
        <v>6563942</v>
      </c>
      <c r="M34" s="447"/>
      <c r="N34" s="447">
        <f t="shared" si="1"/>
        <v>0</v>
      </c>
      <c r="O34" s="447"/>
      <c r="P34" s="447">
        <f t="shared" si="2"/>
        <v>6563942</v>
      </c>
      <c r="Q34" s="447">
        <f t="shared" si="3"/>
        <v>525115.36</v>
      </c>
      <c r="R34" s="449">
        <f t="shared" si="4"/>
        <v>98459.12999999999</v>
      </c>
      <c r="S34" s="447">
        <f t="shared" si="5"/>
        <v>65639.42</v>
      </c>
      <c r="T34" s="449"/>
      <c r="U34" s="449">
        <f t="shared" si="6"/>
        <v>689213.91</v>
      </c>
      <c r="V34" s="449"/>
      <c r="W34" s="449"/>
      <c r="X34" s="449"/>
      <c r="Y34" s="449"/>
      <c r="Z34" s="449"/>
      <c r="AA34" s="455">
        <f t="shared" si="7"/>
        <v>5874728.0899999999</v>
      </c>
      <c r="AB34" s="101">
        <f t="shared" ca="1" si="8"/>
        <v>21</v>
      </c>
      <c r="AC34" s="102"/>
      <c r="AD34" s="127" t="s">
        <v>115</v>
      </c>
      <c r="AE34" s="109"/>
      <c r="AF34" s="120"/>
      <c r="AG34" s="110"/>
      <c r="AH34" s="110"/>
      <c r="AK34" s="111"/>
    </row>
    <row r="35" spans="1:39" s="104" customFormat="1" ht="31.9" customHeight="1">
      <c r="A35" s="202">
        <f ca="1">_xlfn.AGGREGATE(4,7,A$12:A34)+1</f>
        <v>22</v>
      </c>
      <c r="B35" s="462" t="s">
        <v>163</v>
      </c>
      <c r="C35" s="112" t="s">
        <v>187</v>
      </c>
      <c r="D35" s="228" t="str">
        <f>VLOOKUP(B35,[2]T3!$B$2:$D$328,3,FALSE)</f>
        <v>290936998</v>
      </c>
      <c r="E35" s="209" t="s">
        <v>221</v>
      </c>
      <c r="F35" s="223" t="str">
        <f>INDEX([3]SACOM!$C$7:$C$335,MATCH(B35,[3]SACOM!$B$7:$B$335,0))</f>
        <v>060310828656</v>
      </c>
      <c r="G35" s="445" t="s">
        <v>242</v>
      </c>
      <c r="H35" s="446">
        <v>6</v>
      </c>
      <c r="I35" s="447">
        <v>7515057</v>
      </c>
      <c r="J35" s="448"/>
      <c r="K35" s="447"/>
      <c r="L35" s="447">
        <f t="shared" si="0"/>
        <v>7515057</v>
      </c>
      <c r="M35" s="447"/>
      <c r="N35" s="447">
        <f t="shared" si="1"/>
        <v>0</v>
      </c>
      <c r="O35" s="447"/>
      <c r="P35" s="447">
        <f t="shared" si="2"/>
        <v>7515057</v>
      </c>
      <c r="Q35" s="447">
        <f t="shared" si="3"/>
        <v>601204.56000000006</v>
      </c>
      <c r="R35" s="449">
        <f t="shared" si="4"/>
        <v>112725.855</v>
      </c>
      <c r="S35" s="447">
        <f t="shared" si="5"/>
        <v>75150.570000000007</v>
      </c>
      <c r="T35" s="449"/>
      <c r="U35" s="449">
        <f t="shared" si="6"/>
        <v>789080.9850000001</v>
      </c>
      <c r="V35" s="449"/>
      <c r="W35" s="449"/>
      <c r="X35" s="449"/>
      <c r="Y35" s="449"/>
      <c r="Z35" s="449"/>
      <c r="AA35" s="455">
        <f t="shared" si="7"/>
        <v>6725976.0149999997</v>
      </c>
      <c r="AB35" s="101">
        <f t="shared" ca="1" si="8"/>
        <v>22</v>
      </c>
      <c r="AC35" s="118"/>
      <c r="AD35" s="155"/>
      <c r="AE35" s="155"/>
      <c r="AF35" s="128"/>
      <c r="AG35" s="110"/>
      <c r="AH35" s="110"/>
      <c r="AK35" s="111"/>
    </row>
    <row r="36" spans="1:39" s="104" customFormat="1" ht="33" customHeight="1">
      <c r="A36" s="202">
        <f ca="1">_xlfn.AGGREGATE(4,7,A$12:A35)+1</f>
        <v>23</v>
      </c>
      <c r="B36" s="462" t="s">
        <v>146</v>
      </c>
      <c r="C36" s="112" t="s">
        <v>187</v>
      </c>
      <c r="D36" s="228" t="str">
        <f>VLOOKUP(B36,[2]T3!$B$2:$D$328,3,FALSE)</f>
        <v>001186011890</v>
      </c>
      <c r="E36" s="209" t="s">
        <v>222</v>
      </c>
      <c r="F36" s="223" t="str">
        <f>INDEX([3]SACOM!$C$7:$C$335,MATCH(B36,[3]SACOM!$B$7:$B$335,0))</f>
        <v>060310826122</v>
      </c>
      <c r="G36" s="445" t="s">
        <v>242</v>
      </c>
      <c r="H36" s="446">
        <v>7</v>
      </c>
      <c r="I36" s="447">
        <v>8041111</v>
      </c>
      <c r="J36" s="448"/>
      <c r="K36" s="447"/>
      <c r="L36" s="447">
        <f t="shared" si="0"/>
        <v>8041111</v>
      </c>
      <c r="M36" s="447"/>
      <c r="N36" s="447">
        <f t="shared" si="1"/>
        <v>0</v>
      </c>
      <c r="O36" s="447"/>
      <c r="P36" s="447">
        <f t="shared" si="2"/>
        <v>8041111</v>
      </c>
      <c r="Q36" s="447">
        <f t="shared" si="3"/>
        <v>643288.88</v>
      </c>
      <c r="R36" s="449">
        <f t="shared" si="4"/>
        <v>120616.66499999999</v>
      </c>
      <c r="S36" s="447">
        <f t="shared" si="5"/>
        <v>80411.11</v>
      </c>
      <c r="T36" s="449"/>
      <c r="U36" s="449">
        <f t="shared" si="6"/>
        <v>844316.65500000003</v>
      </c>
      <c r="V36" s="449"/>
      <c r="W36" s="451"/>
      <c r="X36" s="451"/>
      <c r="Y36" s="451"/>
      <c r="Z36" s="451"/>
      <c r="AA36" s="455">
        <f t="shared" si="7"/>
        <v>7196794.3449999997</v>
      </c>
      <c r="AB36" s="101">
        <f t="shared" ca="1" si="8"/>
        <v>23</v>
      </c>
      <c r="AC36" s="255"/>
      <c r="AD36" s="103"/>
      <c r="AE36" s="103" t="s">
        <v>64</v>
      </c>
      <c r="AF36" s="102"/>
      <c r="AG36" s="562"/>
      <c r="AK36" s="105"/>
    </row>
    <row r="37" spans="1:39" s="104" customFormat="1" ht="33" customHeight="1">
      <c r="A37" s="202">
        <f ca="1">_xlfn.AGGREGATE(4,7,A$12:A36)+1</f>
        <v>24</v>
      </c>
      <c r="B37" s="498" t="s">
        <v>420</v>
      </c>
      <c r="C37" s="112" t="s">
        <v>187</v>
      </c>
      <c r="D37" s="228"/>
      <c r="E37" s="209"/>
      <c r="F37" s="223" t="str">
        <f>INDEX([3]SACOM!$C$7:$C$335,MATCH(B37,[3]SACOM!$B$7:$B$335,0))</f>
        <v>060311004101</v>
      </c>
      <c r="G37" s="445" t="s">
        <v>242</v>
      </c>
      <c r="H37" s="446">
        <v>1</v>
      </c>
      <c r="I37" s="447">
        <v>5358132</v>
      </c>
      <c r="J37" s="448"/>
      <c r="K37" s="447"/>
      <c r="L37" s="447">
        <f t="shared" si="0"/>
        <v>5358132</v>
      </c>
      <c r="M37" s="447"/>
      <c r="N37" s="447">
        <f t="shared" si="1"/>
        <v>0</v>
      </c>
      <c r="O37" s="447"/>
      <c r="P37" s="447">
        <f t="shared" si="2"/>
        <v>5358132</v>
      </c>
      <c r="Q37" s="447">
        <f t="shared" si="3"/>
        <v>428650.56</v>
      </c>
      <c r="R37" s="449">
        <f t="shared" si="4"/>
        <v>80371.98</v>
      </c>
      <c r="S37" s="447">
        <f t="shared" si="5"/>
        <v>53581.32</v>
      </c>
      <c r="T37" s="449"/>
      <c r="U37" s="449">
        <f t="shared" si="6"/>
        <v>562603.86</v>
      </c>
      <c r="V37" s="449"/>
      <c r="W37" s="451"/>
      <c r="X37" s="451"/>
      <c r="Y37" s="451"/>
      <c r="Z37" s="451"/>
      <c r="AA37" s="455">
        <f t="shared" si="7"/>
        <v>4795528.1399999997</v>
      </c>
      <c r="AB37" s="101"/>
      <c r="AC37" s="255"/>
      <c r="AD37" s="255" t="s">
        <v>421</v>
      </c>
      <c r="AE37" s="103"/>
      <c r="AF37" s="144"/>
      <c r="AG37" s="562"/>
      <c r="AK37" s="105"/>
    </row>
    <row r="38" spans="1:39" s="104" customFormat="1" ht="36.75" customHeight="1">
      <c r="A38" s="202">
        <f ca="1">_xlfn.AGGREGATE(4,7,A$12:A37)+1</f>
        <v>25</v>
      </c>
      <c r="B38" s="463" t="s">
        <v>137</v>
      </c>
      <c r="C38" s="112" t="s">
        <v>188</v>
      </c>
      <c r="D38" s="228" t="str">
        <f>VLOOKUP(B38,[2]T3!$B$2:$D$328,3,FALSE)</f>
        <v>095189000070</v>
      </c>
      <c r="E38" s="209" t="s">
        <v>213</v>
      </c>
      <c r="F38" s="223" t="str">
        <f>INDEX([3]SACOM!$C$7:$C$335,MATCH(B38,[3]SACOM!$B$7:$B$335,0))</f>
        <v>060282013358</v>
      </c>
      <c r="G38" s="445" t="s">
        <v>242</v>
      </c>
      <c r="H38" s="499">
        <v>6</v>
      </c>
      <c r="I38" s="447">
        <v>7515057</v>
      </c>
      <c r="J38" s="448"/>
      <c r="K38" s="447"/>
      <c r="L38" s="447">
        <f t="shared" si="0"/>
        <v>7515057</v>
      </c>
      <c r="M38" s="447"/>
      <c r="N38" s="447">
        <f t="shared" si="1"/>
        <v>0</v>
      </c>
      <c r="O38" s="447"/>
      <c r="P38" s="447">
        <f t="shared" si="2"/>
        <v>7515057</v>
      </c>
      <c r="Q38" s="447">
        <f t="shared" si="3"/>
        <v>601204.56000000006</v>
      </c>
      <c r="R38" s="449">
        <f t="shared" si="4"/>
        <v>112725.855</v>
      </c>
      <c r="S38" s="447">
        <f t="shared" si="5"/>
        <v>75150.570000000007</v>
      </c>
      <c r="T38" s="449"/>
      <c r="U38" s="449">
        <f t="shared" si="6"/>
        <v>789080.9850000001</v>
      </c>
      <c r="V38" s="449"/>
      <c r="W38" s="449"/>
      <c r="X38" s="449"/>
      <c r="Y38" s="449"/>
      <c r="Z38" s="449"/>
      <c r="AA38" s="455">
        <f t="shared" si="7"/>
        <v>6725976.0149999997</v>
      </c>
      <c r="AB38" s="101">
        <f t="shared" ref="AB38:AB46" ca="1" si="9">A38</f>
        <v>25</v>
      </c>
      <c r="AC38" s="134"/>
      <c r="AD38" s="102" t="s">
        <v>83</v>
      </c>
      <c r="AE38" s="102" t="s">
        <v>112</v>
      </c>
      <c r="AG38" s="562"/>
      <c r="AK38" s="105"/>
    </row>
    <row r="39" spans="1:39" s="104" customFormat="1" ht="31.5" customHeight="1">
      <c r="A39" s="202">
        <f ca="1">_xlfn.AGGREGATE(4,7,A$12:A38)+1</f>
        <v>26</v>
      </c>
      <c r="B39" s="462" t="s">
        <v>136</v>
      </c>
      <c r="C39" s="112" t="s">
        <v>189</v>
      </c>
      <c r="D39" s="228" t="str">
        <f>VLOOKUP(B39,[2]T3!$B$2:$D$328,3,FALSE)</f>
        <v>023680986</v>
      </c>
      <c r="E39" s="209" t="s">
        <v>212</v>
      </c>
      <c r="F39" s="223" t="str">
        <f>INDEX([3]SACOM!$C$7:$C$335,MATCH(B39,[3]SACOM!$B$7:$B$335,0))</f>
        <v xml:space="preserve">060310667458 </v>
      </c>
      <c r="G39" s="445" t="s">
        <v>242</v>
      </c>
      <c r="H39" s="446">
        <v>6</v>
      </c>
      <c r="I39" s="447">
        <v>7515057</v>
      </c>
      <c r="J39" s="448"/>
      <c r="K39" s="447"/>
      <c r="L39" s="447">
        <f t="shared" si="0"/>
        <v>7515057</v>
      </c>
      <c r="M39" s="447"/>
      <c r="N39" s="447">
        <f t="shared" si="1"/>
        <v>0</v>
      </c>
      <c r="O39" s="447"/>
      <c r="P39" s="447">
        <f t="shared" si="2"/>
        <v>7515057</v>
      </c>
      <c r="Q39" s="447">
        <f t="shared" si="3"/>
        <v>601204.56000000006</v>
      </c>
      <c r="R39" s="449">
        <f t="shared" si="4"/>
        <v>112725.855</v>
      </c>
      <c r="S39" s="447">
        <f t="shared" si="5"/>
        <v>75150.570000000007</v>
      </c>
      <c r="T39" s="449"/>
      <c r="U39" s="449">
        <f t="shared" si="6"/>
        <v>789080.9850000001</v>
      </c>
      <c r="V39" s="449"/>
      <c r="W39" s="500"/>
      <c r="X39" s="500"/>
      <c r="Y39" s="500"/>
      <c r="Z39" s="500"/>
      <c r="AA39" s="455">
        <f t="shared" si="7"/>
        <v>6725976.0149999997</v>
      </c>
      <c r="AB39" s="101">
        <f t="shared" ca="1" si="9"/>
        <v>26</v>
      </c>
      <c r="AC39" s="118"/>
      <c r="AD39" s="114" t="s">
        <v>107</v>
      </c>
      <c r="AE39" s="115"/>
      <c r="AF39" s="115"/>
      <c r="AG39" s="115"/>
      <c r="AH39" s="115"/>
      <c r="AK39" s="105"/>
    </row>
    <row r="40" spans="1:39" s="104" customFormat="1" ht="33" customHeight="1">
      <c r="A40" s="202">
        <f ca="1">_xlfn.AGGREGATE(4,7,A$12:A39)+1</f>
        <v>27</v>
      </c>
      <c r="B40" s="462" t="s">
        <v>301</v>
      </c>
      <c r="C40" s="112" t="s">
        <v>189</v>
      </c>
      <c r="D40" s="228"/>
      <c r="E40" s="223" t="s">
        <v>325</v>
      </c>
      <c r="F40" s="223" t="str">
        <f>INDEX([3]SACOM!$C$7:$C$335,MATCH(B40,[3]SACOM!$B$7:$B$335,0))</f>
        <v>060310701389</v>
      </c>
      <c r="G40" s="445" t="s">
        <v>242</v>
      </c>
      <c r="H40" s="446">
        <v>2</v>
      </c>
      <c r="I40" s="447">
        <v>5733201</v>
      </c>
      <c r="J40" s="448"/>
      <c r="K40" s="447"/>
      <c r="L40" s="447">
        <f t="shared" si="0"/>
        <v>5733201</v>
      </c>
      <c r="M40" s="447"/>
      <c r="N40" s="447">
        <f t="shared" si="1"/>
        <v>0</v>
      </c>
      <c r="O40" s="447"/>
      <c r="P40" s="447">
        <f t="shared" si="2"/>
        <v>5733201</v>
      </c>
      <c r="Q40" s="447">
        <f t="shared" si="3"/>
        <v>458656.08</v>
      </c>
      <c r="R40" s="449">
        <f t="shared" si="4"/>
        <v>85998.014999999999</v>
      </c>
      <c r="S40" s="447">
        <f t="shared" si="5"/>
        <v>57332.01</v>
      </c>
      <c r="T40" s="449"/>
      <c r="U40" s="449">
        <f t="shared" si="6"/>
        <v>601986.10499999998</v>
      </c>
      <c r="V40" s="449"/>
      <c r="W40" s="451"/>
      <c r="X40" s="451"/>
      <c r="Y40" s="451"/>
      <c r="Z40" s="451"/>
      <c r="AA40" s="455">
        <f t="shared" si="7"/>
        <v>5131214.8949999996</v>
      </c>
      <c r="AB40" s="101">
        <f t="shared" ca="1" si="9"/>
        <v>27</v>
      </c>
      <c r="AC40" s="255"/>
      <c r="AD40" s="255" t="s">
        <v>302</v>
      </c>
      <c r="AE40" s="117"/>
      <c r="AF40" s="144"/>
      <c r="AG40" s="562"/>
      <c r="AK40" s="105"/>
    </row>
    <row r="41" spans="1:39" s="104" customFormat="1" ht="55.5" customHeight="1">
      <c r="A41" s="202">
        <f ca="1">_xlfn.AGGREGATE(4,7,A$12:A40)+1</f>
        <v>28</v>
      </c>
      <c r="B41" s="537" t="s">
        <v>181</v>
      </c>
      <c r="C41" s="396" t="s">
        <v>364</v>
      </c>
      <c r="D41" s="397" t="str">
        <f>VLOOKUP(B41,[2]T3!$B$2:$D$328,3,FALSE)</f>
        <v>025273555</v>
      </c>
      <c r="E41" s="398" t="s">
        <v>223</v>
      </c>
      <c r="F41" s="223" t="str">
        <f>INDEX([3]SACOM!$C$7:$C$335,MATCH(B41,[3]SACOM!$B$7:$B$335,0))</f>
        <v>060310668179</v>
      </c>
      <c r="G41" s="538" t="s">
        <v>246</v>
      </c>
      <c r="H41" s="539">
        <v>4</v>
      </c>
      <c r="I41" s="540">
        <v>5417685</v>
      </c>
      <c r="J41" s="541"/>
      <c r="K41" s="540"/>
      <c r="L41" s="540">
        <f t="shared" si="0"/>
        <v>5417685</v>
      </c>
      <c r="M41" s="540">
        <v>12</v>
      </c>
      <c r="N41" s="540">
        <f t="shared" si="1"/>
        <v>2500470</v>
      </c>
      <c r="O41" s="540"/>
      <c r="P41" s="540">
        <f t="shared" si="2"/>
        <v>2917215</v>
      </c>
      <c r="Q41" s="540">
        <f t="shared" si="3"/>
        <v>433414.8</v>
      </c>
      <c r="R41" s="542">
        <f t="shared" si="4"/>
        <v>81265.274999999994</v>
      </c>
      <c r="S41" s="540">
        <f t="shared" si="5"/>
        <v>54176.85</v>
      </c>
      <c r="T41" s="542"/>
      <c r="U41" s="542">
        <f t="shared" si="6"/>
        <v>568856.92499999993</v>
      </c>
      <c r="V41" s="542"/>
      <c r="W41" s="543"/>
      <c r="X41" s="543"/>
      <c r="Y41" s="543"/>
      <c r="Z41" s="543"/>
      <c r="AA41" s="544">
        <f t="shared" si="7"/>
        <v>2348358.0750000002</v>
      </c>
      <c r="AB41" s="404">
        <f t="shared" ca="1" si="9"/>
        <v>28</v>
      </c>
      <c r="AC41" s="408" t="s">
        <v>425</v>
      </c>
      <c r="AD41" s="145" t="s">
        <v>183</v>
      </c>
      <c r="AE41" s="117"/>
      <c r="AF41" s="144"/>
      <c r="AG41" s="562"/>
      <c r="AK41" s="105"/>
    </row>
    <row r="42" spans="1:39" s="104" customFormat="1" ht="37.9" customHeight="1">
      <c r="A42" s="202">
        <f ca="1">_xlfn.AGGREGATE(4,7,A$12:A41)+1</f>
        <v>29</v>
      </c>
      <c r="B42" s="462" t="s">
        <v>398</v>
      </c>
      <c r="C42" s="112" t="s">
        <v>395</v>
      </c>
      <c r="D42" s="228"/>
      <c r="E42" s="209"/>
      <c r="F42" s="223" t="str">
        <f>INDEX([3]SACOM!$C$7:$C$335,MATCH(B42,[3]SACOM!$B$7:$B$335,0))</f>
        <v>060310987118</v>
      </c>
      <c r="G42" s="445" t="s">
        <v>245</v>
      </c>
      <c r="H42" s="446">
        <v>1</v>
      </c>
      <c r="I42" s="447">
        <v>5007600</v>
      </c>
      <c r="J42" s="448"/>
      <c r="K42" s="447"/>
      <c r="L42" s="447">
        <f t="shared" si="0"/>
        <v>5007600</v>
      </c>
      <c r="M42" s="447"/>
      <c r="N42" s="447">
        <f t="shared" si="1"/>
        <v>0</v>
      </c>
      <c r="O42" s="447"/>
      <c r="P42" s="447">
        <f t="shared" si="2"/>
        <v>5007600</v>
      </c>
      <c r="Q42" s="447">
        <f t="shared" si="3"/>
        <v>400608</v>
      </c>
      <c r="R42" s="449">
        <f t="shared" si="4"/>
        <v>75114</v>
      </c>
      <c r="S42" s="447">
        <f t="shared" si="5"/>
        <v>50076</v>
      </c>
      <c r="T42" s="449"/>
      <c r="U42" s="449">
        <f t="shared" si="6"/>
        <v>525798</v>
      </c>
      <c r="V42" s="449"/>
      <c r="W42" s="449"/>
      <c r="X42" s="449"/>
      <c r="Y42" s="449"/>
      <c r="Z42" s="449"/>
      <c r="AA42" s="455">
        <f t="shared" si="7"/>
        <v>4481802</v>
      </c>
      <c r="AB42" s="101">
        <f t="shared" ca="1" si="9"/>
        <v>29</v>
      </c>
      <c r="AC42" s="118"/>
      <c r="AD42" s="419" t="s">
        <v>396</v>
      </c>
      <c r="AE42" s="432"/>
      <c r="AF42" s="433"/>
      <c r="AG42" s="60"/>
      <c r="AH42" s="60"/>
      <c r="AI42" s="42"/>
      <c r="AJ42" s="42"/>
      <c r="AK42" s="428"/>
      <c r="AL42" s="42"/>
      <c r="AM42" s="42"/>
    </row>
    <row r="43" spans="1:39" s="562" customFormat="1" ht="31.9" customHeight="1">
      <c r="A43" s="202">
        <f ca="1">_xlfn.AGGREGATE(4,7,A$12:A42)+1</f>
        <v>30</v>
      </c>
      <c r="B43" s="462" t="s">
        <v>143</v>
      </c>
      <c r="C43" s="112" t="s">
        <v>10</v>
      </c>
      <c r="D43" s="228" t="str">
        <f>VLOOKUP(B43,[2]T3!$B$2:$D$328,3,FALSE)</f>
        <v>273417648</v>
      </c>
      <c r="E43" s="223" t="s">
        <v>219</v>
      </c>
      <c r="F43" s="223" t="str">
        <f>INDEX([3]SACOM!$C$7:$C$335,MATCH(B43,[3]SACOM!$B$7:$B$335,0))</f>
        <v>060310837061</v>
      </c>
      <c r="G43" s="452" t="s">
        <v>242</v>
      </c>
      <c r="H43" s="453">
        <v>4</v>
      </c>
      <c r="I43" s="447">
        <v>6563942</v>
      </c>
      <c r="J43" s="448"/>
      <c r="K43" s="447"/>
      <c r="L43" s="447">
        <f t="shared" si="0"/>
        <v>6563942</v>
      </c>
      <c r="M43" s="447"/>
      <c r="N43" s="447">
        <f t="shared" si="1"/>
        <v>0</v>
      </c>
      <c r="O43" s="447"/>
      <c r="P43" s="447">
        <f t="shared" si="2"/>
        <v>6563942</v>
      </c>
      <c r="Q43" s="447">
        <f t="shared" si="3"/>
        <v>525115.36</v>
      </c>
      <c r="R43" s="449">
        <f t="shared" si="4"/>
        <v>98459.12999999999</v>
      </c>
      <c r="S43" s="447">
        <f t="shared" si="5"/>
        <v>65639.42</v>
      </c>
      <c r="T43" s="449"/>
      <c r="U43" s="449">
        <f t="shared" si="6"/>
        <v>689213.91</v>
      </c>
      <c r="V43" s="449"/>
      <c r="W43" s="449"/>
      <c r="X43" s="447"/>
      <c r="Y43" s="447"/>
      <c r="Z43" s="449"/>
      <c r="AA43" s="455">
        <f t="shared" si="7"/>
        <v>5874728.0899999999</v>
      </c>
      <c r="AB43" s="101">
        <f t="shared" ca="1" si="9"/>
        <v>30</v>
      </c>
      <c r="AC43" s="102"/>
      <c r="AD43" s="117" t="s">
        <v>116</v>
      </c>
      <c r="AE43" s="109"/>
      <c r="AF43" s="120"/>
      <c r="AG43" s="110"/>
      <c r="AH43" s="110"/>
      <c r="AK43" s="111"/>
    </row>
    <row r="44" spans="1:39" s="104" customFormat="1" ht="31.5" customHeight="1">
      <c r="A44" s="202">
        <f ca="1">_xlfn.AGGREGATE(4,7,A$12:A43)+1</f>
        <v>31</v>
      </c>
      <c r="B44" s="462" t="s">
        <v>309</v>
      </c>
      <c r="C44" s="112" t="s">
        <v>310</v>
      </c>
      <c r="D44" s="228"/>
      <c r="E44" s="223"/>
      <c r="F44" s="223" t="str">
        <f>INDEX([3]SACOM!$C$7:$C$335,MATCH(B44,[3]SACOM!$B$7:$B$335,0))</f>
        <v>060311028599</v>
      </c>
      <c r="G44" s="445" t="s">
        <v>245</v>
      </c>
      <c r="H44" s="446">
        <v>2</v>
      </c>
      <c r="I44" s="447">
        <v>5257980</v>
      </c>
      <c r="J44" s="448"/>
      <c r="K44" s="447"/>
      <c r="L44" s="447">
        <f t="shared" si="0"/>
        <v>5257980</v>
      </c>
      <c r="M44" s="447"/>
      <c r="N44" s="447">
        <f t="shared" si="1"/>
        <v>0</v>
      </c>
      <c r="O44" s="447"/>
      <c r="P44" s="447">
        <f t="shared" si="2"/>
        <v>5257980</v>
      </c>
      <c r="Q44" s="447">
        <f t="shared" si="3"/>
        <v>420638.4</v>
      </c>
      <c r="R44" s="449">
        <f t="shared" si="4"/>
        <v>78869.7</v>
      </c>
      <c r="S44" s="447">
        <f t="shared" si="5"/>
        <v>52579.8</v>
      </c>
      <c r="T44" s="449"/>
      <c r="U44" s="449">
        <f t="shared" si="6"/>
        <v>552087.9</v>
      </c>
      <c r="V44" s="449"/>
      <c r="W44" s="451"/>
      <c r="X44" s="535"/>
      <c r="Y44" s="536"/>
      <c r="Z44" s="451"/>
      <c r="AA44" s="455">
        <f>P44-U44+W44+X45+Z44</f>
        <v>4705892.0999999996</v>
      </c>
      <c r="AB44" s="101">
        <f t="shared" ca="1" si="9"/>
        <v>31</v>
      </c>
      <c r="AC44" s="255"/>
      <c r="AD44" s="255" t="s">
        <v>308</v>
      </c>
      <c r="AE44" s="117"/>
      <c r="AF44" s="144"/>
      <c r="AG44" s="562"/>
      <c r="AK44" s="105"/>
    </row>
    <row r="45" spans="1:39" s="104" customFormat="1" ht="30" customHeight="1">
      <c r="A45" s="202">
        <f ca="1">_xlfn.AGGREGATE(4,7,A$12:A44)+1</f>
        <v>32</v>
      </c>
      <c r="B45" s="462" t="s">
        <v>142</v>
      </c>
      <c r="C45" s="112" t="s">
        <v>10</v>
      </c>
      <c r="D45" s="228" t="str">
        <f>VLOOKUP(B45,[2]T3!$B$2:$D$328,3,FALSE)</f>
        <v>250835904</v>
      </c>
      <c r="E45" s="223" t="s">
        <v>218</v>
      </c>
      <c r="F45" s="223" t="str">
        <f>INDEX([3]SACOM!$C$7:$C$335,MATCH(B45,[3]SACOM!$B$7:$B$335,0))</f>
        <v>060310750118</v>
      </c>
      <c r="G45" s="452" t="s">
        <v>242</v>
      </c>
      <c r="H45" s="453">
        <v>4</v>
      </c>
      <c r="I45" s="447">
        <v>6563942</v>
      </c>
      <c r="J45" s="448"/>
      <c r="K45" s="447"/>
      <c r="L45" s="447">
        <f t="shared" si="0"/>
        <v>6563942</v>
      </c>
      <c r="M45" s="447"/>
      <c r="N45" s="447">
        <f t="shared" si="1"/>
        <v>0</v>
      </c>
      <c r="O45" s="447"/>
      <c r="P45" s="447">
        <f t="shared" si="2"/>
        <v>6563942</v>
      </c>
      <c r="Q45" s="447">
        <f t="shared" si="3"/>
        <v>525115.36</v>
      </c>
      <c r="R45" s="449">
        <f t="shared" si="4"/>
        <v>98459.12999999999</v>
      </c>
      <c r="S45" s="447">
        <f t="shared" si="5"/>
        <v>65639.42</v>
      </c>
      <c r="T45" s="449"/>
      <c r="U45" s="449">
        <f t="shared" si="6"/>
        <v>689213.91</v>
      </c>
      <c r="V45" s="449"/>
      <c r="W45" s="449"/>
      <c r="X45" s="451"/>
      <c r="Y45" s="449"/>
      <c r="Z45" s="449"/>
      <c r="AA45" s="455">
        <f>P45-U45+W45+Y45+Z45</f>
        <v>5874728.0899999999</v>
      </c>
      <c r="AB45" s="101">
        <f t="shared" ca="1" si="9"/>
        <v>32</v>
      </c>
      <c r="AC45" s="102"/>
      <c r="AD45" s="127" t="s">
        <v>115</v>
      </c>
      <c r="AE45" s="109"/>
      <c r="AF45" s="120"/>
      <c r="AG45" s="110"/>
      <c r="AH45" s="110"/>
      <c r="AK45" s="111"/>
    </row>
    <row r="46" spans="1:39" s="104" customFormat="1" ht="42.75" customHeight="1">
      <c r="A46" s="202">
        <f ca="1">_xlfn.AGGREGATE(4,7,A$12:A45)+1</f>
        <v>33</v>
      </c>
      <c r="B46" s="462" t="s">
        <v>165</v>
      </c>
      <c r="C46" s="112" t="s">
        <v>419</v>
      </c>
      <c r="D46" s="226"/>
      <c r="E46" s="209"/>
      <c r="F46" s="223" t="str">
        <f>INDEX([3]SACOM!$C$7:$C$335,MATCH(B46,[3]SACOM!$B$7:$B$335,0))</f>
        <v>060987245810</v>
      </c>
      <c r="G46" s="452" t="s">
        <v>242</v>
      </c>
      <c r="H46" s="446">
        <v>12</v>
      </c>
      <c r="I46" s="447">
        <v>11278075</v>
      </c>
      <c r="J46" s="454">
        <v>0.11</v>
      </c>
      <c r="K46" s="448">
        <f>I46*J46</f>
        <v>1240588.25</v>
      </c>
      <c r="L46" s="447">
        <f t="shared" si="0"/>
        <v>12518663</v>
      </c>
      <c r="M46" s="447"/>
      <c r="N46" s="447">
        <f t="shared" si="1"/>
        <v>0</v>
      </c>
      <c r="O46" s="447"/>
      <c r="P46" s="447">
        <f t="shared" si="2"/>
        <v>12518663</v>
      </c>
      <c r="Q46" s="447">
        <f t="shared" si="3"/>
        <v>1001493.04</v>
      </c>
      <c r="R46" s="449">
        <f t="shared" si="4"/>
        <v>187779.94500000001</v>
      </c>
      <c r="S46" s="447">
        <f t="shared" si="5"/>
        <v>125186.63</v>
      </c>
      <c r="T46" s="449"/>
      <c r="U46" s="449">
        <f t="shared" si="6"/>
        <v>1314459.6150000002</v>
      </c>
      <c r="V46" s="449"/>
      <c r="W46" s="449"/>
      <c r="X46" s="449"/>
      <c r="Y46" s="449"/>
      <c r="Z46" s="449"/>
      <c r="AA46" s="455">
        <f>P46-U46+W46+Y46+Z46</f>
        <v>11204203.385</v>
      </c>
      <c r="AB46" s="101">
        <f t="shared" ca="1" si="9"/>
        <v>33</v>
      </c>
      <c r="AC46" s="102"/>
      <c r="AD46" s="117"/>
      <c r="AE46" s="561"/>
      <c r="AF46" s="562"/>
      <c r="AG46" s="562"/>
      <c r="AK46" s="105"/>
    </row>
    <row r="47" spans="1:39" s="562" customFormat="1" ht="39" customHeight="1">
      <c r="A47" s="202">
        <f ca="1">_xlfn.AGGREGATE(4,7,A$12:A46)+1</f>
        <v>34</v>
      </c>
      <c r="B47" s="462" t="s">
        <v>348</v>
      </c>
      <c r="C47" s="112" t="s">
        <v>419</v>
      </c>
      <c r="D47" s="228"/>
      <c r="E47" s="209"/>
      <c r="F47" s="223" t="str">
        <f>INDEX([3]SACOM!$C$7:$C$335,MATCH(B47,[3]SACOM!$B$7:$B$335,0))</f>
        <v>060310749136</v>
      </c>
      <c r="G47" s="445" t="s">
        <v>245</v>
      </c>
      <c r="H47" s="446">
        <v>5</v>
      </c>
      <c r="I47" s="447">
        <v>6086769</v>
      </c>
      <c r="J47" s="448"/>
      <c r="K47" s="447"/>
      <c r="L47" s="447">
        <f t="shared" si="0"/>
        <v>6086769</v>
      </c>
      <c r="M47" s="447"/>
      <c r="N47" s="447">
        <f t="shared" si="1"/>
        <v>0</v>
      </c>
      <c r="O47" s="447"/>
      <c r="P47" s="447">
        <f t="shared" si="2"/>
        <v>6086769</v>
      </c>
      <c r="Q47" s="447">
        <f t="shared" si="3"/>
        <v>486941.52</v>
      </c>
      <c r="R47" s="449">
        <f t="shared" si="4"/>
        <v>91301.535000000003</v>
      </c>
      <c r="S47" s="447">
        <f t="shared" si="5"/>
        <v>60867.69</v>
      </c>
      <c r="T47" s="449"/>
      <c r="U47" s="449">
        <f t="shared" si="6"/>
        <v>639110.74500000011</v>
      </c>
      <c r="V47" s="449"/>
      <c r="W47" s="449"/>
      <c r="X47" s="450"/>
      <c r="Y47" s="449"/>
      <c r="Z47" s="449"/>
      <c r="AA47" s="455">
        <f>P47-U47+W47+Y47+Z47</f>
        <v>5447658.2549999999</v>
      </c>
      <c r="AB47" s="101">
        <f t="shared" ref="AB47:AB49" ca="1" si="10">A47</f>
        <v>34</v>
      </c>
      <c r="AC47" s="102"/>
      <c r="AD47" s="102"/>
      <c r="AE47" s="120"/>
      <c r="AF47" s="116"/>
      <c r="AK47" s="561"/>
    </row>
    <row r="48" spans="1:39" s="562" customFormat="1" ht="39" customHeight="1">
      <c r="A48" s="202">
        <f ca="1">_xlfn.AGGREGATE(4,7,A$12:A47)+1</f>
        <v>35</v>
      </c>
      <c r="B48" s="518" t="s">
        <v>416</v>
      </c>
      <c r="C48" s="545" t="s">
        <v>417</v>
      </c>
      <c r="D48" s="265"/>
      <c r="E48" s="415"/>
      <c r="F48" s="223" t="str">
        <f>INDEX([3]SACOM!$C$7:$C$335,MATCH(B48,[3]SACOM!$B$7:$B$335,0))</f>
        <v>060311078200</v>
      </c>
      <c r="G48" s="519" t="s">
        <v>245</v>
      </c>
      <c r="H48" s="520">
        <v>1</v>
      </c>
      <c r="I48" s="521">
        <v>5007600</v>
      </c>
      <c r="J48" s="522"/>
      <c r="K48" s="521"/>
      <c r="L48" s="521">
        <f t="shared" si="0"/>
        <v>5007600</v>
      </c>
      <c r="M48" s="521"/>
      <c r="N48" s="447">
        <f t="shared" si="1"/>
        <v>0</v>
      </c>
      <c r="O48" s="521"/>
      <c r="P48" s="521">
        <f t="shared" si="2"/>
        <v>5007600</v>
      </c>
      <c r="Q48" s="521">
        <f t="shared" si="3"/>
        <v>400608</v>
      </c>
      <c r="R48" s="523">
        <f t="shared" si="4"/>
        <v>75114</v>
      </c>
      <c r="S48" s="521">
        <f t="shared" si="5"/>
        <v>50076</v>
      </c>
      <c r="T48" s="523"/>
      <c r="U48" s="523">
        <f t="shared" si="6"/>
        <v>525798</v>
      </c>
      <c r="V48" s="523"/>
      <c r="W48" s="523"/>
      <c r="X48" s="524"/>
      <c r="Y48" s="523"/>
      <c r="Z48" s="523"/>
      <c r="AA48" s="525">
        <f>P48-U48+W48+Y48+Z48</f>
        <v>4481802</v>
      </c>
      <c r="AB48" s="101">
        <f t="shared" ca="1" si="10"/>
        <v>35</v>
      </c>
      <c r="AC48" s="120" t="s">
        <v>418</v>
      </c>
      <c r="AD48" s="120"/>
      <c r="AE48" s="144"/>
      <c r="AF48" s="116"/>
      <c r="AK48" s="561"/>
    </row>
    <row r="49" spans="1:39" s="104" customFormat="1" ht="34.9" customHeight="1">
      <c r="A49" s="202">
        <f ca="1">_xlfn.AGGREGATE(4,7,A$12:A48)+1</f>
        <v>36</v>
      </c>
      <c r="B49" s="501" t="s">
        <v>280</v>
      </c>
      <c r="C49" s="318" t="s">
        <v>281</v>
      </c>
      <c r="D49" s="230"/>
      <c r="E49" s="319"/>
      <c r="F49" s="319" t="str">
        <f>INDEX([3]SACOM!$C$7:$C$335,MATCH(B49,[3]SACOM!$B$7:$B$335,0))</f>
        <v>060263702789</v>
      </c>
      <c r="G49" s="502" t="s">
        <v>242</v>
      </c>
      <c r="H49" s="503">
        <v>11</v>
      </c>
      <c r="I49" s="504">
        <v>10540257</v>
      </c>
      <c r="J49" s="505"/>
      <c r="K49" s="504"/>
      <c r="L49" s="504">
        <f t="shared" si="0"/>
        <v>10540257</v>
      </c>
      <c r="M49" s="504"/>
      <c r="N49" s="447">
        <f t="shared" si="1"/>
        <v>0</v>
      </c>
      <c r="O49" s="504"/>
      <c r="P49" s="504">
        <f t="shared" si="2"/>
        <v>10540257</v>
      </c>
      <c r="Q49" s="504">
        <v>0</v>
      </c>
      <c r="R49" s="506">
        <v>0</v>
      </c>
      <c r="S49" s="504">
        <v>0</v>
      </c>
      <c r="T49" s="506"/>
      <c r="U49" s="506">
        <f t="shared" si="6"/>
        <v>0</v>
      </c>
      <c r="V49" s="506"/>
      <c r="W49" s="507"/>
      <c r="X49" s="507"/>
      <c r="Y49" s="507"/>
      <c r="Z49" s="507"/>
      <c r="AA49" s="508">
        <f>P49-U49+W49+Y49+Z49</f>
        <v>10540257</v>
      </c>
      <c r="AB49" s="101">
        <f t="shared" ca="1" si="10"/>
        <v>36</v>
      </c>
      <c r="AC49" s="326"/>
      <c r="AD49" s="255" t="s">
        <v>278</v>
      </c>
      <c r="AE49" s="752" t="s">
        <v>330</v>
      </c>
      <c r="AF49" s="753"/>
      <c r="AG49" s="753"/>
      <c r="AK49" s="105"/>
    </row>
    <row r="50" spans="1:39" s="104" customFormat="1" ht="30.75" customHeight="1">
      <c r="A50" s="202">
        <f ca="1">_xlfn.AGGREGATE(4,7,A$12:A49)+1</f>
        <v>37</v>
      </c>
      <c r="B50" s="593"/>
      <c r="C50" s="594"/>
      <c r="D50" s="595"/>
      <c r="E50" s="596"/>
      <c r="F50" s="596"/>
      <c r="G50" s="597"/>
      <c r="H50" s="598"/>
      <c r="I50" s="599"/>
      <c r="J50" s="600"/>
      <c r="K50" s="599"/>
      <c r="L50" s="599"/>
      <c r="M50" s="599"/>
      <c r="N50" s="601"/>
      <c r="O50" s="599"/>
      <c r="P50" s="599"/>
      <c r="Q50" s="599"/>
      <c r="R50" s="602"/>
      <c r="S50" s="599"/>
      <c r="T50" s="602"/>
      <c r="U50" s="602"/>
      <c r="V50" s="602"/>
      <c r="W50" s="603"/>
      <c r="X50" s="603"/>
      <c r="Y50" s="603"/>
      <c r="Z50" s="603"/>
      <c r="AA50" s="604"/>
      <c r="AB50" s="605"/>
      <c r="AC50" s="606"/>
      <c r="AD50" s="607"/>
      <c r="AE50" s="563"/>
      <c r="AF50" s="564"/>
      <c r="AG50" s="564"/>
      <c r="AK50" s="105"/>
    </row>
    <row r="51" spans="1:39" ht="33" customHeight="1">
      <c r="A51" s="88"/>
      <c r="B51" s="565" t="s">
        <v>11</v>
      </c>
      <c r="C51" s="161"/>
      <c r="D51" s="161"/>
      <c r="E51" s="572"/>
      <c r="F51" s="572"/>
      <c r="G51" s="456"/>
      <c r="H51" s="457">
        <f>SUM(H14:H49)</f>
        <v>143</v>
      </c>
      <c r="I51" s="458">
        <f>SUM(I14:I49)+1</f>
        <v>232158828</v>
      </c>
      <c r="J51" s="459">
        <f>SUM(J16:J47)</f>
        <v>0.11</v>
      </c>
      <c r="K51" s="458">
        <f>SUM(K14:K49)</f>
        <v>1240588.25</v>
      </c>
      <c r="L51" s="458">
        <f>SUM(L14:L49)+1</f>
        <v>233399416</v>
      </c>
      <c r="M51" s="458"/>
      <c r="N51" s="458">
        <f>SUM(N14:N49)</f>
        <v>2500470</v>
      </c>
      <c r="O51" s="458">
        <f>SUM(O14:O49)</f>
        <v>0</v>
      </c>
      <c r="P51" s="458">
        <f>SUM(P14:P49)+1</f>
        <v>230898946</v>
      </c>
      <c r="Q51" s="458">
        <f>SUM(Q14:Q49)</f>
        <v>17828732.640000001</v>
      </c>
      <c r="R51" s="458">
        <f>SUM(R14:R49)</f>
        <v>3342887.3699999992</v>
      </c>
      <c r="S51" s="458">
        <f>SUM(S14:S49)+1</f>
        <v>2228592.58</v>
      </c>
      <c r="T51" s="459">
        <f>SUM(T14:T49)</f>
        <v>0</v>
      </c>
      <c r="U51" s="458">
        <f>SUM(U14:U49)+1</f>
        <v>23400212.59</v>
      </c>
      <c r="V51" s="460">
        <f t="shared" ref="V51:AA51" si="11">SUM(V14:V49)</f>
        <v>0</v>
      </c>
      <c r="W51" s="458">
        <f t="shared" si="11"/>
        <v>0</v>
      </c>
      <c r="X51" s="460">
        <f t="shared" si="11"/>
        <v>0</v>
      </c>
      <c r="Y51" s="458">
        <f t="shared" si="11"/>
        <v>0</v>
      </c>
      <c r="Z51" s="461">
        <f t="shared" si="11"/>
        <v>0</v>
      </c>
      <c r="AA51" s="458">
        <f t="shared" si="11"/>
        <v>207498733.40999994</v>
      </c>
      <c r="AB51" s="90"/>
      <c r="AC51" s="91"/>
      <c r="AD51" s="92"/>
      <c r="AE51" s="71" t="s">
        <v>77</v>
      </c>
      <c r="AF51" s="60"/>
      <c r="AG51" s="60"/>
    </row>
    <row r="52" spans="1:39" ht="44.25" hidden="1" customHeight="1">
      <c r="A52" s="588"/>
      <c r="B52" s="142"/>
      <c r="C52" s="162"/>
      <c r="D52" s="162"/>
      <c r="E52" s="204"/>
      <c r="F52" s="204"/>
      <c r="G52" s="47"/>
      <c r="H52" s="571"/>
      <c r="I52" s="52"/>
      <c r="J52" s="571"/>
      <c r="K52" s="52"/>
      <c r="L52" s="52"/>
      <c r="M52" s="52"/>
      <c r="N52" s="52"/>
      <c r="O52" s="52"/>
      <c r="P52" s="52"/>
      <c r="Q52" s="343">
        <v>21574227</v>
      </c>
      <c r="R52" s="343">
        <v>4045167</v>
      </c>
      <c r="S52" s="343">
        <v>2696778</v>
      </c>
      <c r="T52" s="342"/>
      <c r="U52" s="343">
        <v>28316172</v>
      </c>
      <c r="V52" s="342"/>
      <c r="W52" s="342"/>
      <c r="X52" s="342"/>
      <c r="Y52" s="342"/>
      <c r="Z52" s="342"/>
      <c r="AA52" s="343">
        <v>255377566</v>
      </c>
      <c r="AB52" s="54"/>
      <c r="AC52" s="68"/>
      <c r="AD52" s="68"/>
      <c r="AE52" s="69"/>
      <c r="AF52" s="69"/>
      <c r="AG52" s="69"/>
    </row>
    <row r="53" spans="1:39" s="42" customFormat="1" ht="12.6" customHeight="1">
      <c r="A53" s="464"/>
      <c r="B53" s="465"/>
      <c r="C53" s="466"/>
      <c r="D53" s="466"/>
      <c r="E53" s="467"/>
      <c r="F53" s="467"/>
      <c r="G53" s="468"/>
      <c r="H53" s="469"/>
      <c r="I53" s="465"/>
      <c r="J53" s="469"/>
      <c r="K53" s="465"/>
      <c r="L53" s="465"/>
      <c r="M53" s="465"/>
      <c r="N53" s="465"/>
      <c r="O53" s="465"/>
      <c r="P53" s="465"/>
      <c r="Q53" s="470"/>
      <c r="R53" s="470"/>
      <c r="S53" s="470"/>
      <c r="T53" s="465"/>
      <c r="U53" s="470"/>
      <c r="V53" s="465"/>
      <c r="W53" s="465"/>
      <c r="X53" s="465"/>
      <c r="Y53" s="465"/>
      <c r="Z53" s="465"/>
      <c r="AA53" s="470"/>
      <c r="AB53" s="471"/>
      <c r="AC53" s="429"/>
      <c r="AD53" s="429"/>
      <c r="AE53" s="69"/>
      <c r="AF53" s="69"/>
      <c r="AG53" s="69"/>
      <c r="AK53" s="58"/>
    </row>
    <row r="54" spans="1:39" s="42" customFormat="1" ht="18.75" customHeight="1">
      <c r="A54" s="579"/>
      <c r="B54" s="556" t="s">
        <v>12</v>
      </c>
      <c r="C54" s="421" t="s">
        <v>426</v>
      </c>
      <c r="D54" s="421"/>
      <c r="E54" s="472"/>
      <c r="F54" s="472"/>
      <c r="G54" s="473"/>
      <c r="H54" s="473"/>
      <c r="I54" s="473"/>
      <c r="J54" s="584"/>
      <c r="K54" s="473"/>
      <c r="L54" s="473"/>
      <c r="M54" s="473"/>
      <c r="N54" s="473"/>
      <c r="O54" s="473"/>
      <c r="P54" s="473"/>
      <c r="Q54" s="473"/>
      <c r="R54" s="473"/>
      <c r="S54" s="422"/>
      <c r="T54" s="422"/>
      <c r="U54" s="422"/>
      <c r="V54" s="422"/>
      <c r="W54" s="422"/>
      <c r="X54" s="422"/>
      <c r="Y54" s="422"/>
      <c r="Z54" s="422"/>
      <c r="AA54" s="422"/>
      <c r="AB54" s="421"/>
      <c r="AC54" s="475"/>
      <c r="AD54" s="475"/>
      <c r="AE54" s="69"/>
      <c r="AF54" s="60"/>
      <c r="AG54" s="60"/>
      <c r="AK54" s="58"/>
    </row>
    <row r="55" spans="1:39" s="42" customFormat="1" ht="7.5" customHeight="1">
      <c r="A55" s="579"/>
      <c r="B55" s="556"/>
      <c r="C55" s="476"/>
      <c r="D55" s="476"/>
      <c r="E55" s="477"/>
      <c r="F55" s="477"/>
      <c r="G55" s="478"/>
      <c r="H55" s="478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807"/>
      <c r="AC55" s="807"/>
      <c r="AD55" s="580"/>
      <c r="AE55" s="794" t="e">
        <f>1000000-#REF!</f>
        <v>#REF!</v>
      </c>
      <c r="AF55" s="792"/>
      <c r="AG55" s="792"/>
      <c r="AK55" s="58"/>
    </row>
    <row r="56" spans="1:39" s="581" customFormat="1" ht="21" customHeight="1">
      <c r="C56" s="486"/>
      <c r="D56" s="486"/>
      <c r="E56" s="487"/>
      <c r="F56" s="487"/>
      <c r="J56" s="582"/>
      <c r="S56" s="801" t="s">
        <v>423</v>
      </c>
      <c r="T56" s="801"/>
      <c r="U56" s="801"/>
      <c r="V56" s="801"/>
      <c r="W56" s="801"/>
      <c r="X56" s="801"/>
      <c r="Y56" s="801"/>
      <c r="Z56" s="801"/>
      <c r="AA56" s="801"/>
      <c r="AB56" s="801"/>
      <c r="AC56" s="801"/>
      <c r="AD56" s="802"/>
      <c r="AE56" s="798"/>
      <c r="AF56" s="798"/>
      <c r="AG56" s="798"/>
      <c r="AK56" s="489"/>
    </row>
    <row r="57" spans="1:39" s="581" customFormat="1" ht="15.75" customHeight="1">
      <c r="A57" s="799" t="s">
        <v>13</v>
      </c>
      <c r="B57" s="799"/>
      <c r="C57" s="799"/>
      <c r="D57" s="799"/>
      <c r="E57" s="799"/>
      <c r="F57" s="799"/>
      <c r="G57" s="799"/>
      <c r="H57" s="799"/>
      <c r="I57" s="799" t="s">
        <v>182</v>
      </c>
      <c r="J57" s="799"/>
      <c r="K57" s="799"/>
      <c r="L57" s="799"/>
      <c r="M57" s="799"/>
      <c r="N57" s="799"/>
      <c r="O57" s="799"/>
      <c r="P57" s="799"/>
      <c r="Q57" s="799"/>
      <c r="R57" s="799"/>
      <c r="S57" s="799" t="s">
        <v>14</v>
      </c>
      <c r="T57" s="799"/>
      <c r="U57" s="799"/>
      <c r="V57" s="799"/>
      <c r="W57" s="799"/>
      <c r="X57" s="799"/>
      <c r="Y57" s="799"/>
      <c r="Z57" s="799"/>
      <c r="AA57" s="799"/>
      <c r="AB57" s="799"/>
      <c r="AC57" s="799"/>
      <c r="AD57" s="803"/>
      <c r="AE57" s="800"/>
      <c r="AF57" s="800"/>
      <c r="AG57" s="800"/>
      <c r="AK57" s="489"/>
    </row>
    <row r="58" spans="1:39" s="581" customFormat="1" ht="15.75" customHeight="1">
      <c r="B58" s="582"/>
      <c r="C58" s="486"/>
      <c r="D58" s="486"/>
      <c r="E58" s="487"/>
      <c r="F58" s="487"/>
      <c r="I58" s="582"/>
      <c r="J58" s="582"/>
      <c r="K58" s="582"/>
      <c r="L58" s="582"/>
      <c r="M58" s="582"/>
      <c r="N58" s="582"/>
      <c r="O58" s="582"/>
      <c r="P58" s="582"/>
      <c r="Q58" s="490"/>
      <c r="R58" s="582"/>
      <c r="S58" s="582"/>
      <c r="T58" s="582"/>
      <c r="U58" s="582"/>
      <c r="V58" s="582"/>
      <c r="AB58" s="796"/>
      <c r="AC58" s="796"/>
      <c r="AD58" s="582"/>
      <c r="AE58" s="798"/>
      <c r="AF58" s="798"/>
      <c r="AG58" s="798"/>
      <c r="AK58" s="489"/>
    </row>
    <row r="59" spans="1:39" s="581" customFormat="1" ht="15.75" customHeight="1">
      <c r="C59" s="486"/>
      <c r="D59" s="486"/>
      <c r="E59" s="487"/>
      <c r="F59" s="487"/>
      <c r="I59" s="582"/>
      <c r="J59" s="582"/>
      <c r="K59" s="582"/>
      <c r="L59" s="582"/>
      <c r="M59" s="582"/>
      <c r="N59" s="582"/>
      <c r="O59" s="582"/>
      <c r="P59" s="582"/>
      <c r="Q59" s="582"/>
      <c r="S59" s="491"/>
      <c r="T59" s="491"/>
      <c r="U59" s="491"/>
      <c r="V59" s="491"/>
      <c r="W59" s="491"/>
      <c r="X59" s="491"/>
      <c r="Y59" s="491"/>
      <c r="Z59" s="491"/>
      <c r="AA59" s="491"/>
      <c r="AB59" s="491"/>
      <c r="AC59" s="491"/>
      <c r="AD59" s="491"/>
      <c r="AE59" s="491"/>
      <c r="AF59" s="492"/>
      <c r="AG59" s="492"/>
      <c r="AH59" s="492"/>
      <c r="AI59" s="492"/>
      <c r="AJ59" s="492"/>
      <c r="AK59" s="492"/>
      <c r="AL59" s="492"/>
      <c r="AM59" s="492"/>
    </row>
    <row r="60" spans="1:39" s="581" customFormat="1" ht="15.75" customHeight="1">
      <c r="C60" s="486"/>
      <c r="D60" s="486"/>
      <c r="E60" s="487"/>
      <c r="F60" s="487"/>
      <c r="I60" s="582"/>
      <c r="J60" s="582"/>
      <c r="K60" s="582"/>
      <c r="L60" s="582"/>
      <c r="M60" s="582"/>
      <c r="N60" s="582"/>
      <c r="O60" s="582"/>
      <c r="P60" s="582"/>
      <c r="Q60" s="582"/>
      <c r="R60" s="582"/>
      <c r="S60" s="582"/>
      <c r="T60" s="582"/>
      <c r="U60" s="582"/>
      <c r="V60" s="582"/>
      <c r="AC60" s="492"/>
      <c r="AD60" s="492"/>
      <c r="AE60" s="492"/>
      <c r="AF60" s="492"/>
      <c r="AG60" s="492"/>
      <c r="AH60" s="492"/>
      <c r="AI60" s="492"/>
      <c r="AJ60" s="492"/>
      <c r="AK60" s="492"/>
      <c r="AL60" s="492"/>
      <c r="AM60" s="492"/>
    </row>
    <row r="61" spans="1:39" s="581" customFormat="1" ht="9.75" customHeight="1">
      <c r="C61" s="486"/>
      <c r="D61" s="486"/>
      <c r="E61" s="487"/>
      <c r="F61" s="487"/>
      <c r="I61" s="582"/>
      <c r="J61" s="582"/>
      <c r="K61" s="582"/>
      <c r="L61" s="582"/>
      <c r="M61" s="582"/>
      <c r="N61" s="582"/>
      <c r="O61" s="582"/>
      <c r="P61" s="582"/>
      <c r="Q61" s="582"/>
      <c r="R61" s="582"/>
      <c r="S61" s="582"/>
      <c r="T61" s="582"/>
      <c r="U61" s="582"/>
      <c r="V61" s="582"/>
      <c r="AB61" s="796"/>
      <c r="AC61" s="796"/>
      <c r="AD61" s="582"/>
      <c r="AE61" s="797"/>
      <c r="AF61" s="798"/>
      <c r="AG61" s="798"/>
      <c r="AK61" s="489"/>
    </row>
    <row r="62" spans="1:39" s="581" customFormat="1" ht="15.75" customHeight="1">
      <c r="C62" s="486"/>
      <c r="D62" s="486"/>
      <c r="E62" s="487"/>
      <c r="F62" s="487"/>
      <c r="I62" s="582"/>
      <c r="J62" s="582"/>
      <c r="K62" s="582"/>
      <c r="L62" s="582"/>
      <c r="M62" s="582"/>
      <c r="N62" s="582"/>
      <c r="O62" s="582"/>
      <c r="P62" s="582"/>
      <c r="Q62" s="582"/>
      <c r="R62" s="582"/>
      <c r="S62" s="582"/>
      <c r="T62" s="582"/>
      <c r="U62" s="582"/>
      <c r="V62" s="582"/>
      <c r="AB62" s="796"/>
      <c r="AC62" s="796"/>
      <c r="AD62" s="582"/>
      <c r="AE62" s="797"/>
      <c r="AF62" s="798"/>
      <c r="AG62" s="798"/>
      <c r="AK62" s="489"/>
    </row>
    <row r="63" spans="1:39" s="581" customFormat="1" ht="15.75" customHeight="1">
      <c r="C63" s="486"/>
      <c r="D63" s="486"/>
      <c r="E63" s="487"/>
      <c r="F63" s="487"/>
      <c r="I63" s="582"/>
      <c r="J63" s="582"/>
      <c r="K63" s="582"/>
      <c r="L63" s="582"/>
      <c r="M63" s="582"/>
      <c r="N63" s="582"/>
      <c r="O63" s="582"/>
      <c r="P63" s="582"/>
      <c r="Q63" s="582"/>
      <c r="R63" s="582"/>
      <c r="S63" s="582"/>
      <c r="T63" s="582"/>
      <c r="U63" s="582"/>
      <c r="V63" s="582"/>
      <c r="AB63" s="796"/>
      <c r="AC63" s="796"/>
      <c r="AD63" s="582"/>
      <c r="AE63" s="797"/>
      <c r="AF63" s="798"/>
      <c r="AG63" s="798"/>
      <c r="AK63" s="489"/>
    </row>
    <row r="64" spans="1:39" s="581" customFormat="1" ht="15.75" customHeight="1">
      <c r="A64" s="799" t="s">
        <v>225</v>
      </c>
      <c r="B64" s="799"/>
      <c r="C64" s="799"/>
      <c r="D64" s="799"/>
      <c r="E64" s="799"/>
      <c r="F64" s="799"/>
      <c r="G64" s="799"/>
      <c r="H64" s="799"/>
      <c r="I64" s="799" t="s">
        <v>122</v>
      </c>
      <c r="J64" s="799"/>
      <c r="K64" s="799"/>
      <c r="L64" s="799"/>
      <c r="M64" s="799"/>
      <c r="N64" s="799"/>
      <c r="O64" s="799"/>
      <c r="P64" s="799"/>
      <c r="Q64" s="799"/>
      <c r="R64" s="799"/>
      <c r="S64" s="799" t="s">
        <v>119</v>
      </c>
      <c r="T64" s="799"/>
      <c r="U64" s="799"/>
      <c r="V64" s="799"/>
      <c r="W64" s="799"/>
      <c r="X64" s="799"/>
      <c r="Y64" s="799"/>
      <c r="Z64" s="799"/>
      <c r="AA64" s="799"/>
      <c r="AB64" s="799"/>
      <c r="AC64" s="799"/>
      <c r="AD64" s="583"/>
      <c r="AE64" s="800"/>
      <c r="AF64" s="800"/>
      <c r="AG64" s="800"/>
      <c r="AK64" s="489"/>
    </row>
    <row r="65" spans="1:37" s="42" customFormat="1">
      <c r="A65" s="480"/>
      <c r="B65" s="481"/>
      <c r="C65" s="482"/>
      <c r="D65" s="482"/>
      <c r="E65" s="483"/>
      <c r="F65" s="483"/>
      <c r="G65" s="481"/>
      <c r="H65" s="481"/>
      <c r="I65" s="481"/>
      <c r="J65" s="585"/>
      <c r="K65" s="481"/>
      <c r="L65" s="481"/>
      <c r="M65" s="481"/>
      <c r="N65" s="481"/>
      <c r="O65" s="481"/>
      <c r="P65" s="481"/>
      <c r="Q65" s="481"/>
      <c r="R65" s="481"/>
      <c r="S65" s="481"/>
      <c r="T65" s="481"/>
      <c r="U65" s="481"/>
      <c r="V65" s="481"/>
      <c r="W65" s="481"/>
      <c r="X65" s="481"/>
      <c r="Y65" s="481"/>
      <c r="Z65" s="481"/>
      <c r="AA65" s="481"/>
      <c r="AB65" s="793"/>
      <c r="AC65" s="793"/>
      <c r="AD65" s="585"/>
      <c r="AE65" s="794"/>
      <c r="AF65" s="792"/>
      <c r="AG65" s="792"/>
      <c r="AK65" s="58"/>
    </row>
    <row r="66" spans="1:37" s="42" customFormat="1">
      <c r="A66" s="579"/>
      <c r="B66" s="579"/>
      <c r="C66" s="485"/>
      <c r="D66" s="485"/>
      <c r="E66" s="472"/>
      <c r="F66" s="472"/>
      <c r="G66" s="473"/>
      <c r="H66" s="473"/>
      <c r="I66" s="473"/>
      <c r="J66" s="584"/>
      <c r="K66" s="473"/>
      <c r="L66" s="473"/>
      <c r="M66" s="473"/>
      <c r="N66" s="473"/>
      <c r="O66" s="473"/>
      <c r="P66" s="473"/>
      <c r="Q66" s="473"/>
      <c r="R66" s="473"/>
      <c r="S66" s="473"/>
      <c r="T66" s="473"/>
      <c r="U66" s="473"/>
      <c r="V66" s="473"/>
      <c r="W66" s="473"/>
      <c r="X66" s="473"/>
      <c r="Y66" s="473"/>
      <c r="Z66" s="473"/>
      <c r="AA66" s="473"/>
      <c r="AB66" s="795"/>
      <c r="AC66" s="795"/>
      <c r="AD66" s="584"/>
      <c r="AE66" s="792"/>
      <c r="AF66" s="792"/>
      <c r="AG66" s="792"/>
      <c r="AK66" s="58"/>
    </row>
    <row r="67" spans="1:37" s="42" customFormat="1">
      <c r="A67" s="579"/>
      <c r="B67" s="579"/>
      <c r="C67" s="485"/>
      <c r="D67" s="485"/>
      <c r="E67" s="472"/>
      <c r="F67" s="472"/>
      <c r="G67" s="473"/>
      <c r="H67" s="473"/>
      <c r="I67" s="473"/>
      <c r="J67" s="584"/>
      <c r="K67" s="473"/>
      <c r="L67" s="473"/>
      <c r="M67" s="473"/>
      <c r="N67" s="473"/>
      <c r="O67" s="473"/>
      <c r="P67" s="473"/>
      <c r="Q67" s="473"/>
      <c r="R67" s="473"/>
      <c r="S67" s="473"/>
      <c r="T67" s="473"/>
      <c r="U67" s="473"/>
      <c r="V67" s="473"/>
      <c r="W67" s="473"/>
      <c r="X67" s="473"/>
      <c r="Y67" s="473"/>
      <c r="Z67" s="473"/>
      <c r="AA67" s="473"/>
      <c r="AB67" s="795"/>
      <c r="AC67" s="795"/>
      <c r="AD67" s="584"/>
      <c r="AE67" s="792"/>
      <c r="AF67" s="792"/>
      <c r="AG67" s="792"/>
      <c r="AK67" s="58"/>
    </row>
    <row r="68" spans="1:37">
      <c r="A68" s="557"/>
      <c r="B68" s="557"/>
      <c r="AB68" s="744"/>
      <c r="AC68" s="744"/>
      <c r="AD68" s="558"/>
      <c r="AE68" s="792"/>
      <c r="AF68" s="792"/>
      <c r="AG68" s="792"/>
    </row>
    <row r="69" spans="1:37">
      <c r="A69" s="557"/>
      <c r="B69" s="557"/>
      <c r="AB69" s="744"/>
      <c r="AC69" s="744"/>
      <c r="AD69" s="558"/>
      <c r="AE69" s="792"/>
      <c r="AF69" s="792"/>
      <c r="AG69" s="792"/>
    </row>
    <row r="70" spans="1:37">
      <c r="A70" s="557"/>
      <c r="B70" s="557"/>
      <c r="AB70" s="744"/>
      <c r="AC70" s="744"/>
      <c r="AD70" s="558"/>
      <c r="AE70" s="792"/>
      <c r="AF70" s="792"/>
      <c r="AG70" s="792"/>
    </row>
    <row r="71" spans="1:37">
      <c r="A71" s="557"/>
      <c r="B71" s="557"/>
      <c r="AB71" s="744"/>
      <c r="AC71" s="744"/>
      <c r="AD71" s="558"/>
      <c r="AE71" s="792"/>
      <c r="AF71" s="792"/>
      <c r="AG71" s="792"/>
    </row>
    <row r="72" spans="1:37">
      <c r="A72" s="557"/>
      <c r="B72" s="557"/>
      <c r="AB72" s="744"/>
      <c r="AC72" s="744"/>
      <c r="AD72" s="558"/>
      <c r="AE72" s="792"/>
      <c r="AF72" s="792"/>
      <c r="AG72" s="792"/>
    </row>
    <row r="73" spans="1:37">
      <c r="A73" s="557"/>
      <c r="B73" s="557"/>
      <c r="AB73" s="744"/>
      <c r="AC73" s="744"/>
      <c r="AD73" s="558"/>
      <c r="AE73" s="792"/>
      <c r="AF73" s="792"/>
      <c r="AG73" s="792"/>
    </row>
    <row r="74" spans="1:37">
      <c r="A74" s="557"/>
      <c r="B74" s="557"/>
      <c r="AB74" s="744"/>
      <c r="AC74" s="744"/>
      <c r="AD74" s="558"/>
      <c r="AE74" s="792"/>
      <c r="AF74" s="792"/>
      <c r="AG74" s="792"/>
    </row>
    <row r="75" spans="1:37">
      <c r="A75" s="557"/>
      <c r="B75" s="557"/>
      <c r="AB75" s="744"/>
      <c r="AC75" s="744"/>
      <c r="AD75" s="558"/>
      <c r="AE75" s="792"/>
      <c r="AF75" s="792"/>
      <c r="AG75" s="792"/>
    </row>
    <row r="76" spans="1:37">
      <c r="A76" s="557"/>
      <c r="B76" s="557"/>
      <c r="AB76" s="744"/>
      <c r="AC76" s="744"/>
      <c r="AD76" s="558"/>
      <c r="AE76" s="792"/>
      <c r="AF76" s="792"/>
      <c r="AG76" s="792"/>
    </row>
    <row r="77" spans="1:37">
      <c r="A77" s="557"/>
      <c r="B77" s="557"/>
      <c r="AB77" s="744"/>
      <c r="AC77" s="744"/>
      <c r="AD77" s="558"/>
      <c r="AE77" s="792"/>
      <c r="AF77" s="792"/>
      <c r="AG77" s="792"/>
    </row>
    <row r="78" spans="1:37">
      <c r="A78" s="557"/>
      <c r="B78" s="557"/>
      <c r="AB78" s="744"/>
      <c r="AC78" s="744"/>
      <c r="AD78" s="558"/>
      <c r="AE78" s="792"/>
      <c r="AF78" s="792"/>
      <c r="AG78" s="792"/>
    </row>
    <row r="79" spans="1:37">
      <c r="A79" s="557"/>
      <c r="B79" s="557"/>
      <c r="AB79" s="744"/>
      <c r="AC79" s="744"/>
      <c r="AD79" s="558"/>
      <c r="AE79" s="792"/>
      <c r="AF79" s="792"/>
      <c r="AG79" s="792"/>
    </row>
    <row r="80" spans="1:37">
      <c r="A80" s="557"/>
      <c r="B80" s="557"/>
      <c r="AB80" s="744"/>
      <c r="AC80" s="744"/>
      <c r="AD80" s="558"/>
      <c r="AE80" s="792"/>
      <c r="AF80" s="792"/>
      <c r="AG80" s="792"/>
    </row>
    <row r="81" spans="1:33">
      <c r="A81" s="557"/>
      <c r="B81" s="557"/>
      <c r="AB81" s="744"/>
      <c r="AC81" s="744"/>
      <c r="AD81" s="558"/>
      <c r="AE81" s="792"/>
      <c r="AF81" s="792"/>
      <c r="AG81" s="792"/>
    </row>
    <row r="82" spans="1:33">
      <c r="A82" s="557"/>
      <c r="B82" s="557"/>
      <c r="AB82" s="744"/>
      <c r="AC82" s="744"/>
      <c r="AD82" s="558"/>
      <c r="AE82" s="792"/>
      <c r="AF82" s="792"/>
      <c r="AG82" s="792"/>
    </row>
  </sheetData>
  <mergeCells count="95">
    <mergeCell ref="AH3:AI3"/>
    <mergeCell ref="A1:H1"/>
    <mergeCell ref="A2:H2"/>
    <mergeCell ref="Q3:AA3"/>
    <mergeCell ref="AB3:AC3"/>
    <mergeCell ref="AF3:AG3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AB12:AC12"/>
    <mergeCell ref="B13:I13"/>
    <mergeCell ref="AE27:AH27"/>
    <mergeCell ref="AE49:AG49"/>
    <mergeCell ref="AB55:AC55"/>
    <mergeCell ref="AE55:AG55"/>
    <mergeCell ref="S56:AC56"/>
    <mergeCell ref="AD56:AD57"/>
    <mergeCell ref="AE56:AG56"/>
    <mergeCell ref="A57:H57"/>
    <mergeCell ref="I57:R57"/>
    <mergeCell ref="S57:AC57"/>
    <mergeCell ref="AE57:AG57"/>
    <mergeCell ref="AB58:AC58"/>
    <mergeCell ref="AE58:AG58"/>
    <mergeCell ref="AB61:AC61"/>
    <mergeCell ref="AE61:AG61"/>
    <mergeCell ref="AB62:AC62"/>
    <mergeCell ref="AE62:AG62"/>
    <mergeCell ref="AB63:AC63"/>
    <mergeCell ref="AE63:AG63"/>
    <mergeCell ref="A64:H64"/>
    <mergeCell ref="I64:R64"/>
    <mergeCell ref="S64:AC64"/>
    <mergeCell ref="AE64:AG64"/>
    <mergeCell ref="AB65:AC65"/>
    <mergeCell ref="AE65:AG65"/>
    <mergeCell ref="AB66:AC66"/>
    <mergeCell ref="AE66:AG66"/>
    <mergeCell ref="AB67:AC67"/>
    <mergeCell ref="AE67:AG67"/>
    <mergeCell ref="AB68:AC68"/>
    <mergeCell ref="AE68:AG68"/>
    <mergeCell ref="AB69:AC69"/>
    <mergeCell ref="AE69:AG69"/>
    <mergeCell ref="AB70:AC70"/>
    <mergeCell ref="AE70:AG70"/>
    <mergeCell ref="AB71:AC71"/>
    <mergeCell ref="AE71:AG71"/>
    <mergeCell ref="AB72:AC72"/>
    <mergeCell ref="AE72:AG72"/>
    <mergeCell ref="AB73:AC73"/>
    <mergeCell ref="AE73:AG73"/>
    <mergeCell ref="AB74:AC74"/>
    <mergeCell ref="AE74:AG74"/>
    <mergeCell ref="AB75:AC75"/>
    <mergeCell ref="AE75:AG75"/>
    <mergeCell ref="AB76:AC76"/>
    <mergeCell ref="AE76:AG76"/>
    <mergeCell ref="AB77:AC77"/>
    <mergeCell ref="AE77:AG77"/>
    <mergeCell ref="AB78:AC78"/>
    <mergeCell ref="AE78:AG78"/>
    <mergeCell ref="AB79:AC79"/>
    <mergeCell ref="AE79:AG79"/>
    <mergeCell ref="AB80:AC80"/>
    <mergeCell ref="AE80:AG80"/>
    <mergeCell ref="AB81:AC81"/>
    <mergeCell ref="AE81:AG81"/>
    <mergeCell ref="AB82:AC82"/>
    <mergeCell ref="AE82:AG82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71"/>
  <sheetViews>
    <sheetView topLeftCell="A34" workbookViewId="0">
      <selection activeCell="A50" sqref="A50:XFD50"/>
    </sheetView>
  </sheetViews>
  <sheetFormatPr defaultRowHeight="15"/>
  <cols>
    <col min="1" max="1" width="3.375" style="16" customWidth="1"/>
    <col min="2" max="2" width="15.375" style="44" customWidth="1"/>
    <col min="3" max="3" width="11.25" style="165" customWidth="1"/>
    <col min="4" max="4" width="13" style="165" hidden="1" customWidth="1"/>
    <col min="5" max="5" width="17.125" style="205" bestFit="1" customWidth="1"/>
    <col min="6" max="6" width="17.125" style="205" customWidth="1"/>
    <col min="7" max="7" width="7.25" style="44" customWidth="1"/>
    <col min="8" max="8" width="6.625" style="44" customWidth="1"/>
    <col min="9" max="9" width="11.25" style="44" customWidth="1"/>
    <col min="10" max="10" width="5.5" style="45" hidden="1" customWidth="1"/>
    <col min="11" max="11" width="8.375" style="44" customWidth="1"/>
    <col min="12" max="12" width="10.875" style="44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7.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5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39"/>
      <c r="AA1" s="17"/>
      <c r="AB1" s="17"/>
      <c r="AC1" s="17"/>
      <c r="AD1" s="8"/>
    </row>
    <row r="2" spans="1:41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0"/>
      <c r="AA2" s="18"/>
      <c r="AB2" s="18"/>
      <c r="AC2" s="18"/>
      <c r="AD2" s="24"/>
    </row>
    <row r="3" spans="1:41" ht="3.75" customHeight="1">
      <c r="A3" s="4"/>
      <c r="B3" s="45"/>
      <c r="C3" s="559"/>
      <c r="D3" s="4"/>
      <c r="E3" s="37"/>
      <c r="F3" s="37"/>
      <c r="G3" s="4"/>
      <c r="H3" s="45"/>
      <c r="I3" s="45"/>
      <c r="K3" s="45"/>
      <c r="L3" s="45"/>
      <c r="M3" s="45"/>
      <c r="N3" s="45"/>
      <c r="O3" s="45"/>
      <c r="P3" s="45"/>
      <c r="Q3" s="744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44"/>
      <c r="AD3" s="45"/>
    </row>
    <row r="4" spans="1:41" ht="22.5" customHeight="1">
      <c r="A4" s="791" t="s">
        <v>408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791"/>
      <c r="AD4" s="72"/>
    </row>
    <row r="5" spans="1:41" ht="22.5" customHeight="1">
      <c r="A5" s="791" t="s">
        <v>422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791"/>
      <c r="AD5" s="72"/>
    </row>
    <row r="6" spans="1:41" ht="18" customHeight="1">
      <c r="A6" s="8"/>
      <c r="B6" s="50"/>
      <c r="C6" s="757"/>
      <c r="D6" s="757"/>
      <c r="E6" s="757"/>
      <c r="F6" s="757"/>
      <c r="G6" s="757"/>
      <c r="H6" s="757"/>
      <c r="Q6" s="48" t="s">
        <v>228</v>
      </c>
      <c r="R6" s="48"/>
      <c r="S6" s="48"/>
      <c r="T6" s="48"/>
      <c r="U6" s="48"/>
      <c r="V6" s="48"/>
      <c r="W6" s="48"/>
      <c r="X6" s="48"/>
      <c r="Y6" s="48"/>
      <c r="Z6" s="341"/>
      <c r="AA6" s="48"/>
      <c r="AB6" s="48"/>
      <c r="AC6" s="67"/>
      <c r="AD6" s="67"/>
    </row>
    <row r="7" spans="1:41">
      <c r="A7" s="8"/>
      <c r="B7" s="146">
        <v>1490000</v>
      </c>
      <c r="C7" s="757"/>
      <c r="D7" s="757"/>
      <c r="E7" s="757"/>
      <c r="F7" s="757"/>
      <c r="G7" s="757"/>
      <c r="H7" s="75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1"/>
      <c r="AA7" s="48"/>
      <c r="AB7" s="48"/>
    </row>
    <row r="8" spans="1:41">
      <c r="A8" s="8"/>
      <c r="B8" s="50"/>
      <c r="C8" s="784"/>
      <c r="D8" s="784"/>
      <c r="E8" s="784"/>
      <c r="F8" s="784"/>
      <c r="G8" s="784"/>
      <c r="H8" s="78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2"/>
      <c r="AA8" s="52"/>
      <c r="AB8" s="52"/>
      <c r="AC8" s="66"/>
      <c r="AD8" s="66"/>
    </row>
    <row r="9" spans="1:41" ht="4.5" customHeight="1">
      <c r="A9" s="8"/>
      <c r="B9" s="50"/>
      <c r="C9" s="160"/>
      <c r="D9" s="160"/>
      <c r="E9" s="203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1"/>
      <c r="AA9" s="48"/>
      <c r="AB9" s="53"/>
    </row>
    <row r="10" spans="1:41" s="43" customFormat="1" ht="27.75" customHeight="1">
      <c r="A10" s="785" t="s">
        <v>2</v>
      </c>
      <c r="B10" s="785" t="s">
        <v>3</v>
      </c>
      <c r="C10" s="786" t="s">
        <v>51</v>
      </c>
      <c r="D10" s="782" t="s">
        <v>235</v>
      </c>
      <c r="E10" s="787" t="s">
        <v>15</v>
      </c>
      <c r="F10" s="574"/>
      <c r="G10" s="769" t="s">
        <v>129</v>
      </c>
      <c r="H10" s="782" t="s">
        <v>270</v>
      </c>
      <c r="I10" s="778" t="s">
        <v>179</v>
      </c>
      <c r="J10" s="778" t="s">
        <v>266</v>
      </c>
      <c r="K10" s="778" t="s">
        <v>267</v>
      </c>
      <c r="L10" s="778" t="s">
        <v>169</v>
      </c>
      <c r="M10" s="780"/>
      <c r="N10" s="782" t="s">
        <v>147</v>
      </c>
      <c r="O10" s="782" t="s">
        <v>148</v>
      </c>
      <c r="P10" s="769" t="s">
        <v>149</v>
      </c>
      <c r="Q10" s="762" t="s">
        <v>67</v>
      </c>
      <c r="R10" s="763"/>
      <c r="S10" s="763"/>
      <c r="T10" s="763"/>
      <c r="U10" s="764"/>
      <c r="V10" s="765" t="s">
        <v>167</v>
      </c>
      <c r="W10" s="766"/>
      <c r="X10" s="765" t="s">
        <v>168</v>
      </c>
      <c r="Y10" s="766"/>
      <c r="Z10" s="771" t="s">
        <v>272</v>
      </c>
      <c r="AA10" s="769" t="s">
        <v>153</v>
      </c>
      <c r="AB10" s="771" t="s">
        <v>5</v>
      </c>
      <c r="AC10" s="772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785"/>
      <c r="B11" s="785"/>
      <c r="C11" s="786"/>
      <c r="D11" s="783"/>
      <c r="E11" s="788"/>
      <c r="F11" s="575"/>
      <c r="G11" s="770"/>
      <c r="H11" s="783"/>
      <c r="I11" s="779"/>
      <c r="J11" s="779"/>
      <c r="K11" s="779"/>
      <c r="L11" s="779"/>
      <c r="M11" s="781"/>
      <c r="N11" s="783"/>
      <c r="O11" s="783"/>
      <c r="P11" s="770"/>
      <c r="Q11" s="140" t="s">
        <v>113</v>
      </c>
      <c r="R11" s="140" t="s">
        <v>68</v>
      </c>
      <c r="S11" s="140" t="s">
        <v>60</v>
      </c>
      <c r="T11" s="138" t="s">
        <v>150</v>
      </c>
      <c r="U11" s="138" t="s">
        <v>151</v>
      </c>
      <c r="V11" s="138" t="s">
        <v>84</v>
      </c>
      <c r="W11" s="338" t="s">
        <v>169</v>
      </c>
      <c r="X11" s="138" t="s">
        <v>84</v>
      </c>
      <c r="Y11" s="338" t="s">
        <v>169</v>
      </c>
      <c r="Z11" s="773"/>
      <c r="AA11" s="770"/>
      <c r="AB11" s="773"/>
      <c r="AC11" s="774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154</v>
      </c>
      <c r="B12" s="252" t="s">
        <v>155</v>
      </c>
      <c r="C12" s="83" t="s">
        <v>156</v>
      </c>
      <c r="D12" s="83"/>
      <c r="E12" s="148"/>
      <c r="F12" s="148"/>
      <c r="G12" s="161" t="s">
        <v>157</v>
      </c>
      <c r="H12" s="149" t="s">
        <v>46</v>
      </c>
      <c r="I12" s="254" t="s">
        <v>42</v>
      </c>
      <c r="J12" s="254"/>
      <c r="K12" s="254" t="s">
        <v>43</v>
      </c>
      <c r="L12" s="254" t="s">
        <v>268</v>
      </c>
      <c r="M12" s="149"/>
      <c r="N12" s="149" t="s">
        <v>74</v>
      </c>
      <c r="O12" s="149" t="s">
        <v>47</v>
      </c>
      <c r="P12" s="254" t="s">
        <v>175</v>
      </c>
      <c r="Q12" s="149" t="s">
        <v>75</v>
      </c>
      <c r="R12" s="149" t="s">
        <v>76</v>
      </c>
      <c r="S12" s="149" t="s">
        <v>158</v>
      </c>
      <c r="T12" s="149" t="s">
        <v>159</v>
      </c>
      <c r="U12" s="254" t="s">
        <v>176</v>
      </c>
      <c r="V12" s="149" t="s">
        <v>160</v>
      </c>
      <c r="W12" s="149" t="s">
        <v>161</v>
      </c>
      <c r="X12" s="149" t="s">
        <v>162</v>
      </c>
      <c r="Y12" s="149" t="s">
        <v>170</v>
      </c>
      <c r="Z12" s="348"/>
      <c r="AA12" s="254" t="s">
        <v>177</v>
      </c>
      <c r="AB12" s="776" t="s">
        <v>171</v>
      </c>
      <c r="AC12" s="777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40.5" customHeight="1">
      <c r="A13" s="238">
        <f>_xlfn.AGGREGATE(4,7,A$12:A12)+1</f>
        <v>1</v>
      </c>
      <c r="B13" s="239" t="s">
        <v>131</v>
      </c>
      <c r="C13" s="241" t="s">
        <v>357</v>
      </c>
      <c r="D13" s="242" t="str">
        <f>VLOOKUP(B13,[2]T3!$B$2:$D$328,3,FALSE)</f>
        <v>079083003027</v>
      </c>
      <c r="E13" s="547" t="s">
        <v>204</v>
      </c>
      <c r="F13" s="547"/>
      <c r="G13" s="548" t="s">
        <v>246</v>
      </c>
      <c r="H13" s="549">
        <v>8</v>
      </c>
      <c r="I13" s="246">
        <v>6585230</v>
      </c>
      <c r="J13" s="247"/>
      <c r="K13" s="246"/>
      <c r="L13" s="246">
        <f t="shared" ref="L13:L24" si="0">ROUND(I13+K13,0)</f>
        <v>6585230</v>
      </c>
      <c r="M13" s="246"/>
      <c r="N13" s="246">
        <f>L13/26*M13</f>
        <v>0</v>
      </c>
      <c r="O13" s="246"/>
      <c r="P13" s="246">
        <f t="shared" ref="P13:P24" si="1">L13-N13+O13</f>
        <v>6585230</v>
      </c>
      <c r="Q13" s="98">
        <f t="shared" ref="Q13:Q17" si="2">L13*8%</f>
        <v>526818.4</v>
      </c>
      <c r="R13" s="99">
        <f t="shared" ref="R13:R17" si="3">L13*1.5%</f>
        <v>98778.45</v>
      </c>
      <c r="S13" s="246">
        <f>L13*1%</f>
        <v>65852.3</v>
      </c>
      <c r="T13" s="248"/>
      <c r="U13" s="248">
        <f t="shared" ref="U13:U24" si="4">SUM(Q13:T13)</f>
        <v>691449.15</v>
      </c>
      <c r="V13" s="248"/>
      <c r="W13" s="248"/>
      <c r="X13" s="550"/>
      <c r="Y13" s="248"/>
      <c r="Z13" s="248"/>
      <c r="AA13" s="248">
        <f t="shared" ref="AA13:AA24" si="5">P13-U13+W13+Y13+Z13</f>
        <v>5893780.8499999996</v>
      </c>
      <c r="AB13" s="250">
        <f t="shared" ref="AB13:AB22" si="6">A13</f>
        <v>1</v>
      </c>
      <c r="AC13" s="251"/>
      <c r="AD13" s="120" t="s">
        <v>85</v>
      </c>
    </row>
    <row r="14" spans="1:41" s="104" customFormat="1" ht="30" customHeight="1">
      <c r="A14" s="238">
        <f>_xlfn.AGGREGATE(4,7,A$12:A13)+1</f>
        <v>2</v>
      </c>
      <c r="B14" s="94" t="s">
        <v>251</v>
      </c>
      <c r="C14" s="112" t="s">
        <v>357</v>
      </c>
      <c r="D14" s="228"/>
      <c r="E14" s="209" t="str">
        <f>VLOOKUP(B14,[1]LuongBC_T01!$B$277:$C$292,2,FALSE)</f>
        <v>0016100006651008</v>
      </c>
      <c r="F14" s="209"/>
      <c r="G14" s="97" t="s">
        <v>246</v>
      </c>
      <c r="H14" s="233">
        <v>6</v>
      </c>
      <c r="I14" s="98">
        <v>5972998</v>
      </c>
      <c r="J14" s="113"/>
      <c r="K14" s="98"/>
      <c r="L14" s="98">
        <f t="shared" si="0"/>
        <v>5972998</v>
      </c>
      <c r="M14" s="98"/>
      <c r="N14" s="98">
        <f>L14/26*M14</f>
        <v>0</v>
      </c>
      <c r="O14" s="98"/>
      <c r="P14" s="98">
        <f t="shared" si="1"/>
        <v>5972998</v>
      </c>
      <c r="Q14" s="98">
        <f t="shared" si="2"/>
        <v>477839.84</v>
      </c>
      <c r="R14" s="99">
        <f t="shared" si="3"/>
        <v>89594.97</v>
      </c>
      <c r="S14" s="98">
        <f>L14*1%</f>
        <v>59729.98</v>
      </c>
      <c r="T14" s="99"/>
      <c r="U14" s="99">
        <f t="shared" si="4"/>
        <v>627164.79</v>
      </c>
      <c r="V14" s="99"/>
      <c r="W14" s="99"/>
      <c r="X14" s="151"/>
      <c r="Y14" s="99"/>
      <c r="Z14" s="99"/>
      <c r="AA14" s="99">
        <f t="shared" si="5"/>
        <v>5345833.21</v>
      </c>
      <c r="AB14" s="101">
        <f t="shared" si="6"/>
        <v>2</v>
      </c>
      <c r="AC14" s="102"/>
      <c r="AD14" s="120"/>
    </row>
    <row r="15" spans="1:41" s="104" customFormat="1" ht="30.75" customHeight="1">
      <c r="A15" s="238">
        <f>_xlfn.AGGREGATE(4,7,A$12:A14)+1</f>
        <v>3</v>
      </c>
      <c r="B15" s="94" t="s">
        <v>252</v>
      </c>
      <c r="C15" s="112" t="s">
        <v>357</v>
      </c>
      <c r="D15" s="228"/>
      <c r="E15" s="209" t="str">
        <f>VLOOKUP(B15,[1]LuongBC_T01!$B$277:$C$292,2,FALSE)</f>
        <v>0016100006666005</v>
      </c>
      <c r="F15" s="209"/>
      <c r="G15" s="97" t="s">
        <v>246</v>
      </c>
      <c r="H15" s="233">
        <v>6</v>
      </c>
      <c r="I15" s="98">
        <v>5972998</v>
      </c>
      <c r="J15" s="113"/>
      <c r="K15" s="98"/>
      <c r="L15" s="98">
        <f t="shared" si="0"/>
        <v>5972998</v>
      </c>
      <c r="M15" s="98"/>
      <c r="N15" s="98">
        <f t="shared" ref="N15:N17" si="7">L15/26*M15</f>
        <v>0</v>
      </c>
      <c r="O15" s="98"/>
      <c r="P15" s="98">
        <f t="shared" si="1"/>
        <v>5972998</v>
      </c>
      <c r="Q15" s="98">
        <f t="shared" si="2"/>
        <v>477839.84</v>
      </c>
      <c r="R15" s="99">
        <f t="shared" si="3"/>
        <v>89594.97</v>
      </c>
      <c r="S15" s="98">
        <f t="shared" ref="S15:S17" si="8">L15*1%</f>
        <v>59729.98</v>
      </c>
      <c r="T15" s="99"/>
      <c r="U15" s="99">
        <f t="shared" si="4"/>
        <v>627164.79</v>
      </c>
      <c r="V15" s="99"/>
      <c r="W15" s="99"/>
      <c r="X15" s="151"/>
      <c r="Y15" s="99"/>
      <c r="Z15" s="99"/>
      <c r="AA15" s="99">
        <f t="shared" si="5"/>
        <v>5345833.21</v>
      </c>
      <c r="AB15" s="101">
        <f t="shared" si="6"/>
        <v>3</v>
      </c>
      <c r="AC15" s="102"/>
      <c r="AD15" s="120"/>
    </row>
    <row r="16" spans="1:41" s="104" customFormat="1" ht="29.25" customHeight="1">
      <c r="A16" s="202">
        <f>_xlfn.AGGREGATE(4,7,A$12:A15)+1</f>
        <v>4</v>
      </c>
      <c r="B16" s="94" t="s">
        <v>226</v>
      </c>
      <c r="C16" s="112" t="s">
        <v>357</v>
      </c>
      <c r="D16" s="228" t="str">
        <f>VLOOKUP(B16,[2]T3!$B$2:$D$328,3,FALSE)</f>
        <v>024110707</v>
      </c>
      <c r="E16" s="209"/>
      <c r="F16" s="209"/>
      <c r="G16" s="97" t="s">
        <v>246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7"/>
        <v>0</v>
      </c>
      <c r="O16" s="98"/>
      <c r="P16" s="98">
        <f t="shared" si="1"/>
        <v>4914000</v>
      </c>
      <c r="Q16" s="98">
        <f t="shared" si="2"/>
        <v>393120</v>
      </c>
      <c r="R16" s="99">
        <f t="shared" si="3"/>
        <v>73710</v>
      </c>
      <c r="S16" s="98">
        <f t="shared" si="8"/>
        <v>49140</v>
      </c>
      <c r="T16" s="99"/>
      <c r="U16" s="99">
        <f t="shared" si="4"/>
        <v>515970</v>
      </c>
      <c r="V16" s="99"/>
      <c r="W16" s="99"/>
      <c r="X16" s="151"/>
      <c r="Y16" s="99"/>
      <c r="Z16" s="99"/>
      <c r="AA16" s="99">
        <f t="shared" si="5"/>
        <v>4398030</v>
      </c>
      <c r="AB16" s="101">
        <f t="shared" si="6"/>
        <v>4</v>
      </c>
      <c r="AC16" s="102"/>
      <c r="AD16" s="102" t="s">
        <v>227</v>
      </c>
    </row>
    <row r="17" spans="1:39" s="562" customFormat="1" ht="31.5" customHeight="1">
      <c r="A17" s="202">
        <f>_xlfn.AGGREGATE(4,7,A$12:A16)+1</f>
        <v>5</v>
      </c>
      <c r="B17" s="462" t="s">
        <v>343</v>
      </c>
      <c r="C17" s="112" t="s">
        <v>55</v>
      </c>
      <c r="D17" s="223"/>
      <c r="E17" s="223" t="str">
        <f>INDEX([3]SACOM!$C$7:$C$335,MATCH(B17,[3]SACOM!$B$7:$B$335,0))</f>
        <v xml:space="preserve">060310667083 </v>
      </c>
      <c r="F17" s="223"/>
      <c r="G17" s="445" t="s">
        <v>245</v>
      </c>
      <c r="H17" s="446">
        <v>12</v>
      </c>
      <c r="I17" s="447">
        <v>8564695</v>
      </c>
      <c r="J17" s="454">
        <v>0.05</v>
      </c>
      <c r="K17" s="447">
        <f>I17*J17</f>
        <v>428234.75</v>
      </c>
      <c r="L17" s="447">
        <f t="shared" si="0"/>
        <v>8992930</v>
      </c>
      <c r="M17" s="447"/>
      <c r="N17" s="447">
        <f t="shared" si="7"/>
        <v>0</v>
      </c>
      <c r="O17" s="447"/>
      <c r="P17" s="447">
        <f t="shared" si="1"/>
        <v>8992930</v>
      </c>
      <c r="Q17" s="447">
        <f t="shared" si="2"/>
        <v>719434.4</v>
      </c>
      <c r="R17" s="449">
        <f t="shared" si="3"/>
        <v>134893.94999999998</v>
      </c>
      <c r="S17" s="447">
        <f t="shared" si="8"/>
        <v>89929.3</v>
      </c>
      <c r="T17" s="449"/>
      <c r="U17" s="449">
        <f t="shared" si="4"/>
        <v>944257.65</v>
      </c>
      <c r="V17" s="449"/>
      <c r="W17" s="449"/>
      <c r="X17" s="450"/>
      <c r="Y17" s="449"/>
      <c r="Z17" s="449"/>
      <c r="AA17" s="455">
        <f t="shared" si="5"/>
        <v>8048672.3499999996</v>
      </c>
      <c r="AB17" s="101">
        <f t="shared" si="6"/>
        <v>5</v>
      </c>
      <c r="AC17" s="102"/>
      <c r="AD17" s="102"/>
      <c r="AE17" s="120"/>
      <c r="AF17" s="116"/>
      <c r="AK17" s="561"/>
    </row>
    <row r="18" spans="1:39" s="562" customFormat="1" ht="29.25" customHeight="1">
      <c r="A18" s="202">
        <f>_xlfn.AGGREGATE(4,7,A$12:A17)+1</f>
        <v>6</v>
      </c>
      <c r="B18" s="462" t="s">
        <v>191</v>
      </c>
      <c r="C18" s="112" t="s">
        <v>55</v>
      </c>
      <c r="D18" s="223" t="s">
        <v>205</v>
      </c>
      <c r="E18" s="223" t="str">
        <f>INDEX([3]SACOM!$C$7:$C$335,MATCH(B18,[3]SACOM!$B$7:$B$335,0))</f>
        <v>060311132469</v>
      </c>
      <c r="F18" s="223"/>
      <c r="G18" s="445" t="s">
        <v>246</v>
      </c>
      <c r="H18" s="446">
        <v>4</v>
      </c>
      <c r="I18" s="447">
        <v>5417685</v>
      </c>
      <c r="J18" s="448"/>
      <c r="K18" s="447"/>
      <c r="L18" s="447">
        <f t="shared" si="0"/>
        <v>5417685</v>
      </c>
      <c r="M18" s="447"/>
      <c r="N18" s="447">
        <f>L18/26*M18</f>
        <v>0</v>
      </c>
      <c r="O18" s="447"/>
      <c r="P18" s="447">
        <f t="shared" si="1"/>
        <v>5417685</v>
      </c>
      <c r="Q18" s="447">
        <f>L18*8%</f>
        <v>433414.8</v>
      </c>
      <c r="R18" s="449">
        <f>L18*1.5%</f>
        <v>81265.274999999994</v>
      </c>
      <c r="S18" s="447">
        <f>L18*1%</f>
        <v>54176.85</v>
      </c>
      <c r="T18" s="449"/>
      <c r="U18" s="449">
        <f t="shared" si="4"/>
        <v>568856.92499999993</v>
      </c>
      <c r="V18" s="449"/>
      <c r="W18" s="449"/>
      <c r="X18" s="450"/>
      <c r="Y18" s="449"/>
      <c r="Z18" s="449"/>
      <c r="AA18" s="455">
        <f t="shared" si="5"/>
        <v>4848828.0750000002</v>
      </c>
      <c r="AB18" s="101">
        <f t="shared" si="6"/>
        <v>6</v>
      </c>
      <c r="AC18" s="102"/>
      <c r="AD18" s="102" t="s">
        <v>231</v>
      </c>
      <c r="AE18" s="120"/>
      <c r="AF18" s="116"/>
      <c r="AK18" s="561"/>
    </row>
    <row r="19" spans="1:39" s="562" customFormat="1" ht="30.75" customHeight="1">
      <c r="A19" s="238">
        <f>_xlfn.AGGREGATE(4,7,A$12:A18)+1</f>
        <v>7</v>
      </c>
      <c r="B19" s="462" t="s">
        <v>250</v>
      </c>
      <c r="C19" s="112" t="s">
        <v>55</v>
      </c>
      <c r="D19" s="223" t="str">
        <f>VLOOKUP(B19,[1]LuongBC_T01!$B$277:$C$292,2,FALSE)</f>
        <v>0016100006668008</v>
      </c>
      <c r="E19" s="223" t="str">
        <f>INDEX([3]SACOM!$C$7:$C$335,MATCH(B19,[3]SACOM!$B$7:$B$335,0))</f>
        <v>060311132264</v>
      </c>
      <c r="F19" s="223"/>
      <c r="G19" s="445" t="s">
        <v>246</v>
      </c>
      <c r="H19" s="446">
        <v>9</v>
      </c>
      <c r="I19" s="447">
        <v>6914491</v>
      </c>
      <c r="J19" s="448"/>
      <c r="K19" s="447"/>
      <c r="L19" s="447">
        <f t="shared" si="0"/>
        <v>6914491</v>
      </c>
      <c r="M19" s="447"/>
      <c r="N19" s="447">
        <f>L19/26*M19</f>
        <v>0</v>
      </c>
      <c r="O19" s="447"/>
      <c r="P19" s="447">
        <f t="shared" si="1"/>
        <v>6914491</v>
      </c>
      <c r="Q19" s="447">
        <f>L19*8%</f>
        <v>553159.28</v>
      </c>
      <c r="R19" s="449">
        <f>L19*1.5%</f>
        <v>103717.36499999999</v>
      </c>
      <c r="S19" s="447">
        <f>L19*1%</f>
        <v>69144.91</v>
      </c>
      <c r="T19" s="449"/>
      <c r="U19" s="449">
        <f t="shared" si="4"/>
        <v>726021.55500000005</v>
      </c>
      <c r="V19" s="449"/>
      <c r="W19" s="449"/>
      <c r="X19" s="450"/>
      <c r="Y19" s="449"/>
      <c r="Z19" s="449"/>
      <c r="AA19" s="455">
        <f t="shared" si="5"/>
        <v>6188469.4450000003</v>
      </c>
      <c r="AB19" s="101">
        <f t="shared" si="6"/>
        <v>7</v>
      </c>
      <c r="AC19" s="102"/>
      <c r="AD19" s="561"/>
      <c r="AE19" s="427"/>
      <c r="AF19" s="579"/>
      <c r="AG19" s="579"/>
      <c r="AH19" s="579"/>
      <c r="AI19" s="579"/>
      <c r="AJ19" s="579"/>
      <c r="AK19" s="427"/>
      <c r="AL19" s="579"/>
      <c r="AM19" s="579"/>
    </row>
    <row r="20" spans="1:39" s="562" customFormat="1" ht="34.5" customHeight="1">
      <c r="A20" s="238">
        <f>_xlfn.AGGREGATE(4,7,A$12:A19)+1</f>
        <v>8</v>
      </c>
      <c r="B20" s="462" t="s">
        <v>243</v>
      </c>
      <c r="C20" s="112" t="s">
        <v>55</v>
      </c>
      <c r="D20" s="223"/>
      <c r="E20" s="223" t="str">
        <f>INDEX([3]SACOM!$C$7:$C$335,MATCH(B20,[3]SACOM!$B$7:$B$335,0))</f>
        <v>060310664343</v>
      </c>
      <c r="F20" s="223"/>
      <c r="G20" s="445" t="s">
        <v>242</v>
      </c>
      <c r="H20" s="446">
        <v>3</v>
      </c>
      <c r="I20" s="447">
        <v>6134525</v>
      </c>
      <c r="J20" s="448"/>
      <c r="K20" s="447"/>
      <c r="L20" s="447">
        <f t="shared" si="0"/>
        <v>6134525</v>
      </c>
      <c r="M20" s="447"/>
      <c r="N20" s="447">
        <f>L20/26*M20</f>
        <v>0</v>
      </c>
      <c r="O20" s="447"/>
      <c r="P20" s="447">
        <f t="shared" si="1"/>
        <v>6134525</v>
      </c>
      <c r="Q20" s="447"/>
      <c r="R20" s="449"/>
      <c r="S20" s="447"/>
      <c r="T20" s="449"/>
      <c r="U20" s="449">
        <f t="shared" si="4"/>
        <v>0</v>
      </c>
      <c r="V20" s="449"/>
      <c r="W20" s="449"/>
      <c r="X20" s="449"/>
      <c r="Y20" s="449"/>
      <c r="Z20" s="449"/>
      <c r="AA20" s="455">
        <f t="shared" si="5"/>
        <v>6134525</v>
      </c>
      <c r="AB20" s="101">
        <f t="shared" si="6"/>
        <v>8</v>
      </c>
      <c r="AC20" s="118"/>
      <c r="AD20" s="365"/>
      <c r="AE20" s="232"/>
      <c r="AF20" s="232"/>
      <c r="AG20" s="110"/>
      <c r="AH20" s="110"/>
      <c r="AK20" s="111"/>
    </row>
    <row r="21" spans="1:39" s="562" customFormat="1" ht="35.450000000000003" customHeight="1">
      <c r="A21" s="238">
        <f>_xlfn.AGGREGATE(4,7,A$12:A20)+1</f>
        <v>9</v>
      </c>
      <c r="B21" s="462" t="s">
        <v>249</v>
      </c>
      <c r="C21" s="112" t="s">
        <v>55</v>
      </c>
      <c r="D21" s="223" t="str">
        <f>VLOOKUP(B21,[1]LuongBC_T01!$B$277:$C$292,2,FALSE)</f>
        <v>0016100006650001</v>
      </c>
      <c r="E21" s="223" t="str">
        <f>INDEX([3]SACOM!$C$7:$C$335,MATCH(B21,[3]SACOM!$B$7:$B$335,0))</f>
        <v>060282740322</v>
      </c>
      <c r="F21" s="223"/>
      <c r="G21" s="445" t="s">
        <v>246</v>
      </c>
      <c r="H21" s="446">
        <v>11</v>
      </c>
      <c r="I21" s="447">
        <v>7623227</v>
      </c>
      <c r="J21" s="448"/>
      <c r="K21" s="447"/>
      <c r="L21" s="447">
        <f t="shared" si="0"/>
        <v>7623227</v>
      </c>
      <c r="M21" s="447"/>
      <c r="N21" s="447">
        <f>L21/26*M21</f>
        <v>0</v>
      </c>
      <c r="O21" s="447"/>
      <c r="P21" s="447">
        <f t="shared" si="1"/>
        <v>7623227</v>
      </c>
      <c r="Q21" s="447">
        <f t="shared" ref="Q21:Q24" si="9">L21*8%</f>
        <v>609858.16</v>
      </c>
      <c r="R21" s="449">
        <f t="shared" ref="R21:R24" si="10">L21*1.5%</f>
        <v>114348.405</v>
      </c>
      <c r="S21" s="447">
        <f t="shared" ref="S21:S24" si="11">L21*1%</f>
        <v>76232.27</v>
      </c>
      <c r="T21" s="449"/>
      <c r="U21" s="449">
        <f t="shared" si="4"/>
        <v>800438.83500000008</v>
      </c>
      <c r="V21" s="449"/>
      <c r="W21" s="449"/>
      <c r="X21" s="450"/>
      <c r="Y21" s="449"/>
      <c r="Z21" s="449"/>
      <c r="AA21" s="455">
        <f t="shared" si="5"/>
        <v>6822788.165</v>
      </c>
      <c r="AB21" s="101">
        <f t="shared" si="6"/>
        <v>9</v>
      </c>
      <c r="AC21" s="102"/>
      <c r="AD21" s="561"/>
      <c r="AE21" s="561"/>
      <c r="AK21" s="561"/>
    </row>
    <row r="22" spans="1:39" s="562" customFormat="1" ht="30" customHeight="1">
      <c r="A22" s="238">
        <f>_xlfn.AGGREGATE(4,7,A$12:A21)+1</f>
        <v>10</v>
      </c>
      <c r="B22" s="462" t="s">
        <v>306</v>
      </c>
      <c r="C22" s="112" t="s">
        <v>55</v>
      </c>
      <c r="D22" s="223"/>
      <c r="E22" s="223" t="str">
        <f>INDEX([3]SACOM!$C$7:$C$335,MATCH(B22,[3]SACOM!$B$7:$B$335,0))</f>
        <v xml:space="preserve">060310672796 </v>
      </c>
      <c r="F22" s="223"/>
      <c r="G22" s="445" t="s">
        <v>242</v>
      </c>
      <c r="H22" s="446">
        <v>2</v>
      </c>
      <c r="I22" s="447">
        <v>5733201</v>
      </c>
      <c r="J22" s="448"/>
      <c r="K22" s="447"/>
      <c r="L22" s="447">
        <f t="shared" si="0"/>
        <v>5733201</v>
      </c>
      <c r="M22" s="447"/>
      <c r="N22" s="447">
        <f t="shared" ref="N22:N24" si="12">L22/26*M22</f>
        <v>0</v>
      </c>
      <c r="O22" s="447"/>
      <c r="P22" s="447">
        <f t="shared" si="1"/>
        <v>5733201</v>
      </c>
      <c r="Q22" s="447">
        <f t="shared" si="9"/>
        <v>458656.08</v>
      </c>
      <c r="R22" s="449">
        <f t="shared" si="10"/>
        <v>85998.014999999999</v>
      </c>
      <c r="S22" s="447">
        <f t="shared" si="11"/>
        <v>57332.01</v>
      </c>
      <c r="T22" s="449"/>
      <c r="U22" s="449">
        <f t="shared" si="4"/>
        <v>601986.10499999998</v>
      </c>
      <c r="V22" s="449"/>
      <c r="W22" s="451"/>
      <c r="X22" s="451"/>
      <c r="Y22" s="451"/>
      <c r="Z22" s="451"/>
      <c r="AA22" s="455">
        <f t="shared" si="5"/>
        <v>5131214.8949999996</v>
      </c>
      <c r="AB22" s="101">
        <f t="shared" si="6"/>
        <v>10</v>
      </c>
      <c r="AC22" s="255"/>
      <c r="AD22" s="255" t="s">
        <v>308</v>
      </c>
      <c r="AE22" s="117"/>
      <c r="AF22" s="144"/>
      <c r="AK22" s="561"/>
    </row>
    <row r="23" spans="1:39" s="562" customFormat="1" ht="30" customHeight="1">
      <c r="A23" s="238">
        <f>_xlfn.AGGREGATE(4,7,A$12:A22)+1</f>
        <v>11</v>
      </c>
      <c r="B23" s="498" t="s">
        <v>410</v>
      </c>
      <c r="C23" s="112" t="s">
        <v>55</v>
      </c>
      <c r="D23" s="223"/>
      <c r="E23" s="223" t="str">
        <f>INDEX([3]SACOM!$C$7:$C$335,MATCH(B23,[3]SACOM!$B$7:$B$335,0))</f>
        <v>060901910739</v>
      </c>
      <c r="F23" s="223"/>
      <c r="G23" s="445" t="s">
        <v>246</v>
      </c>
      <c r="H23" s="446">
        <v>1</v>
      </c>
      <c r="I23" s="447">
        <v>4680000</v>
      </c>
      <c r="J23" s="448"/>
      <c r="K23" s="447"/>
      <c r="L23" s="447">
        <f t="shared" si="0"/>
        <v>4680000</v>
      </c>
      <c r="M23" s="447"/>
      <c r="N23" s="447">
        <f t="shared" si="12"/>
        <v>0</v>
      </c>
      <c r="O23" s="447"/>
      <c r="P23" s="447">
        <f t="shared" si="1"/>
        <v>4680000</v>
      </c>
      <c r="Q23" s="447">
        <f t="shared" si="9"/>
        <v>374400</v>
      </c>
      <c r="R23" s="449">
        <f t="shared" si="10"/>
        <v>70200</v>
      </c>
      <c r="S23" s="447">
        <f t="shared" si="11"/>
        <v>46800</v>
      </c>
      <c r="T23" s="449"/>
      <c r="U23" s="449">
        <f t="shared" si="4"/>
        <v>491400</v>
      </c>
      <c r="V23" s="449"/>
      <c r="W23" s="451"/>
      <c r="X23" s="451"/>
      <c r="Y23" s="451"/>
      <c r="Z23" s="451"/>
      <c r="AA23" s="455">
        <f t="shared" si="5"/>
        <v>4188600</v>
      </c>
      <c r="AB23" s="101"/>
      <c r="AC23" s="255"/>
      <c r="AD23" s="255" t="s">
        <v>413</v>
      </c>
      <c r="AE23" s="117"/>
      <c r="AF23" s="144"/>
      <c r="AK23" s="561"/>
    </row>
    <row r="24" spans="1:39" s="562" customFormat="1" ht="30" customHeight="1">
      <c r="A24" s="238">
        <f>_xlfn.AGGREGATE(4,7,A$12:A23)+1</f>
        <v>12</v>
      </c>
      <c r="B24" s="498" t="s">
        <v>415</v>
      </c>
      <c r="C24" s="112" t="s">
        <v>55</v>
      </c>
      <c r="D24" s="223"/>
      <c r="E24" s="223" t="str">
        <f>INDEX([3]SACOM!$C$7:$C$335,MATCH(B24,[3]SACOM!$B$7:$B$335,0))</f>
        <v>060311114691</v>
      </c>
      <c r="F24" s="223"/>
      <c r="G24" s="445" t="s">
        <v>246</v>
      </c>
      <c r="H24" s="446">
        <v>1</v>
      </c>
      <c r="I24" s="447">
        <v>4680000</v>
      </c>
      <c r="J24" s="448"/>
      <c r="K24" s="447"/>
      <c r="L24" s="447">
        <f t="shared" si="0"/>
        <v>4680000</v>
      </c>
      <c r="M24" s="447"/>
      <c r="N24" s="447">
        <f t="shared" si="12"/>
        <v>0</v>
      </c>
      <c r="O24" s="447"/>
      <c r="P24" s="447">
        <f t="shared" si="1"/>
        <v>4680000</v>
      </c>
      <c r="Q24" s="447">
        <f t="shared" si="9"/>
        <v>374400</v>
      </c>
      <c r="R24" s="449">
        <f t="shared" si="10"/>
        <v>70200</v>
      </c>
      <c r="S24" s="447">
        <f t="shared" si="11"/>
        <v>46800</v>
      </c>
      <c r="T24" s="449"/>
      <c r="U24" s="449">
        <f t="shared" si="4"/>
        <v>491400</v>
      </c>
      <c r="V24" s="449"/>
      <c r="W24" s="451"/>
      <c r="X24" s="451"/>
      <c r="Y24" s="451"/>
      <c r="Z24" s="451"/>
      <c r="AA24" s="455">
        <f t="shared" si="5"/>
        <v>4188600</v>
      </c>
      <c r="AB24" s="101"/>
      <c r="AC24" s="255"/>
      <c r="AD24" s="255" t="s">
        <v>414</v>
      </c>
      <c r="AE24" s="117"/>
      <c r="AF24" s="144"/>
      <c r="AK24" s="561"/>
    </row>
    <row r="25" spans="1:39" s="104" customFormat="1" ht="28.5" customHeight="1">
      <c r="A25" s="238">
        <f>_xlfn.AGGREGATE(4,7,A$12:A24)+1</f>
        <v>13</v>
      </c>
      <c r="B25" s="94" t="s">
        <v>289</v>
      </c>
      <c r="C25" s="112" t="s">
        <v>355</v>
      </c>
      <c r="D25" s="265"/>
      <c r="E25" s="223" t="s">
        <v>323</v>
      </c>
      <c r="F25" s="223"/>
      <c r="G25" s="97" t="s">
        <v>246</v>
      </c>
      <c r="H25" s="233">
        <v>3</v>
      </c>
      <c r="I25" s="98">
        <v>5159700</v>
      </c>
      <c r="J25" s="113"/>
      <c r="K25" s="98"/>
      <c r="L25" s="266">
        <f t="shared" ref="L25:L39" si="13">ROUND(I25+K25,0)</f>
        <v>5159700</v>
      </c>
      <c r="M25" s="98"/>
      <c r="N25" s="98">
        <f t="shared" ref="N25:N39" si="14">L25/26*M25</f>
        <v>0</v>
      </c>
      <c r="O25" s="98"/>
      <c r="P25" s="98">
        <f t="shared" ref="P25:P39" si="15">L25-N25+O25</f>
        <v>5159700</v>
      </c>
      <c r="Q25" s="98">
        <f t="shared" ref="Q25:Q39" si="16">L25*8%</f>
        <v>412776</v>
      </c>
      <c r="R25" s="99">
        <f t="shared" ref="R25:R39" si="17">L25*1.5%</f>
        <v>77395.5</v>
      </c>
      <c r="S25" s="98">
        <f t="shared" ref="S25:S39" si="18">L25*1%</f>
        <v>51597</v>
      </c>
      <c r="T25" s="99"/>
      <c r="U25" s="99">
        <f t="shared" ref="U25:U39" si="19">SUM(Q25:T25)</f>
        <v>541768.5</v>
      </c>
      <c r="V25" s="99"/>
      <c r="W25" s="100"/>
      <c r="X25" s="100"/>
      <c r="Y25" s="100"/>
      <c r="Z25" s="100"/>
      <c r="AA25" s="99">
        <f t="shared" ref="AA25:AA39" si="20">P25-U25+W25+Y25+Z25</f>
        <v>4617931.5</v>
      </c>
      <c r="AB25" s="101">
        <f t="shared" ref="AB25:AB38" si="21">A25</f>
        <v>13</v>
      </c>
      <c r="AC25" s="102"/>
      <c r="AD25" s="255" t="s">
        <v>284</v>
      </c>
    </row>
    <row r="26" spans="1:39" s="104" customFormat="1" ht="36.75" customHeight="1">
      <c r="A26" s="238">
        <f>_xlfn.AGGREGATE(4,7,A$12:A25)+1</f>
        <v>14</v>
      </c>
      <c r="B26" s="94" t="s">
        <v>286</v>
      </c>
      <c r="C26" s="112" t="s">
        <v>356</v>
      </c>
      <c r="D26" s="265"/>
      <c r="E26" s="223" t="s">
        <v>322</v>
      </c>
      <c r="F26" s="223"/>
      <c r="G26" s="97" t="s">
        <v>245</v>
      </c>
      <c r="H26" s="233">
        <v>2</v>
      </c>
      <c r="I26" s="98">
        <v>5257980</v>
      </c>
      <c r="J26" s="113"/>
      <c r="K26" s="98"/>
      <c r="L26" s="266">
        <f t="shared" si="13"/>
        <v>5257980</v>
      </c>
      <c r="M26" s="98"/>
      <c r="N26" s="98">
        <f t="shared" si="14"/>
        <v>0</v>
      </c>
      <c r="O26" s="98"/>
      <c r="P26" s="98">
        <f t="shared" si="15"/>
        <v>5257980</v>
      </c>
      <c r="Q26" s="98">
        <f t="shared" si="16"/>
        <v>420638.4</v>
      </c>
      <c r="R26" s="99">
        <f t="shared" si="17"/>
        <v>78869.7</v>
      </c>
      <c r="S26" s="98">
        <f t="shared" si="18"/>
        <v>52579.8</v>
      </c>
      <c r="T26" s="99"/>
      <c r="U26" s="99">
        <f t="shared" si="19"/>
        <v>552087.9</v>
      </c>
      <c r="V26" s="99"/>
      <c r="W26" s="100"/>
      <c r="X26" s="100"/>
      <c r="Y26" s="100"/>
      <c r="Z26" s="100"/>
      <c r="AA26" s="99">
        <f t="shared" si="20"/>
        <v>4705892.0999999996</v>
      </c>
      <c r="AB26" s="101">
        <f t="shared" si="21"/>
        <v>14</v>
      </c>
      <c r="AC26" s="102"/>
      <c r="AD26" s="255" t="s">
        <v>284</v>
      </c>
    </row>
    <row r="27" spans="1:39" s="497" customFormat="1" ht="29.45" customHeight="1">
      <c r="A27" s="238">
        <f>_xlfn.AGGREGATE(4,7,A$12:A26)+1</f>
        <v>15</v>
      </c>
      <c r="B27" s="589" t="s">
        <v>427</v>
      </c>
      <c r="C27" s="112" t="s">
        <v>166</v>
      </c>
      <c r="D27" s="223" t="s">
        <v>202</v>
      </c>
      <c r="E27" s="223" t="str">
        <f>INDEX([3]SACOM!$C$7:$C$335,MATCH(B27,[3]SACOM!$B$7:$B$335,0))</f>
        <v>060310750274</v>
      </c>
      <c r="F27" s="223"/>
      <c r="G27" s="452" t="s">
        <v>245</v>
      </c>
      <c r="H27" s="453">
        <v>6</v>
      </c>
      <c r="I27" s="447">
        <v>6391108</v>
      </c>
      <c r="J27" s="448"/>
      <c r="K27" s="447"/>
      <c r="L27" s="447">
        <f t="shared" si="13"/>
        <v>6391108</v>
      </c>
      <c r="M27" s="447"/>
      <c r="N27" s="447">
        <f t="shared" si="14"/>
        <v>0</v>
      </c>
      <c r="O27" s="447"/>
      <c r="P27" s="447">
        <f t="shared" si="15"/>
        <v>6391108</v>
      </c>
      <c r="Q27" s="447">
        <f t="shared" si="16"/>
        <v>511288.64</v>
      </c>
      <c r="R27" s="449">
        <f t="shared" si="17"/>
        <v>95866.62</v>
      </c>
      <c r="S27" s="447">
        <f t="shared" si="18"/>
        <v>63911.08</v>
      </c>
      <c r="T27" s="449"/>
      <c r="U27" s="449">
        <f t="shared" si="19"/>
        <v>671066.34</v>
      </c>
      <c r="V27" s="449"/>
      <c r="W27" s="449"/>
      <c r="X27" s="449"/>
      <c r="Y27" s="449"/>
      <c r="Z27" s="449"/>
      <c r="AA27" s="455">
        <f t="shared" si="20"/>
        <v>5720041.6600000001</v>
      </c>
      <c r="AB27" s="101">
        <f t="shared" si="21"/>
        <v>15</v>
      </c>
      <c r="AC27" s="102"/>
      <c r="AD27" s="117">
        <f>3.33*1390000</f>
        <v>4628700</v>
      </c>
      <c r="AE27" s="750"/>
      <c r="AF27" s="751"/>
      <c r="AG27" s="751"/>
      <c r="AK27" s="119"/>
    </row>
    <row r="28" spans="1:39" s="497" customFormat="1" ht="37.5" customHeight="1">
      <c r="A28" s="238">
        <f>_xlfn.AGGREGATE(4,7,A$12:A27)+1</f>
        <v>16</v>
      </c>
      <c r="B28" s="462" t="s">
        <v>256</v>
      </c>
      <c r="C28" s="112" t="s">
        <v>257</v>
      </c>
      <c r="D28" s="223" t="str">
        <f>VLOOKUP(B28,[1]LuongBC_T01!$B$277:$C$292,2,FALSE)</f>
        <v>0016100006675004</v>
      </c>
      <c r="E28" s="223" t="str">
        <f>INDEX([3]SACOM!$C$7:$C$335,MATCH(B28,[3]SACOM!$B$7:$B$335,0))</f>
        <v>060310749314</v>
      </c>
      <c r="F28" s="223"/>
      <c r="G28" s="452" t="s">
        <v>245</v>
      </c>
      <c r="H28" s="453">
        <v>5</v>
      </c>
      <c r="I28" s="447">
        <v>6086769</v>
      </c>
      <c r="J28" s="448"/>
      <c r="K28" s="447"/>
      <c r="L28" s="447">
        <f t="shared" si="13"/>
        <v>6086769</v>
      </c>
      <c r="M28" s="447"/>
      <c r="N28" s="447">
        <f t="shared" si="14"/>
        <v>0</v>
      </c>
      <c r="O28" s="447"/>
      <c r="P28" s="447">
        <f t="shared" si="15"/>
        <v>6086769</v>
      </c>
      <c r="Q28" s="447">
        <f t="shared" si="16"/>
        <v>486941.52</v>
      </c>
      <c r="R28" s="449">
        <f t="shared" si="17"/>
        <v>91301.535000000003</v>
      </c>
      <c r="S28" s="447">
        <f t="shared" si="18"/>
        <v>60867.69</v>
      </c>
      <c r="T28" s="449"/>
      <c r="U28" s="449">
        <f t="shared" si="19"/>
        <v>639110.74500000011</v>
      </c>
      <c r="V28" s="449"/>
      <c r="W28" s="451"/>
      <c r="X28" s="451"/>
      <c r="Y28" s="451"/>
      <c r="Z28" s="451"/>
      <c r="AA28" s="455">
        <f t="shared" si="20"/>
        <v>5447658.2549999999</v>
      </c>
      <c r="AB28" s="101">
        <f t="shared" si="21"/>
        <v>16</v>
      </c>
      <c r="AC28" s="102"/>
      <c r="AD28" s="102"/>
      <c r="AE28" s="109"/>
      <c r="AF28" s="110"/>
      <c r="AG28" s="110"/>
      <c r="AH28" s="110"/>
      <c r="AI28" s="110"/>
      <c r="AJ28" s="109"/>
      <c r="AK28" s="111"/>
    </row>
    <row r="29" spans="1:39" s="513" customFormat="1" ht="32.450000000000003" customHeight="1">
      <c r="A29" s="238">
        <f>_xlfn.AGGREGATE(4,7,A$12:A28)+1</f>
        <v>17</v>
      </c>
      <c r="B29" s="462" t="s">
        <v>248</v>
      </c>
      <c r="C29" s="112" t="s">
        <v>8</v>
      </c>
      <c r="D29" s="223" t="str">
        <f>VLOOKUP(B29,[1]LuongBC_T01!$B$277:$C$292,2,FALSE)</f>
        <v>0016100006677007</v>
      </c>
      <c r="E29" s="223" t="str">
        <f>INDEX([3]SACOM!$C$7:$C$335,MATCH(B29,[3]SACOM!$B$7:$B$335,0))</f>
        <v>060310750797</v>
      </c>
      <c r="F29" s="223"/>
      <c r="G29" s="452" t="s">
        <v>246</v>
      </c>
      <c r="H29" s="446">
        <v>12</v>
      </c>
      <c r="I29" s="447">
        <v>8004388</v>
      </c>
      <c r="J29" s="448"/>
      <c r="K29" s="447"/>
      <c r="L29" s="447">
        <f t="shared" si="13"/>
        <v>8004388</v>
      </c>
      <c r="M29" s="447"/>
      <c r="N29" s="447">
        <f t="shared" si="14"/>
        <v>0</v>
      </c>
      <c r="O29" s="447"/>
      <c r="P29" s="447">
        <f t="shared" si="15"/>
        <v>8004388</v>
      </c>
      <c r="Q29" s="447">
        <f t="shared" si="16"/>
        <v>640351.04</v>
      </c>
      <c r="R29" s="449">
        <f t="shared" si="17"/>
        <v>120065.81999999999</v>
      </c>
      <c r="S29" s="447">
        <f t="shared" si="18"/>
        <v>80043.88</v>
      </c>
      <c r="T29" s="449"/>
      <c r="U29" s="449">
        <f t="shared" si="19"/>
        <v>840460.74</v>
      </c>
      <c r="V29" s="450"/>
      <c r="W29" s="449"/>
      <c r="X29" s="449"/>
      <c r="Y29" s="449"/>
      <c r="Z29" s="449"/>
      <c r="AA29" s="455">
        <f t="shared" si="20"/>
        <v>7163927.2599999998</v>
      </c>
      <c r="AB29" s="101">
        <f t="shared" si="21"/>
        <v>17</v>
      </c>
      <c r="AC29" s="102"/>
      <c r="AD29" s="117"/>
      <c r="AE29" s="234"/>
      <c r="AF29" s="110"/>
      <c r="AG29" s="110"/>
      <c r="AI29" s="144"/>
      <c r="AK29" s="111"/>
    </row>
    <row r="30" spans="1:39" s="359" customFormat="1" ht="29.25" customHeight="1">
      <c r="A30" s="238">
        <f>_xlfn.AGGREGATE(4,7,A$12:A29)+1</f>
        <v>18</v>
      </c>
      <c r="B30" s="462" t="s">
        <v>253</v>
      </c>
      <c r="C30" s="112" t="s">
        <v>8</v>
      </c>
      <c r="D30" s="223"/>
      <c r="E30" s="223" t="str">
        <f>INDEX([3]SACOM!$C$7:$C$335,MATCH(B30,[3]SACOM!$B$7:$B$335,0))</f>
        <v>060310748369</v>
      </c>
      <c r="F30" s="223"/>
      <c r="G30" s="445" t="s">
        <v>246</v>
      </c>
      <c r="H30" s="446">
        <v>2</v>
      </c>
      <c r="I30" s="447">
        <v>4914000</v>
      </c>
      <c r="J30" s="448"/>
      <c r="K30" s="447"/>
      <c r="L30" s="447">
        <f t="shared" si="13"/>
        <v>4914000</v>
      </c>
      <c r="M30" s="447"/>
      <c r="N30" s="447">
        <f t="shared" si="14"/>
        <v>0</v>
      </c>
      <c r="O30" s="447"/>
      <c r="P30" s="447">
        <f t="shared" si="15"/>
        <v>4914000</v>
      </c>
      <c r="Q30" s="447">
        <f t="shared" si="16"/>
        <v>393120</v>
      </c>
      <c r="R30" s="449">
        <f t="shared" si="17"/>
        <v>73710</v>
      </c>
      <c r="S30" s="447">
        <f t="shared" si="18"/>
        <v>49140</v>
      </c>
      <c r="T30" s="449"/>
      <c r="U30" s="449">
        <f t="shared" si="19"/>
        <v>515970</v>
      </c>
      <c r="V30" s="449"/>
      <c r="W30" s="449"/>
      <c r="X30" s="450"/>
      <c r="Y30" s="449"/>
      <c r="Z30" s="449"/>
      <c r="AA30" s="455">
        <f t="shared" si="20"/>
        <v>4398030</v>
      </c>
      <c r="AB30" s="101">
        <f t="shared" si="21"/>
        <v>18</v>
      </c>
      <c r="AC30" s="102"/>
      <c r="AD30" s="102"/>
      <c r="AE30" s="424"/>
      <c r="AF30" s="425"/>
      <c r="AG30" s="426"/>
      <c r="AH30" s="512"/>
      <c r="AI30" s="426"/>
      <c r="AJ30" s="426"/>
      <c r="AK30" s="427"/>
      <c r="AL30" s="426"/>
      <c r="AM30" s="426"/>
    </row>
    <row r="31" spans="1:39" s="104" customFormat="1" ht="39" customHeight="1">
      <c r="A31" s="238">
        <f>_xlfn.AGGREGATE(4,7,A$12:A30)+1</f>
        <v>19</v>
      </c>
      <c r="B31" s="462" t="s">
        <v>276</v>
      </c>
      <c r="C31" s="112" t="s">
        <v>277</v>
      </c>
      <c r="D31" s="223"/>
      <c r="E31" s="223" t="str">
        <f>INDEX([3]SACOM!$C$7:$C$335,MATCH(B31,[3]SACOM!$B$7:$B$335,0))</f>
        <v>060310750339</v>
      </c>
      <c r="F31" s="223"/>
      <c r="G31" s="445" t="s">
        <v>246</v>
      </c>
      <c r="H31" s="446">
        <v>2</v>
      </c>
      <c r="I31" s="447">
        <v>4914000</v>
      </c>
      <c r="J31" s="448"/>
      <c r="K31" s="447"/>
      <c r="L31" s="447">
        <f t="shared" si="13"/>
        <v>4914000</v>
      </c>
      <c r="M31" s="447"/>
      <c r="N31" s="447">
        <f t="shared" si="14"/>
        <v>0</v>
      </c>
      <c r="O31" s="447"/>
      <c r="P31" s="447">
        <f t="shared" si="15"/>
        <v>4914000</v>
      </c>
      <c r="Q31" s="447">
        <f t="shared" si="16"/>
        <v>393120</v>
      </c>
      <c r="R31" s="449">
        <f t="shared" si="17"/>
        <v>73710</v>
      </c>
      <c r="S31" s="447">
        <f t="shared" si="18"/>
        <v>49140</v>
      </c>
      <c r="T31" s="449"/>
      <c r="U31" s="449">
        <f t="shared" si="19"/>
        <v>515970</v>
      </c>
      <c r="V31" s="449"/>
      <c r="W31" s="451"/>
      <c r="X31" s="451"/>
      <c r="Y31" s="451"/>
      <c r="Z31" s="451"/>
      <c r="AA31" s="455">
        <f t="shared" si="20"/>
        <v>4398030</v>
      </c>
      <c r="AB31" s="101">
        <f t="shared" si="21"/>
        <v>19</v>
      </c>
      <c r="AC31" s="255"/>
      <c r="AD31" s="255" t="s">
        <v>278</v>
      </c>
      <c r="AE31" s="429"/>
      <c r="AF31" s="430"/>
      <c r="AG31" s="426"/>
      <c r="AH31" s="42"/>
      <c r="AI31" s="42"/>
      <c r="AJ31" s="42"/>
      <c r="AK31" s="58"/>
      <c r="AL31" s="42"/>
      <c r="AM31" s="42"/>
    </row>
    <row r="32" spans="1:39" s="104" customFormat="1" ht="38.25" customHeight="1">
      <c r="A32" s="238">
        <f>_xlfn.AGGREGATE(4,7,A$12:A31)+1</f>
        <v>20</v>
      </c>
      <c r="B32" s="462" t="s">
        <v>303</v>
      </c>
      <c r="C32" s="112" t="s">
        <v>304</v>
      </c>
      <c r="D32" s="223"/>
      <c r="E32" s="223" t="str">
        <f>INDEX([3]SACOM!$C$7:$C$335,MATCH(B32,[3]SACOM!$B$7:$B$335,0))</f>
        <v>060311534699</v>
      </c>
      <c r="F32" s="223"/>
      <c r="G32" s="445" t="s">
        <v>246</v>
      </c>
      <c r="H32" s="446">
        <v>2</v>
      </c>
      <c r="I32" s="447">
        <v>4914000</v>
      </c>
      <c r="J32" s="448"/>
      <c r="K32" s="447"/>
      <c r="L32" s="447">
        <f t="shared" si="13"/>
        <v>4914000</v>
      </c>
      <c r="M32" s="447"/>
      <c r="N32" s="447">
        <f t="shared" si="14"/>
        <v>0</v>
      </c>
      <c r="O32" s="447"/>
      <c r="P32" s="447">
        <f t="shared" si="15"/>
        <v>4914000</v>
      </c>
      <c r="Q32" s="447">
        <f t="shared" si="16"/>
        <v>393120</v>
      </c>
      <c r="R32" s="449">
        <f t="shared" si="17"/>
        <v>73710</v>
      </c>
      <c r="S32" s="447">
        <f t="shared" si="18"/>
        <v>49140</v>
      </c>
      <c r="T32" s="449"/>
      <c r="U32" s="449">
        <f t="shared" si="19"/>
        <v>515970</v>
      </c>
      <c r="V32" s="449"/>
      <c r="W32" s="451"/>
      <c r="X32" s="451"/>
      <c r="Y32" s="451"/>
      <c r="Z32" s="451"/>
      <c r="AA32" s="455">
        <f t="shared" si="20"/>
        <v>4398030</v>
      </c>
      <c r="AB32" s="101">
        <f t="shared" si="21"/>
        <v>20</v>
      </c>
      <c r="AC32" s="102"/>
      <c r="AD32" s="255" t="s">
        <v>314</v>
      </c>
      <c r="AE32" s="117"/>
      <c r="AF32" s="144"/>
      <c r="AG32" s="493"/>
      <c r="AK32" s="105"/>
    </row>
    <row r="33" spans="1:39" s="104" customFormat="1" ht="39.75" customHeight="1">
      <c r="A33" s="238">
        <f>_xlfn.AGGREGATE(4,7,A$12:A32)+1</f>
        <v>21</v>
      </c>
      <c r="B33" s="462" t="s">
        <v>305</v>
      </c>
      <c r="C33" s="112" t="s">
        <v>304</v>
      </c>
      <c r="D33" s="223"/>
      <c r="E33" s="223" t="str">
        <f>INDEX([3]SACOM!$C$7:$C$335,MATCH(B33,[3]SACOM!$B$7:$B$335,0))</f>
        <v>060310749349</v>
      </c>
      <c r="F33" s="223"/>
      <c r="G33" s="445" t="s">
        <v>246</v>
      </c>
      <c r="H33" s="446">
        <v>2</v>
      </c>
      <c r="I33" s="447">
        <v>4914000</v>
      </c>
      <c r="J33" s="448"/>
      <c r="K33" s="447"/>
      <c r="L33" s="447">
        <f t="shared" si="13"/>
        <v>4914000</v>
      </c>
      <c r="M33" s="447"/>
      <c r="N33" s="447">
        <f t="shared" si="14"/>
        <v>0</v>
      </c>
      <c r="O33" s="447"/>
      <c r="P33" s="447">
        <f t="shared" si="15"/>
        <v>4914000</v>
      </c>
      <c r="Q33" s="447">
        <f t="shared" si="16"/>
        <v>393120</v>
      </c>
      <c r="R33" s="449">
        <f t="shared" si="17"/>
        <v>73710</v>
      </c>
      <c r="S33" s="447">
        <f t="shared" si="18"/>
        <v>49140</v>
      </c>
      <c r="T33" s="449"/>
      <c r="U33" s="449">
        <f t="shared" si="19"/>
        <v>515970</v>
      </c>
      <c r="V33" s="449"/>
      <c r="W33" s="451"/>
      <c r="X33" s="451"/>
      <c r="Y33" s="451"/>
      <c r="Z33" s="451"/>
      <c r="AA33" s="455">
        <f t="shared" si="20"/>
        <v>4398030</v>
      </c>
      <c r="AB33" s="101">
        <f t="shared" si="21"/>
        <v>21</v>
      </c>
      <c r="AC33" s="102"/>
      <c r="AD33" s="255" t="s">
        <v>315</v>
      </c>
      <c r="AE33" s="117"/>
      <c r="AF33" s="144"/>
      <c r="AG33" s="493"/>
      <c r="AK33" s="105"/>
    </row>
    <row r="34" spans="1:39" s="104" customFormat="1" ht="39.75" customHeight="1">
      <c r="A34" s="238">
        <f>_xlfn.AGGREGATE(4,7,A$12:A33)+1</f>
        <v>22</v>
      </c>
      <c r="B34" s="462" t="s">
        <v>370</v>
      </c>
      <c r="C34" s="112" t="s">
        <v>371</v>
      </c>
      <c r="D34" s="223"/>
      <c r="E34" s="223" t="str">
        <f>INDEX([3]SACOM!$C$7:$C$335,MATCH(B34,[3]SACOM!$B$7:$B$335,0))</f>
        <v>060310747923</v>
      </c>
      <c r="F34" s="223"/>
      <c r="G34" s="445" t="s">
        <v>246</v>
      </c>
      <c r="H34" s="446">
        <v>1</v>
      </c>
      <c r="I34" s="447">
        <v>4680000</v>
      </c>
      <c r="J34" s="448"/>
      <c r="K34" s="447"/>
      <c r="L34" s="447">
        <f t="shared" si="13"/>
        <v>4680000</v>
      </c>
      <c r="M34" s="447"/>
      <c r="N34" s="447">
        <f t="shared" si="14"/>
        <v>0</v>
      </c>
      <c r="O34" s="447"/>
      <c r="P34" s="447">
        <f t="shared" si="15"/>
        <v>4680000</v>
      </c>
      <c r="Q34" s="447">
        <f t="shared" si="16"/>
        <v>374400</v>
      </c>
      <c r="R34" s="449">
        <f t="shared" si="17"/>
        <v>70200</v>
      </c>
      <c r="S34" s="447">
        <f t="shared" si="18"/>
        <v>46800</v>
      </c>
      <c r="T34" s="449"/>
      <c r="U34" s="449">
        <f t="shared" si="19"/>
        <v>491400</v>
      </c>
      <c r="V34" s="449"/>
      <c r="W34" s="451"/>
      <c r="X34" s="451"/>
      <c r="Y34" s="451"/>
      <c r="Z34" s="451"/>
      <c r="AA34" s="455">
        <f t="shared" si="20"/>
        <v>4188600</v>
      </c>
      <c r="AB34" s="101">
        <f t="shared" si="21"/>
        <v>22</v>
      </c>
      <c r="AC34" s="255"/>
      <c r="AD34" s="255" t="s">
        <v>401</v>
      </c>
      <c r="AE34" s="429"/>
      <c r="AF34" s="430"/>
      <c r="AG34" s="426"/>
      <c r="AH34" s="42"/>
      <c r="AI34" s="42"/>
      <c r="AJ34" s="42"/>
      <c r="AK34" s="58"/>
      <c r="AL34" s="42"/>
      <c r="AM34" s="42"/>
    </row>
    <row r="35" spans="1:39" s="104" customFormat="1" ht="34.9" customHeight="1">
      <c r="A35" s="238">
        <f>_xlfn.AGGREGATE(4,7,A$12:A34)+1</f>
        <v>23</v>
      </c>
      <c r="B35" s="498" t="s">
        <v>404</v>
      </c>
      <c r="C35" s="112" t="s">
        <v>304</v>
      </c>
      <c r="D35" s="223"/>
      <c r="E35" s="223" t="str">
        <f>INDEX([3]SACOM!$C$7:$C$335,MATCH(B35,[3]SACOM!$B$7:$B$335,0))</f>
        <v>060311210605</v>
      </c>
      <c r="F35" s="223"/>
      <c r="G35" s="445" t="s">
        <v>246</v>
      </c>
      <c r="H35" s="446">
        <v>1</v>
      </c>
      <c r="I35" s="447">
        <v>4680000</v>
      </c>
      <c r="J35" s="448"/>
      <c r="K35" s="447"/>
      <c r="L35" s="447">
        <f t="shared" si="13"/>
        <v>4680000</v>
      </c>
      <c r="M35" s="447"/>
      <c r="N35" s="447">
        <f t="shared" si="14"/>
        <v>0</v>
      </c>
      <c r="O35" s="447"/>
      <c r="P35" s="447">
        <f t="shared" si="15"/>
        <v>4680000</v>
      </c>
      <c r="Q35" s="447">
        <f t="shared" si="16"/>
        <v>374400</v>
      </c>
      <c r="R35" s="449">
        <f t="shared" si="17"/>
        <v>70200</v>
      </c>
      <c r="S35" s="447">
        <f t="shared" si="18"/>
        <v>46800</v>
      </c>
      <c r="T35" s="449"/>
      <c r="U35" s="449">
        <f t="shared" si="19"/>
        <v>491400</v>
      </c>
      <c r="V35" s="449"/>
      <c r="W35" s="451"/>
      <c r="X35" s="451"/>
      <c r="Y35" s="451"/>
      <c r="Z35" s="451"/>
      <c r="AA35" s="455">
        <f t="shared" si="20"/>
        <v>4188600</v>
      </c>
      <c r="AB35" s="101">
        <f t="shared" si="21"/>
        <v>23</v>
      </c>
      <c r="AC35" s="255" t="s">
        <v>406</v>
      </c>
      <c r="AD35" s="255" t="s">
        <v>405</v>
      </c>
      <c r="AE35" s="117"/>
      <c r="AF35" s="144"/>
      <c r="AG35" s="497"/>
      <c r="AK35" s="105"/>
    </row>
    <row r="36" spans="1:39" s="104" customFormat="1" ht="30.75" customHeight="1">
      <c r="A36" s="238">
        <f>_xlfn.AGGREGATE(4,7,A$12:A35)+1</f>
        <v>24</v>
      </c>
      <c r="B36" s="94" t="s">
        <v>319</v>
      </c>
      <c r="C36" s="112" t="s">
        <v>277</v>
      </c>
      <c r="D36" s="510" t="s">
        <v>332</v>
      </c>
      <c r="E36" s="334" t="s">
        <v>331</v>
      </c>
      <c r="F36" s="334"/>
      <c r="G36" s="97" t="s">
        <v>246</v>
      </c>
      <c r="H36" s="233">
        <v>2</v>
      </c>
      <c r="I36" s="98">
        <v>4914000</v>
      </c>
      <c r="J36" s="113"/>
      <c r="K36" s="98"/>
      <c r="L36" s="266">
        <f t="shared" si="13"/>
        <v>4914000</v>
      </c>
      <c r="M36" s="98"/>
      <c r="N36" s="98">
        <f t="shared" si="14"/>
        <v>0</v>
      </c>
      <c r="O36" s="98"/>
      <c r="P36" s="98">
        <f t="shared" si="15"/>
        <v>4914000</v>
      </c>
      <c r="Q36" s="98">
        <f t="shared" si="16"/>
        <v>393120</v>
      </c>
      <c r="R36" s="99">
        <f t="shared" si="17"/>
        <v>73710</v>
      </c>
      <c r="S36" s="98">
        <f t="shared" si="18"/>
        <v>49140</v>
      </c>
      <c r="T36" s="99"/>
      <c r="U36" s="99">
        <f t="shared" si="19"/>
        <v>515970</v>
      </c>
      <c r="V36" s="99"/>
      <c r="W36" s="100"/>
      <c r="X36" s="100"/>
      <c r="Y36" s="100"/>
      <c r="Z36" s="100"/>
      <c r="AA36" s="99">
        <f t="shared" si="20"/>
        <v>4398030</v>
      </c>
      <c r="AB36" s="101">
        <f t="shared" si="21"/>
        <v>24</v>
      </c>
      <c r="AC36" s="102"/>
      <c r="AD36" s="255" t="s">
        <v>320</v>
      </c>
    </row>
    <row r="37" spans="1:39" s="104" customFormat="1" ht="29.25" customHeight="1">
      <c r="A37" s="238">
        <f>_xlfn.AGGREGATE(4,7,A$12:A36)+1</f>
        <v>25</v>
      </c>
      <c r="B37" s="94" t="s">
        <v>321</v>
      </c>
      <c r="C37" s="112" t="s">
        <v>277</v>
      </c>
      <c r="D37" s="510" t="s">
        <v>333</v>
      </c>
      <c r="E37" s="334" t="s">
        <v>334</v>
      </c>
      <c r="F37" s="334"/>
      <c r="G37" s="97" t="s">
        <v>246</v>
      </c>
      <c r="H37" s="233">
        <v>2</v>
      </c>
      <c r="I37" s="98">
        <v>4914000</v>
      </c>
      <c r="J37" s="113"/>
      <c r="K37" s="98"/>
      <c r="L37" s="266">
        <f t="shared" si="13"/>
        <v>4914000</v>
      </c>
      <c r="M37" s="98"/>
      <c r="N37" s="98">
        <f t="shared" si="14"/>
        <v>0</v>
      </c>
      <c r="O37" s="98"/>
      <c r="P37" s="98">
        <f t="shared" si="15"/>
        <v>4914000</v>
      </c>
      <c r="Q37" s="98">
        <f t="shared" si="16"/>
        <v>393120</v>
      </c>
      <c r="R37" s="99">
        <f t="shared" si="17"/>
        <v>73710</v>
      </c>
      <c r="S37" s="98">
        <f t="shared" si="18"/>
        <v>49140</v>
      </c>
      <c r="T37" s="99"/>
      <c r="U37" s="99">
        <f t="shared" si="19"/>
        <v>515970</v>
      </c>
      <c r="V37" s="99"/>
      <c r="W37" s="100"/>
      <c r="X37" s="100"/>
      <c r="Y37" s="100"/>
      <c r="Z37" s="100"/>
      <c r="AA37" s="99">
        <f t="shared" si="20"/>
        <v>4398030</v>
      </c>
      <c r="AB37" s="101">
        <f t="shared" si="21"/>
        <v>25</v>
      </c>
      <c r="AC37" s="102"/>
      <c r="AD37" s="255" t="s">
        <v>320</v>
      </c>
    </row>
    <row r="38" spans="1:39" s="358" customFormat="1" ht="31.5" customHeight="1">
      <c r="A38" s="238">
        <f>_xlfn.AGGREGATE(4,7,A$12:A37)+1</f>
        <v>26</v>
      </c>
      <c r="B38" s="462" t="s">
        <v>254</v>
      </c>
      <c r="C38" s="112" t="s">
        <v>255</v>
      </c>
      <c r="D38" s="223"/>
      <c r="E38" s="223" t="str">
        <f>INDEX([3]SACOM!$C$7:$C$335,MATCH(B38,[3]SACOM!$B$7:$B$335,0))</f>
        <v>060310682015</v>
      </c>
      <c r="F38" s="223"/>
      <c r="G38" s="452" t="s">
        <v>245</v>
      </c>
      <c r="H38" s="453">
        <v>7</v>
      </c>
      <c r="I38" s="447">
        <v>6710663</v>
      </c>
      <c r="J38" s="448"/>
      <c r="K38" s="447"/>
      <c r="L38" s="447">
        <f t="shared" si="13"/>
        <v>6710663</v>
      </c>
      <c r="M38" s="447"/>
      <c r="N38" s="447">
        <f t="shared" si="14"/>
        <v>0</v>
      </c>
      <c r="O38" s="447"/>
      <c r="P38" s="447">
        <f t="shared" si="15"/>
        <v>6710663</v>
      </c>
      <c r="Q38" s="447">
        <f t="shared" si="16"/>
        <v>536853.04</v>
      </c>
      <c r="R38" s="449">
        <f t="shared" si="17"/>
        <v>100659.94499999999</v>
      </c>
      <c r="S38" s="447">
        <f t="shared" si="18"/>
        <v>67106.63</v>
      </c>
      <c r="T38" s="449"/>
      <c r="U38" s="449">
        <f t="shared" si="19"/>
        <v>704619.61499999999</v>
      </c>
      <c r="V38" s="449"/>
      <c r="W38" s="451"/>
      <c r="X38" s="451"/>
      <c r="Y38" s="451"/>
      <c r="Z38" s="451">
        <v>852000</v>
      </c>
      <c r="AA38" s="455">
        <f t="shared" si="20"/>
        <v>6858043.3849999998</v>
      </c>
      <c r="AB38" s="101">
        <f t="shared" si="21"/>
        <v>26</v>
      </c>
      <c r="AC38" s="102"/>
      <c r="AD38" s="102"/>
      <c r="AE38" s="431"/>
      <c r="AF38" s="60"/>
      <c r="AG38" s="60"/>
      <c r="AH38" s="434"/>
      <c r="AI38" s="60"/>
      <c r="AJ38" s="431"/>
      <c r="AK38" s="428"/>
      <c r="AL38" s="426"/>
      <c r="AM38" s="426"/>
    </row>
    <row r="39" spans="1:39" s="515" customFormat="1" ht="39" customHeight="1">
      <c r="A39" s="238">
        <f>_xlfn.AGGREGATE(4,7,A$12:A38)+1</f>
        <v>27</v>
      </c>
      <c r="B39" s="518" t="s">
        <v>412</v>
      </c>
      <c r="C39" s="112" t="s">
        <v>419</v>
      </c>
      <c r="D39" s="415"/>
      <c r="E39" s="223" t="str">
        <f>INDEX([3]SACOM!$C$7:$C$335,MATCH(B39,[3]SACOM!$B$7:$B$335,0))</f>
        <v>060310750916</v>
      </c>
      <c r="F39" s="592"/>
      <c r="G39" s="519" t="s">
        <v>246</v>
      </c>
      <c r="H39" s="520">
        <v>1</v>
      </c>
      <c r="I39" s="521">
        <v>4680000</v>
      </c>
      <c r="J39" s="522"/>
      <c r="K39" s="521"/>
      <c r="L39" s="521">
        <f t="shared" si="13"/>
        <v>4680000</v>
      </c>
      <c r="M39" s="521"/>
      <c r="N39" s="447">
        <f t="shared" si="14"/>
        <v>0</v>
      </c>
      <c r="O39" s="521"/>
      <c r="P39" s="521">
        <f t="shared" si="15"/>
        <v>4680000</v>
      </c>
      <c r="Q39" s="521">
        <f t="shared" si="16"/>
        <v>374400</v>
      </c>
      <c r="R39" s="523">
        <f t="shared" si="17"/>
        <v>70200</v>
      </c>
      <c r="S39" s="521">
        <f t="shared" si="18"/>
        <v>46800</v>
      </c>
      <c r="T39" s="523"/>
      <c r="U39" s="523">
        <f t="shared" si="19"/>
        <v>491400</v>
      </c>
      <c r="V39" s="523"/>
      <c r="W39" s="523"/>
      <c r="X39" s="524"/>
      <c r="Y39" s="523"/>
      <c r="Z39" s="523"/>
      <c r="AA39" s="525">
        <f t="shared" si="20"/>
        <v>4188600</v>
      </c>
      <c r="AB39" s="526"/>
      <c r="AC39" s="120"/>
      <c r="AD39" s="120" t="s">
        <v>411</v>
      </c>
      <c r="AE39" s="144"/>
      <c r="AF39" s="116"/>
      <c r="AK39" s="514"/>
    </row>
    <row r="40" spans="1:39" ht="24.75" customHeight="1">
      <c r="A40" s="88"/>
      <c r="B40" s="565" t="s">
        <v>11</v>
      </c>
      <c r="C40" s="161"/>
      <c r="D40" s="161"/>
      <c r="E40" s="82"/>
      <c r="F40" s="572"/>
      <c r="G40" s="82"/>
      <c r="H40" s="89">
        <f>SUM(H13:H39)</f>
        <v>115</v>
      </c>
      <c r="I40" s="80">
        <f>SUM(I13:I39)</f>
        <v>154327658</v>
      </c>
      <c r="J40" s="153">
        <f>SUM(J13:J39)</f>
        <v>0.05</v>
      </c>
      <c r="K40" s="80">
        <f>SUM(K13:K39)</f>
        <v>428234.75</v>
      </c>
      <c r="L40" s="80">
        <f>SUM(L13:L39)</f>
        <v>154755893</v>
      </c>
      <c r="M40" s="80"/>
      <c r="N40" s="80">
        <f t="shared" ref="N40:Y40" si="22">SUM(N13:N39)</f>
        <v>0</v>
      </c>
      <c r="O40" s="80">
        <f t="shared" si="22"/>
        <v>0</v>
      </c>
      <c r="P40" s="80">
        <f t="shared" si="22"/>
        <v>154755893</v>
      </c>
      <c r="Q40" s="80">
        <f t="shared" si="22"/>
        <v>11889709.439999998</v>
      </c>
      <c r="R40" s="80">
        <f t="shared" si="22"/>
        <v>2229320.5199999996</v>
      </c>
      <c r="S40" s="80">
        <f t="shared" si="22"/>
        <v>1486213.6799999997</v>
      </c>
      <c r="T40" s="153">
        <f t="shared" si="22"/>
        <v>0</v>
      </c>
      <c r="U40" s="80">
        <f t="shared" si="22"/>
        <v>15605243.640000001</v>
      </c>
      <c r="V40" s="93">
        <f t="shared" si="22"/>
        <v>0</v>
      </c>
      <c r="W40" s="80">
        <f t="shared" si="22"/>
        <v>0</v>
      </c>
      <c r="X40" s="93">
        <f t="shared" si="22"/>
        <v>0</v>
      </c>
      <c r="Y40" s="80">
        <f t="shared" si="22"/>
        <v>0</v>
      </c>
      <c r="Z40" s="343"/>
      <c r="AA40" s="80">
        <f>SUM(AA13:AA39)</f>
        <v>140002649.35999998</v>
      </c>
      <c r="AB40" s="90"/>
      <c r="AC40" s="91"/>
      <c r="AD40" s="494"/>
    </row>
    <row r="41" spans="1:39" ht="6.75" customHeight="1">
      <c r="A41" s="6"/>
      <c r="B41" s="142"/>
      <c r="C41" s="162"/>
      <c r="D41" s="162"/>
      <c r="E41" s="204"/>
      <c r="F41" s="204"/>
      <c r="G41" s="47"/>
      <c r="H41" s="46"/>
      <c r="I41" s="52"/>
      <c r="J41" s="46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342"/>
      <c r="AA41" s="52"/>
      <c r="AB41" s="54"/>
      <c r="AC41" s="68"/>
      <c r="AD41" s="117"/>
    </row>
    <row r="42" spans="1:39" ht="18.75" customHeight="1">
      <c r="A42" s="5"/>
      <c r="B42" s="566" t="s">
        <v>12</v>
      </c>
      <c r="C42" s="17" t="s">
        <v>424</v>
      </c>
      <c r="D42" s="17"/>
      <c r="S42" s="18"/>
      <c r="T42" s="18"/>
      <c r="U42" s="18"/>
      <c r="V42" s="18"/>
      <c r="W42" s="18"/>
      <c r="X42" s="18"/>
      <c r="Y42" s="18"/>
      <c r="Z42" s="340"/>
      <c r="AA42" s="18"/>
      <c r="AB42" s="17"/>
      <c r="AC42" s="67"/>
      <c r="AD42" s="495"/>
    </row>
    <row r="43" spans="1:39" ht="7.5" customHeight="1">
      <c r="A43" s="5"/>
      <c r="B43" s="566"/>
      <c r="C43" s="163"/>
      <c r="D43" s="163"/>
      <c r="E43" s="206"/>
      <c r="F43" s="206"/>
      <c r="G43" s="49"/>
      <c r="H43" s="49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344"/>
      <c r="AA43" s="50"/>
      <c r="AB43" s="757"/>
      <c r="AC43" s="757"/>
      <c r="AD43" s="354"/>
    </row>
    <row r="44" spans="1:39" ht="21" customHeight="1">
      <c r="A44" s="5"/>
      <c r="B44" s="557"/>
      <c r="C44" s="7"/>
      <c r="D44" s="7"/>
      <c r="E44" s="207"/>
      <c r="F44" s="207"/>
      <c r="G44" s="5"/>
      <c r="H44" s="5"/>
      <c r="S44" s="758" t="s">
        <v>423</v>
      </c>
      <c r="T44" s="758"/>
      <c r="U44" s="758"/>
      <c r="V44" s="758"/>
      <c r="W44" s="758"/>
      <c r="X44" s="758"/>
      <c r="Y44" s="758"/>
      <c r="Z44" s="758"/>
      <c r="AA44" s="758"/>
      <c r="AB44" s="758"/>
      <c r="AC44" s="758"/>
      <c r="AD44" s="810"/>
    </row>
    <row r="45" spans="1:39" ht="15.75" customHeight="1">
      <c r="A45" s="747" t="s">
        <v>13</v>
      </c>
      <c r="B45" s="747"/>
      <c r="C45" s="747"/>
      <c r="D45" s="747"/>
      <c r="E45" s="747"/>
      <c r="F45" s="747"/>
      <c r="G45" s="747"/>
      <c r="H45" s="747"/>
      <c r="I45" s="747" t="s">
        <v>182</v>
      </c>
      <c r="J45" s="747"/>
      <c r="K45" s="747"/>
      <c r="L45" s="747"/>
      <c r="M45" s="747"/>
      <c r="N45" s="747"/>
      <c r="O45" s="747"/>
      <c r="P45" s="747"/>
      <c r="Q45" s="747"/>
      <c r="R45" s="747"/>
      <c r="S45" s="761" t="s">
        <v>14</v>
      </c>
      <c r="T45" s="761"/>
      <c r="U45" s="761"/>
      <c r="V45" s="761"/>
      <c r="W45" s="761"/>
      <c r="X45" s="761"/>
      <c r="Y45" s="761"/>
      <c r="Z45" s="761"/>
      <c r="AA45" s="761"/>
      <c r="AB45" s="761"/>
      <c r="AC45" s="761"/>
      <c r="AD45" s="811"/>
    </row>
    <row r="46" spans="1:39" ht="15.75" customHeight="1">
      <c r="A46" s="5"/>
      <c r="B46" s="559"/>
      <c r="C46" s="7"/>
      <c r="D46" s="7"/>
      <c r="E46" s="207"/>
      <c r="F46" s="207"/>
      <c r="G46" s="5"/>
      <c r="H46" s="5"/>
      <c r="I46" s="4"/>
      <c r="J46" s="4"/>
      <c r="K46" s="4"/>
      <c r="L46" s="4"/>
      <c r="M46" s="4"/>
      <c r="N46" s="4"/>
      <c r="O46" s="4"/>
      <c r="P46" s="4"/>
      <c r="Q46" s="70"/>
      <c r="R46" s="4"/>
      <c r="S46" s="4"/>
      <c r="T46" s="4"/>
      <c r="U46" s="4"/>
      <c r="V46" s="4"/>
      <c r="AB46" s="745"/>
      <c r="AC46" s="745"/>
      <c r="AD46" s="496"/>
    </row>
    <row r="47" spans="1:39" ht="15.75" customHeight="1">
      <c r="A47" s="5"/>
      <c r="B47" s="557"/>
      <c r="C47" s="7"/>
      <c r="D47" s="7"/>
      <c r="E47" s="207"/>
      <c r="F47" s="207"/>
      <c r="G47" s="5"/>
      <c r="H47" s="5"/>
      <c r="I47" s="4"/>
      <c r="J47" s="4"/>
      <c r="K47" s="4"/>
      <c r="L47" s="4"/>
      <c r="M47" s="4"/>
      <c r="N47" s="4"/>
      <c r="O47" s="4"/>
      <c r="P47" s="4"/>
      <c r="Q47" s="4"/>
      <c r="S47" s="157"/>
      <c r="T47" s="157"/>
      <c r="U47" s="157"/>
      <c r="V47" s="157"/>
      <c r="W47" s="157"/>
      <c r="X47" s="157"/>
      <c r="Y47" s="157"/>
      <c r="Z47" s="346"/>
      <c r="AA47" s="157"/>
      <c r="AB47" s="157"/>
      <c r="AC47" s="157"/>
      <c r="AD47" s="157"/>
    </row>
    <row r="48" spans="1:39" ht="15.75" customHeight="1">
      <c r="A48" s="5"/>
      <c r="C48" s="7"/>
      <c r="D48" s="7"/>
      <c r="E48" s="207"/>
      <c r="F48" s="207"/>
      <c r="G48" s="5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AC48" s="75"/>
      <c r="AD48" s="75"/>
    </row>
    <row r="49" spans="1:30" ht="9.75" customHeight="1">
      <c r="A49" s="5"/>
      <c r="B49" s="557"/>
      <c r="C49" s="7"/>
      <c r="D49" s="7"/>
      <c r="E49" s="207"/>
      <c r="F49" s="207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AB49" s="745"/>
      <c r="AC49" s="745"/>
      <c r="AD49" s="4"/>
    </row>
    <row r="50" spans="1:30" ht="15.75" customHeight="1">
      <c r="A50" s="5"/>
      <c r="B50" s="557"/>
      <c r="C50" s="7"/>
      <c r="D50" s="7"/>
      <c r="E50" s="207"/>
      <c r="F50" s="207"/>
      <c r="G50" s="5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AB50" s="745"/>
      <c r="AC50" s="745"/>
      <c r="AD50" s="4"/>
    </row>
    <row r="51" spans="1:30" ht="15.75" customHeight="1">
      <c r="A51" s="5"/>
      <c r="B51" s="557"/>
      <c r="C51" s="7"/>
      <c r="D51" s="7"/>
      <c r="E51" s="207"/>
      <c r="F51" s="207"/>
      <c r="G51" s="5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AB51" s="745"/>
      <c r="AC51" s="745"/>
      <c r="AD51" s="4"/>
    </row>
    <row r="52" spans="1:30" ht="15.75" customHeight="1">
      <c r="A52" s="747" t="s">
        <v>225</v>
      </c>
      <c r="B52" s="747"/>
      <c r="C52" s="747"/>
      <c r="D52" s="747"/>
      <c r="E52" s="747"/>
      <c r="F52" s="747"/>
      <c r="G52" s="747"/>
      <c r="H52" s="747"/>
      <c r="I52" s="747" t="s">
        <v>122</v>
      </c>
      <c r="J52" s="747"/>
      <c r="K52" s="747"/>
      <c r="L52" s="747"/>
      <c r="M52" s="747"/>
      <c r="N52" s="747"/>
      <c r="O52" s="747"/>
      <c r="P52" s="747"/>
      <c r="Q52" s="747"/>
      <c r="R52" s="747"/>
      <c r="S52" s="747" t="s">
        <v>119</v>
      </c>
      <c r="T52" s="747"/>
      <c r="U52" s="747"/>
      <c r="V52" s="747"/>
      <c r="W52" s="747"/>
      <c r="X52" s="747"/>
      <c r="Y52" s="747"/>
      <c r="Z52" s="747"/>
      <c r="AA52" s="747"/>
      <c r="AB52" s="747"/>
      <c r="AC52" s="747"/>
      <c r="AD52" s="8"/>
    </row>
    <row r="53" spans="1:30">
      <c r="A53" s="61"/>
      <c r="B53" s="63"/>
      <c r="C53" s="164"/>
      <c r="D53" s="164"/>
      <c r="E53" s="208"/>
      <c r="F53" s="208"/>
      <c r="G53" s="63"/>
      <c r="H53" s="63"/>
      <c r="I53" s="63"/>
      <c r="J53" s="51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347"/>
      <c r="AA53" s="63"/>
      <c r="AB53" s="749"/>
      <c r="AC53" s="749"/>
      <c r="AD53" s="51"/>
    </row>
    <row r="54" spans="1:30">
      <c r="B54" s="30"/>
      <c r="G54" s="30"/>
      <c r="H54" s="30"/>
      <c r="AB54" s="744"/>
      <c r="AC54" s="744"/>
      <c r="AD54" s="45"/>
    </row>
    <row r="55" spans="1:30">
      <c r="A55" s="5"/>
      <c r="B55" s="557"/>
      <c r="AB55" s="744"/>
      <c r="AC55" s="744"/>
      <c r="AD55" s="45"/>
    </row>
    <row r="56" spans="1:30">
      <c r="A56" s="5"/>
      <c r="B56" s="557"/>
      <c r="AB56" s="744"/>
      <c r="AC56" s="744"/>
      <c r="AD56" s="45"/>
    </row>
    <row r="57" spans="1:30">
      <c r="A57" s="5"/>
      <c r="B57" s="557"/>
      <c r="AB57" s="744"/>
      <c r="AC57" s="744"/>
      <c r="AD57" s="45"/>
    </row>
    <row r="58" spans="1:30">
      <c r="A58" s="5"/>
      <c r="B58" s="557"/>
      <c r="AB58" s="744"/>
      <c r="AC58" s="744"/>
      <c r="AD58" s="45"/>
    </row>
    <row r="59" spans="1:30">
      <c r="A59" s="5"/>
      <c r="B59" s="557"/>
      <c r="AB59" s="744"/>
      <c r="AC59" s="744"/>
      <c r="AD59" s="45"/>
    </row>
    <row r="60" spans="1:30">
      <c r="A60" s="5"/>
      <c r="B60" s="557"/>
      <c r="AB60" s="744"/>
      <c r="AC60" s="744"/>
      <c r="AD60" s="45"/>
    </row>
    <row r="61" spans="1:30">
      <c r="A61" s="5"/>
      <c r="B61" s="557"/>
      <c r="AB61" s="744"/>
      <c r="AC61" s="744"/>
      <c r="AD61" s="45"/>
    </row>
    <row r="62" spans="1:30">
      <c r="A62" s="5"/>
      <c r="B62" s="557"/>
      <c r="AB62" s="744"/>
      <c r="AC62" s="744"/>
      <c r="AD62" s="45"/>
    </row>
    <row r="63" spans="1:30">
      <c r="A63" s="5"/>
      <c r="B63" s="557"/>
      <c r="AB63" s="744"/>
      <c r="AC63" s="744"/>
      <c r="AD63" s="45"/>
    </row>
    <row r="64" spans="1:30">
      <c r="A64" s="5"/>
      <c r="B64" s="557"/>
      <c r="AB64" s="744"/>
      <c r="AC64" s="744"/>
      <c r="AD64" s="45"/>
    </row>
    <row r="65" spans="1:30">
      <c r="A65" s="5"/>
      <c r="B65" s="557"/>
      <c r="AB65" s="744"/>
      <c r="AC65" s="744"/>
      <c r="AD65" s="45"/>
    </row>
    <row r="66" spans="1:30">
      <c r="A66" s="5"/>
      <c r="B66" s="557"/>
      <c r="AB66" s="744"/>
      <c r="AC66" s="744"/>
      <c r="AD66" s="45"/>
    </row>
    <row r="67" spans="1:30">
      <c r="A67" s="5"/>
      <c r="B67" s="557"/>
      <c r="AB67" s="744"/>
      <c r="AC67" s="744"/>
      <c r="AD67" s="45"/>
    </row>
    <row r="68" spans="1:30">
      <c r="A68" s="5"/>
      <c r="B68" s="557"/>
      <c r="AB68" s="744"/>
      <c r="AC68" s="744"/>
      <c r="AD68" s="45"/>
    </row>
    <row r="69" spans="1:30">
      <c r="A69" s="5"/>
      <c r="B69" s="557"/>
      <c r="AB69" s="744"/>
      <c r="AC69" s="744"/>
      <c r="AD69" s="45"/>
    </row>
    <row r="70" spans="1:30">
      <c r="A70" s="5"/>
      <c r="B70" s="557"/>
      <c r="AB70" s="744"/>
      <c r="AC70" s="744"/>
      <c r="AD70" s="45"/>
    </row>
    <row r="71" spans="1:30">
      <c r="A71" s="5"/>
      <c r="B71" s="557"/>
      <c r="AB71" s="744"/>
      <c r="AC71" s="744"/>
      <c r="AD71" s="45"/>
    </row>
  </sheetData>
  <mergeCells count="64"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  <mergeCell ref="AB58:AC58"/>
    <mergeCell ref="AB59:AC59"/>
    <mergeCell ref="AB60:AC60"/>
    <mergeCell ref="AB61:AC61"/>
    <mergeCell ref="AB62:AC62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E27:AG27"/>
    <mergeCell ref="AD44:AD45"/>
    <mergeCell ref="A45:H45"/>
    <mergeCell ref="I45:R45"/>
    <mergeCell ref="S45:AC45"/>
    <mergeCell ref="A4:AC4"/>
    <mergeCell ref="A1:H1"/>
    <mergeCell ref="A2:H2"/>
    <mergeCell ref="Q3:AA3"/>
    <mergeCell ref="AB3:AC3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745"/>
      <c r="D3" s="74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744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45"/>
      <c r="AD3" s="4"/>
      <c r="AE3" s="745"/>
      <c r="AF3" s="745"/>
      <c r="AG3" s="790"/>
      <c r="AH3" s="790"/>
    </row>
    <row r="4" spans="1:37" ht="22.5" customHeight="1">
      <c r="A4" s="791" t="s">
        <v>164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791" t="s">
        <v>352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86</v>
      </c>
      <c r="D6" s="757"/>
      <c r="E6" s="757"/>
      <c r="F6" s="757"/>
      <c r="G6" s="757"/>
      <c r="H6" s="757"/>
      <c r="Q6" s="48" t="s">
        <v>228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757"/>
      <c r="E7" s="757"/>
      <c r="F7" s="757"/>
      <c r="G7" s="757"/>
      <c r="H7" s="75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784"/>
      <c r="E8" s="784"/>
      <c r="F8" s="784"/>
      <c r="G8" s="784"/>
      <c r="H8" s="78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785" t="s">
        <v>2</v>
      </c>
      <c r="B10" s="785" t="s">
        <v>3</v>
      </c>
      <c r="C10" s="785"/>
      <c r="D10" s="786" t="s">
        <v>51</v>
      </c>
      <c r="E10" s="782" t="s">
        <v>235</v>
      </c>
      <c r="F10" s="787" t="s">
        <v>15</v>
      </c>
      <c r="G10" s="769" t="s">
        <v>129</v>
      </c>
      <c r="H10" s="782" t="s">
        <v>152</v>
      </c>
      <c r="I10" s="778" t="s">
        <v>179</v>
      </c>
      <c r="J10" s="778" t="s">
        <v>266</v>
      </c>
      <c r="K10" s="778" t="s">
        <v>267</v>
      </c>
      <c r="L10" s="778" t="s">
        <v>169</v>
      </c>
      <c r="M10" s="780"/>
      <c r="N10" s="782" t="s">
        <v>147</v>
      </c>
      <c r="O10" s="782" t="s">
        <v>148</v>
      </c>
      <c r="P10" s="769" t="s">
        <v>149</v>
      </c>
      <c r="Q10" s="762" t="s">
        <v>67</v>
      </c>
      <c r="R10" s="763"/>
      <c r="S10" s="763"/>
      <c r="T10" s="763"/>
      <c r="U10" s="764"/>
      <c r="V10" s="765" t="s">
        <v>167</v>
      </c>
      <c r="W10" s="766"/>
      <c r="X10" s="771" t="s">
        <v>272</v>
      </c>
      <c r="Y10" s="257"/>
      <c r="Z10" s="769" t="s">
        <v>153</v>
      </c>
      <c r="AA10" s="771" t="s">
        <v>5</v>
      </c>
      <c r="AB10" s="772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775"/>
      <c r="AJ10" s="87"/>
      <c r="AK10" s="79"/>
    </row>
    <row r="11" spans="1:37" s="43" customFormat="1" ht="41.25" customHeight="1">
      <c r="A11" s="785"/>
      <c r="B11" s="785"/>
      <c r="C11" s="785"/>
      <c r="D11" s="786"/>
      <c r="E11" s="783"/>
      <c r="F11" s="788"/>
      <c r="G11" s="770"/>
      <c r="H11" s="783"/>
      <c r="I11" s="779"/>
      <c r="J11" s="779"/>
      <c r="K11" s="779"/>
      <c r="L11" s="779"/>
      <c r="M11" s="781"/>
      <c r="N11" s="783"/>
      <c r="O11" s="783"/>
      <c r="P11" s="770"/>
      <c r="Q11" s="140" t="s">
        <v>113</v>
      </c>
      <c r="R11" s="140" t="s">
        <v>68</v>
      </c>
      <c r="S11" s="140" t="s">
        <v>60</v>
      </c>
      <c r="T11" s="138" t="s">
        <v>150</v>
      </c>
      <c r="U11" s="138" t="s">
        <v>151</v>
      </c>
      <c r="V11" s="138" t="s">
        <v>84</v>
      </c>
      <c r="W11" s="150" t="s">
        <v>169</v>
      </c>
      <c r="X11" s="773"/>
      <c r="Y11" s="258"/>
      <c r="Z11" s="770"/>
      <c r="AA11" s="773"/>
      <c r="AB11" s="774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775"/>
      <c r="AJ11" s="87"/>
      <c r="AK11" s="79"/>
    </row>
    <row r="12" spans="1:37" s="43" customFormat="1" ht="27.75" customHeight="1">
      <c r="A12" s="82" t="s">
        <v>154</v>
      </c>
      <c r="B12" s="252" t="s">
        <v>155</v>
      </c>
      <c r="C12" s="253"/>
      <c r="D12" s="83" t="s">
        <v>156</v>
      </c>
      <c r="E12" s="83"/>
      <c r="F12" s="148"/>
      <c r="G12" s="161" t="s">
        <v>157</v>
      </c>
      <c r="H12" s="149" t="s">
        <v>46</v>
      </c>
      <c r="I12" s="254" t="s">
        <v>42</v>
      </c>
      <c r="J12" s="254"/>
      <c r="K12" s="254" t="s">
        <v>43</v>
      </c>
      <c r="L12" s="254" t="s">
        <v>268</v>
      </c>
      <c r="M12" s="149"/>
      <c r="N12" s="149" t="s">
        <v>74</v>
      </c>
      <c r="O12" s="149" t="s">
        <v>47</v>
      </c>
      <c r="P12" s="254" t="s">
        <v>175</v>
      </c>
      <c r="Q12" s="149" t="s">
        <v>75</v>
      </c>
      <c r="R12" s="149" t="s">
        <v>76</v>
      </c>
      <c r="S12" s="149" t="s">
        <v>158</v>
      </c>
      <c r="T12" s="149" t="s">
        <v>159</v>
      </c>
      <c r="U12" s="254" t="s">
        <v>176</v>
      </c>
      <c r="V12" s="149" t="s">
        <v>160</v>
      </c>
      <c r="W12" s="149" t="s">
        <v>161</v>
      </c>
      <c r="X12" s="149" t="s">
        <v>162</v>
      </c>
      <c r="Y12" s="149" t="s">
        <v>170</v>
      </c>
      <c r="Z12" s="254" t="s">
        <v>271</v>
      </c>
      <c r="AA12" s="776" t="s">
        <v>171</v>
      </c>
      <c r="AB12" s="777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254</v>
      </c>
      <c r="C13" s="240"/>
      <c r="D13" s="241" t="s">
        <v>255</v>
      </c>
      <c r="E13" s="242"/>
      <c r="F13" s="243"/>
      <c r="G13" s="244" t="s">
        <v>245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754" t="s">
        <v>11</v>
      </c>
      <c r="C14" s="755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756" t="s">
        <v>12</v>
      </c>
      <c r="C16" s="756"/>
      <c r="D16" s="17" t="s">
        <v>329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756"/>
      <c r="C17" s="756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757"/>
      <c r="AB17" s="757"/>
      <c r="AC17" s="50"/>
      <c r="AD17" s="746" t="e">
        <f>1000000-#REF!</f>
        <v>#REF!</v>
      </c>
      <c r="AE17" s="743"/>
      <c r="AF17" s="743"/>
    </row>
    <row r="18" spans="1:38" ht="15.75" customHeight="1">
      <c r="A18" s="5"/>
      <c r="B18" s="743"/>
      <c r="C18" s="743"/>
      <c r="D18" s="7"/>
      <c r="E18" s="7"/>
      <c r="F18" s="207"/>
      <c r="G18" s="5"/>
      <c r="H18" s="5"/>
      <c r="S18" s="758" t="s">
        <v>353</v>
      </c>
      <c r="T18" s="758"/>
      <c r="U18" s="758"/>
      <c r="V18" s="758"/>
      <c r="W18" s="758"/>
      <c r="X18" s="758"/>
      <c r="Y18" s="758"/>
      <c r="Z18" s="758"/>
      <c r="AA18" s="758"/>
      <c r="AB18" s="758"/>
      <c r="AC18" s="759"/>
      <c r="AD18" s="743"/>
      <c r="AE18" s="743"/>
      <c r="AF18" s="743"/>
    </row>
    <row r="19" spans="1:38" ht="15.75" customHeight="1">
      <c r="A19" s="747" t="s">
        <v>13</v>
      </c>
      <c r="B19" s="747"/>
      <c r="C19" s="747"/>
      <c r="D19" s="747"/>
      <c r="E19" s="747"/>
      <c r="F19" s="747"/>
      <c r="G19" s="747"/>
      <c r="H19" s="747"/>
      <c r="I19" s="747" t="s">
        <v>182</v>
      </c>
      <c r="J19" s="747"/>
      <c r="K19" s="747"/>
      <c r="L19" s="747"/>
      <c r="M19" s="747"/>
      <c r="N19" s="747"/>
      <c r="O19" s="747"/>
      <c r="P19" s="747"/>
      <c r="Q19" s="747"/>
      <c r="R19" s="747"/>
      <c r="S19" s="761" t="s">
        <v>14</v>
      </c>
      <c r="T19" s="761"/>
      <c r="U19" s="761"/>
      <c r="V19" s="761"/>
      <c r="W19" s="761"/>
      <c r="X19" s="761"/>
      <c r="Y19" s="761"/>
      <c r="Z19" s="761"/>
      <c r="AA19" s="761"/>
      <c r="AB19" s="761"/>
      <c r="AC19" s="760"/>
      <c r="AD19" s="748"/>
      <c r="AE19" s="748"/>
      <c r="AF19" s="748"/>
    </row>
    <row r="20" spans="1:38" ht="15.75" customHeight="1">
      <c r="A20" s="5"/>
      <c r="B20" s="745"/>
      <c r="C20" s="745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745"/>
      <c r="AB20" s="745"/>
      <c r="AC20" s="4"/>
      <c r="AD20" s="743"/>
      <c r="AE20" s="743"/>
      <c r="AF20" s="743"/>
    </row>
    <row r="21" spans="1:38" ht="15.75" customHeight="1">
      <c r="A21" s="5"/>
      <c r="B21" s="743"/>
      <c r="C21" s="743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180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743"/>
      <c r="C23" s="743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745"/>
      <c r="AB23" s="745"/>
      <c r="AC23" s="4"/>
      <c r="AD23" s="746"/>
      <c r="AE23" s="743"/>
      <c r="AF23" s="743"/>
    </row>
    <row r="24" spans="1:38" ht="15.75" customHeight="1">
      <c r="A24" s="5"/>
      <c r="B24" s="743"/>
      <c r="C24" s="743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745"/>
      <c r="AB24" s="745"/>
      <c r="AC24" s="4"/>
      <c r="AD24" s="746"/>
      <c r="AE24" s="743"/>
      <c r="AF24" s="743"/>
    </row>
    <row r="25" spans="1:38" ht="15.75" customHeight="1">
      <c r="A25" s="5"/>
      <c r="B25" s="743"/>
      <c r="C25" s="743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745"/>
      <c r="AB25" s="745"/>
      <c r="AC25" s="4"/>
      <c r="AD25" s="746"/>
      <c r="AE25" s="743"/>
      <c r="AF25" s="743"/>
    </row>
    <row r="26" spans="1:38" ht="15.75" customHeight="1">
      <c r="A26" s="747" t="s">
        <v>225</v>
      </c>
      <c r="B26" s="747"/>
      <c r="C26" s="747"/>
      <c r="D26" s="747"/>
      <c r="E26" s="747"/>
      <c r="F26" s="747"/>
      <c r="G26" s="747"/>
      <c r="H26" s="747"/>
      <c r="I26" s="747" t="s">
        <v>122</v>
      </c>
      <c r="J26" s="747"/>
      <c r="K26" s="747"/>
      <c r="L26" s="747"/>
      <c r="M26" s="747"/>
      <c r="N26" s="747"/>
      <c r="O26" s="747"/>
      <c r="P26" s="747"/>
      <c r="Q26" s="747"/>
      <c r="R26" s="747"/>
      <c r="S26" s="747" t="s">
        <v>119</v>
      </c>
      <c r="T26" s="747"/>
      <c r="U26" s="747"/>
      <c r="V26" s="747"/>
      <c r="W26" s="747"/>
      <c r="X26" s="747"/>
      <c r="Y26" s="747"/>
      <c r="Z26" s="747"/>
      <c r="AA26" s="747"/>
      <c r="AB26" s="747"/>
      <c r="AC26" s="8"/>
      <c r="AD26" s="748"/>
      <c r="AE26" s="748"/>
      <c r="AF26" s="748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749"/>
      <c r="AB27" s="749"/>
      <c r="AC27" s="51"/>
      <c r="AD27" s="746"/>
      <c r="AE27" s="743"/>
      <c r="AF27" s="743"/>
    </row>
    <row r="28" spans="1:38">
      <c r="B28" s="30"/>
      <c r="C28" s="19"/>
      <c r="G28" s="30"/>
      <c r="H28" s="30"/>
      <c r="AA28" s="744"/>
      <c r="AB28" s="744"/>
      <c r="AC28" s="45"/>
      <c r="AD28" s="743"/>
      <c r="AE28" s="743"/>
      <c r="AF28" s="743"/>
    </row>
    <row r="29" spans="1:38">
      <c r="A29" s="5"/>
      <c r="B29" s="743"/>
      <c r="C29" s="743"/>
      <c r="AA29" s="744"/>
      <c r="AB29" s="744"/>
      <c r="AC29" s="45"/>
      <c r="AD29" s="743"/>
      <c r="AE29" s="743"/>
      <c r="AF29" s="743"/>
    </row>
    <row r="30" spans="1:38">
      <c r="A30" s="5"/>
      <c r="B30" s="743"/>
      <c r="C30" s="743"/>
      <c r="AA30" s="744"/>
      <c r="AB30" s="744"/>
      <c r="AC30" s="45"/>
      <c r="AD30" s="743"/>
      <c r="AE30" s="743"/>
      <c r="AF30" s="743"/>
    </row>
    <row r="31" spans="1:38">
      <c r="A31" s="5"/>
      <c r="B31" s="743"/>
      <c r="C31" s="743"/>
      <c r="AA31" s="744"/>
      <c r="AB31" s="744"/>
      <c r="AC31" s="45"/>
      <c r="AD31" s="743"/>
      <c r="AE31" s="743"/>
      <c r="AF31" s="743"/>
    </row>
    <row r="32" spans="1:38">
      <c r="A32" s="5"/>
      <c r="B32" s="743"/>
      <c r="C32" s="743"/>
      <c r="AA32" s="744"/>
      <c r="AB32" s="744"/>
      <c r="AC32" s="45"/>
      <c r="AD32" s="743"/>
      <c r="AE32" s="743"/>
      <c r="AF32" s="743"/>
    </row>
    <row r="33" spans="1:32">
      <c r="A33" s="5"/>
      <c r="B33" s="743"/>
      <c r="C33" s="743"/>
      <c r="AA33" s="744"/>
      <c r="AB33" s="744"/>
      <c r="AC33" s="45"/>
      <c r="AD33" s="743"/>
      <c r="AE33" s="743"/>
      <c r="AF33" s="743"/>
    </row>
    <row r="34" spans="1:32">
      <c r="A34" s="5"/>
      <c r="B34" s="743"/>
      <c r="C34" s="743"/>
      <c r="AA34" s="744"/>
      <c r="AB34" s="744"/>
      <c r="AC34" s="45"/>
      <c r="AD34" s="743"/>
      <c r="AE34" s="743"/>
      <c r="AF34" s="743"/>
    </row>
    <row r="35" spans="1:32">
      <c r="A35" s="5"/>
      <c r="B35" s="743"/>
      <c r="C35" s="743"/>
      <c r="AA35" s="744"/>
      <c r="AB35" s="744"/>
      <c r="AC35" s="45"/>
      <c r="AD35" s="743"/>
      <c r="AE35" s="743"/>
      <c r="AF35" s="743"/>
    </row>
    <row r="36" spans="1:32">
      <c r="A36" s="5"/>
      <c r="B36" s="743"/>
      <c r="C36" s="743"/>
      <c r="AA36" s="744"/>
      <c r="AB36" s="744"/>
      <c r="AC36" s="45"/>
      <c r="AD36" s="743"/>
      <c r="AE36" s="743"/>
      <c r="AF36" s="743"/>
    </row>
    <row r="37" spans="1:32">
      <c r="A37" s="5"/>
      <c r="B37" s="743"/>
      <c r="C37" s="743"/>
      <c r="AA37" s="744"/>
      <c r="AB37" s="744"/>
      <c r="AC37" s="45"/>
      <c r="AD37" s="743"/>
      <c r="AE37" s="743"/>
      <c r="AF37" s="743"/>
    </row>
    <row r="38" spans="1:32">
      <c r="A38" s="5"/>
      <c r="B38" s="743"/>
      <c r="C38" s="743"/>
      <c r="AA38" s="744"/>
      <c r="AB38" s="744"/>
      <c r="AC38" s="45"/>
      <c r="AD38" s="743"/>
      <c r="AE38" s="743"/>
      <c r="AF38" s="743"/>
    </row>
    <row r="39" spans="1:32">
      <c r="A39" s="5"/>
      <c r="B39" s="743"/>
      <c r="C39" s="743"/>
      <c r="AA39" s="744"/>
      <c r="AB39" s="744"/>
      <c r="AC39" s="45"/>
      <c r="AD39" s="743"/>
      <c r="AE39" s="743"/>
      <c r="AF39" s="743"/>
    </row>
    <row r="40" spans="1:32">
      <c r="A40" s="5"/>
      <c r="B40" s="743"/>
      <c r="C40" s="743"/>
      <c r="AA40" s="744"/>
      <c r="AB40" s="744"/>
      <c r="AC40" s="45"/>
      <c r="AD40" s="743"/>
      <c r="AE40" s="743"/>
      <c r="AF40" s="743"/>
    </row>
    <row r="41" spans="1:32">
      <c r="A41" s="5"/>
      <c r="B41" s="743"/>
      <c r="C41" s="743"/>
      <c r="AA41" s="744"/>
      <c r="AB41" s="744"/>
      <c r="AC41" s="45"/>
      <c r="AD41" s="743"/>
      <c r="AE41" s="743"/>
      <c r="AF41" s="743"/>
    </row>
    <row r="42" spans="1:32">
      <c r="A42" s="5"/>
      <c r="B42" s="743"/>
      <c r="C42" s="743"/>
      <c r="AA42" s="744"/>
      <c r="AB42" s="744"/>
      <c r="AC42" s="45"/>
      <c r="AD42" s="743"/>
      <c r="AE42" s="743"/>
      <c r="AF42" s="743"/>
    </row>
    <row r="43" spans="1:32">
      <c r="A43" s="5"/>
      <c r="B43" s="743"/>
      <c r="C43" s="743"/>
      <c r="AA43" s="744"/>
      <c r="AB43" s="744"/>
      <c r="AC43" s="45"/>
      <c r="AD43" s="743"/>
      <c r="AE43" s="743"/>
      <c r="AF43" s="743"/>
    </row>
    <row r="44" spans="1:32">
      <c r="A44" s="5"/>
      <c r="B44" s="743"/>
      <c r="C44" s="743"/>
      <c r="AA44" s="744"/>
      <c r="AB44" s="744"/>
      <c r="AC44" s="45"/>
      <c r="AD44" s="743"/>
      <c r="AE44" s="743"/>
      <c r="AF44" s="743"/>
    </row>
    <row r="45" spans="1:32">
      <c r="A45" s="5"/>
      <c r="B45" s="743"/>
      <c r="C45" s="743"/>
      <c r="AA45" s="744"/>
      <c r="AB45" s="744"/>
      <c r="AC45" s="45"/>
      <c r="AD45" s="743"/>
      <c r="AE45" s="743"/>
      <c r="AF45" s="743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110"/>
  <sheetViews>
    <sheetView tabSelected="1" zoomScaleNormal="100" workbookViewId="0">
      <selection activeCell="N49" sqref="N49"/>
    </sheetView>
  </sheetViews>
  <sheetFormatPr defaultRowHeight="15"/>
  <cols>
    <col min="1" max="1" width="5.125" style="16" customWidth="1"/>
    <col min="2" max="2" width="16.25" style="44" customWidth="1"/>
    <col min="3" max="3" width="11.25" style="165" customWidth="1"/>
    <col min="4" max="4" width="13" style="165" hidden="1" customWidth="1"/>
    <col min="5" max="5" width="17.125" style="205" hidden="1" customWidth="1"/>
    <col min="6" max="6" width="13.5" style="205" hidden="1" customWidth="1"/>
    <col min="7" max="7" width="7.375" style="44" customWidth="1"/>
    <col min="8" max="8" width="6.125" style="44" customWidth="1"/>
    <col min="9" max="9" width="11.75" style="44" customWidth="1"/>
    <col min="10" max="10" width="11.75" style="45" hidden="1" customWidth="1"/>
    <col min="11" max="11" width="9.625" style="44" customWidth="1"/>
    <col min="12" max="12" width="11.75" style="44" customWidth="1"/>
    <col min="13" max="13" width="11.75" style="44" hidden="1" customWidth="1"/>
    <col min="14" max="14" width="10.875" style="44" customWidth="1"/>
    <col min="15" max="15" width="6.875" style="44" customWidth="1"/>
    <col min="16" max="16" width="11.375" style="44" customWidth="1"/>
    <col min="17" max="17" width="9.875" style="44" customWidth="1"/>
    <col min="18" max="18" width="9.25" style="44" customWidth="1"/>
    <col min="19" max="19" width="9.5" style="44" customWidth="1"/>
    <col min="20" max="20" width="5.875" style="44" customWidth="1"/>
    <col min="21" max="21" width="11.125" style="44" customWidth="1"/>
    <col min="22" max="22" width="5.625" style="44" customWidth="1"/>
    <col min="23" max="23" width="6.5" style="44" customWidth="1"/>
    <col min="24" max="24" width="6.125" style="44" customWidth="1"/>
    <col min="25" max="25" width="6.25" style="44" customWidth="1"/>
    <col min="26" max="26" width="8" style="355" customWidth="1"/>
    <col min="27" max="27" width="12.5" style="44" customWidth="1"/>
    <col min="28" max="28" width="4.125" style="44" customWidth="1"/>
    <col min="29" max="29" width="10.625" style="6" customWidth="1"/>
    <col min="30" max="44" width="9" style="42"/>
    <col min="45" max="16384" width="9" style="16"/>
  </cols>
  <sheetData>
    <row r="1" spans="1:44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9"/>
      <c r="AA1" s="17"/>
      <c r="AB1" s="17"/>
      <c r="AC1" s="17"/>
    </row>
    <row r="2" spans="1:44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0"/>
      <c r="AA2" s="18"/>
      <c r="AB2" s="18"/>
      <c r="AC2" s="18"/>
    </row>
    <row r="3" spans="1:44" ht="3.75" customHeight="1">
      <c r="A3" s="4"/>
      <c r="B3" s="45"/>
      <c r="C3" s="551"/>
      <c r="D3" s="4"/>
      <c r="E3" s="37"/>
      <c r="F3" s="37"/>
      <c r="G3" s="4"/>
      <c r="H3" s="45"/>
      <c r="I3" s="45"/>
      <c r="K3" s="45"/>
      <c r="L3" s="45"/>
      <c r="M3" s="45"/>
      <c r="N3" s="45"/>
      <c r="O3" s="45"/>
      <c r="P3" s="45"/>
      <c r="Q3" s="744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44"/>
    </row>
    <row r="4" spans="1:44" ht="22.5" customHeight="1">
      <c r="A4" s="791" t="s">
        <v>408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791"/>
    </row>
    <row r="5" spans="1:44" ht="22.5" customHeight="1">
      <c r="A5" s="791" t="s">
        <v>500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791"/>
    </row>
    <row r="6" spans="1:44" ht="18" customHeight="1">
      <c r="A6" s="8"/>
      <c r="B6" s="50"/>
      <c r="C6" s="757"/>
      <c r="D6" s="757"/>
      <c r="E6" s="757"/>
      <c r="F6" s="757"/>
      <c r="G6" s="757"/>
      <c r="H6" s="757"/>
      <c r="Q6" s="48" t="s">
        <v>478</v>
      </c>
      <c r="R6" s="48"/>
      <c r="S6" s="48"/>
      <c r="T6" s="48"/>
      <c r="U6" s="48"/>
      <c r="V6" s="48"/>
      <c r="W6" s="48"/>
      <c r="X6" s="48"/>
      <c r="Y6" s="48"/>
      <c r="Z6" s="351"/>
      <c r="AA6" s="48"/>
      <c r="AB6" s="48"/>
      <c r="AC6" s="67"/>
    </row>
    <row r="7" spans="1:44">
      <c r="A7" s="8"/>
      <c r="B7" s="146">
        <v>1490000</v>
      </c>
      <c r="C7" s="757"/>
      <c r="D7" s="757"/>
      <c r="E7" s="757"/>
      <c r="F7" s="757"/>
      <c r="G7" s="757"/>
      <c r="H7" s="757"/>
      <c r="I7" s="48"/>
      <c r="J7" s="50"/>
      <c r="K7" s="48"/>
      <c r="L7" s="48"/>
      <c r="M7" s="48"/>
      <c r="N7" s="48"/>
      <c r="O7" s="48"/>
      <c r="P7" s="48"/>
      <c r="Q7" s="48" t="s">
        <v>479</v>
      </c>
      <c r="R7" s="48"/>
      <c r="S7" s="48"/>
      <c r="T7" s="48"/>
      <c r="U7" s="48"/>
      <c r="V7" s="48"/>
      <c r="W7" s="48"/>
      <c r="X7" s="48"/>
      <c r="Y7" s="48"/>
      <c r="Z7" s="351"/>
      <c r="AA7" s="48"/>
      <c r="AB7" s="48"/>
    </row>
    <row r="8" spans="1:44">
      <c r="A8" s="8"/>
      <c r="B8" s="50"/>
      <c r="C8" s="784"/>
      <c r="D8" s="784"/>
      <c r="E8" s="784"/>
      <c r="F8" s="784"/>
      <c r="G8" s="784"/>
      <c r="H8" s="78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2"/>
      <c r="AA8" s="52"/>
      <c r="AB8" s="52"/>
      <c r="AC8" s="66"/>
    </row>
    <row r="9" spans="1:44" ht="4.5" customHeight="1">
      <c r="A9" s="8"/>
      <c r="B9" s="50"/>
      <c r="C9" s="160"/>
      <c r="D9" s="160"/>
      <c r="E9" s="203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1"/>
      <c r="AA9" s="48"/>
      <c r="AB9" s="53"/>
    </row>
    <row r="10" spans="1:44" s="43" customFormat="1" ht="27.75" customHeight="1">
      <c r="A10" s="785" t="s">
        <v>2</v>
      </c>
      <c r="B10" s="785" t="s">
        <v>3</v>
      </c>
      <c r="C10" s="786" t="s">
        <v>51</v>
      </c>
      <c r="D10" s="782" t="s">
        <v>235</v>
      </c>
      <c r="E10" s="787" t="s">
        <v>430</v>
      </c>
      <c r="F10" s="787" t="s">
        <v>431</v>
      </c>
      <c r="G10" s="769" t="s">
        <v>129</v>
      </c>
      <c r="H10" s="782" t="s">
        <v>270</v>
      </c>
      <c r="I10" s="778" t="s">
        <v>179</v>
      </c>
      <c r="J10" s="778" t="s">
        <v>266</v>
      </c>
      <c r="K10" s="778" t="s">
        <v>267</v>
      </c>
      <c r="L10" s="778" t="s">
        <v>169</v>
      </c>
      <c r="M10" s="780"/>
      <c r="N10" s="782" t="s">
        <v>147</v>
      </c>
      <c r="O10" s="782" t="s">
        <v>148</v>
      </c>
      <c r="P10" s="769" t="s">
        <v>149</v>
      </c>
      <c r="Q10" s="762" t="s">
        <v>67</v>
      </c>
      <c r="R10" s="763"/>
      <c r="S10" s="763"/>
      <c r="T10" s="763"/>
      <c r="U10" s="764"/>
      <c r="V10" s="765" t="s">
        <v>167</v>
      </c>
      <c r="W10" s="766"/>
      <c r="X10" s="765" t="s">
        <v>168</v>
      </c>
      <c r="Y10" s="766"/>
      <c r="Z10" s="767" t="s">
        <v>272</v>
      </c>
      <c r="AA10" s="769" t="s">
        <v>153</v>
      </c>
      <c r="AB10" s="771" t="s">
        <v>5</v>
      </c>
      <c r="AC10" s="772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</row>
    <row r="11" spans="1:44" s="43" customFormat="1" ht="41.25" customHeight="1">
      <c r="A11" s="785"/>
      <c r="B11" s="785"/>
      <c r="C11" s="786"/>
      <c r="D11" s="783"/>
      <c r="E11" s="788"/>
      <c r="F11" s="788"/>
      <c r="G11" s="770"/>
      <c r="H11" s="783"/>
      <c r="I11" s="779"/>
      <c r="J11" s="779"/>
      <c r="K11" s="779"/>
      <c r="L11" s="779"/>
      <c r="M11" s="781"/>
      <c r="N11" s="783"/>
      <c r="O11" s="783"/>
      <c r="P11" s="770"/>
      <c r="Q11" s="140" t="s">
        <v>113</v>
      </c>
      <c r="R11" s="140" t="s">
        <v>68</v>
      </c>
      <c r="S11" s="140" t="s">
        <v>60</v>
      </c>
      <c r="T11" s="138" t="s">
        <v>150</v>
      </c>
      <c r="U11" s="138" t="s">
        <v>151</v>
      </c>
      <c r="V11" s="138" t="s">
        <v>84</v>
      </c>
      <c r="W11" s="338" t="s">
        <v>169</v>
      </c>
      <c r="X11" s="138" t="s">
        <v>84</v>
      </c>
      <c r="Y11" s="338" t="s">
        <v>169</v>
      </c>
      <c r="Z11" s="768"/>
      <c r="AA11" s="770"/>
      <c r="AB11" s="773"/>
      <c r="AC11" s="774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</row>
    <row r="12" spans="1:44" s="43" customFormat="1" ht="27.75" customHeight="1">
      <c r="A12" s="82" t="s">
        <v>154</v>
      </c>
      <c r="B12" s="252" t="s">
        <v>155</v>
      </c>
      <c r="C12" s="83" t="s">
        <v>156</v>
      </c>
      <c r="D12" s="83"/>
      <c r="E12" s="148"/>
      <c r="F12" s="148"/>
      <c r="G12" s="161" t="s">
        <v>157</v>
      </c>
      <c r="H12" s="149" t="s">
        <v>46</v>
      </c>
      <c r="I12" s="254" t="s">
        <v>42</v>
      </c>
      <c r="J12" s="254"/>
      <c r="K12" s="254" t="s">
        <v>43</v>
      </c>
      <c r="L12" s="254" t="s">
        <v>268</v>
      </c>
      <c r="M12" s="149"/>
      <c r="N12" s="149" t="s">
        <v>74</v>
      </c>
      <c r="O12" s="149" t="s">
        <v>47</v>
      </c>
      <c r="P12" s="254" t="s">
        <v>175</v>
      </c>
      <c r="Q12" s="149" t="s">
        <v>75</v>
      </c>
      <c r="R12" s="149" t="s">
        <v>76</v>
      </c>
      <c r="S12" s="149" t="s">
        <v>158</v>
      </c>
      <c r="T12" s="149" t="s">
        <v>159</v>
      </c>
      <c r="U12" s="254" t="s">
        <v>176</v>
      </c>
      <c r="V12" s="149" t="s">
        <v>160</v>
      </c>
      <c r="W12" s="149" t="s">
        <v>161</v>
      </c>
      <c r="X12" s="149" t="s">
        <v>162</v>
      </c>
      <c r="Y12" s="149" t="s">
        <v>170</v>
      </c>
      <c r="Z12" s="360" t="s">
        <v>360</v>
      </c>
      <c r="AA12" s="254" t="s">
        <v>361</v>
      </c>
      <c r="AB12" s="776" t="s">
        <v>171</v>
      </c>
      <c r="AC12" s="777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</row>
    <row r="13" spans="1:44" s="43" customFormat="1" ht="24" hidden="1" customHeight="1">
      <c r="A13" s="253" t="s">
        <v>442</v>
      </c>
      <c r="B13" s="619" t="s">
        <v>443</v>
      </c>
      <c r="C13" s="620" t="s">
        <v>444</v>
      </c>
      <c r="D13" s="620" t="s">
        <v>445</v>
      </c>
      <c r="E13" s="620" t="s">
        <v>446</v>
      </c>
      <c r="F13" s="620" t="s">
        <v>447</v>
      </c>
      <c r="G13" s="620" t="s">
        <v>448</v>
      </c>
      <c r="H13" s="620" t="s">
        <v>449</v>
      </c>
      <c r="I13" s="623" t="s">
        <v>450</v>
      </c>
      <c r="J13" s="254" t="s">
        <v>451</v>
      </c>
      <c r="K13" s="254" t="s">
        <v>452</v>
      </c>
      <c r="L13" s="254" t="s">
        <v>453</v>
      </c>
      <c r="M13" s="149" t="s">
        <v>454</v>
      </c>
      <c r="N13" s="149" t="s">
        <v>455</v>
      </c>
      <c r="O13" s="149" t="s">
        <v>456</v>
      </c>
      <c r="P13" s="254" t="s">
        <v>457</v>
      </c>
      <c r="Q13" s="149" t="s">
        <v>458</v>
      </c>
      <c r="R13" s="590" t="s">
        <v>459</v>
      </c>
      <c r="S13" s="149" t="s">
        <v>460</v>
      </c>
      <c r="T13" s="590" t="s">
        <v>461</v>
      </c>
      <c r="U13" s="627" t="s">
        <v>462</v>
      </c>
      <c r="V13" s="590" t="s">
        <v>463</v>
      </c>
      <c r="W13" s="590" t="s">
        <v>464</v>
      </c>
      <c r="X13" s="590" t="s">
        <v>465</v>
      </c>
      <c r="Y13" s="590" t="s">
        <v>466</v>
      </c>
      <c r="Z13" s="628" t="s">
        <v>467</v>
      </c>
      <c r="AA13" s="627" t="s">
        <v>468</v>
      </c>
      <c r="AB13" s="590" t="s">
        <v>469</v>
      </c>
      <c r="AC13" s="591" t="s">
        <v>470</v>
      </c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</row>
    <row r="14" spans="1:44" s="104" customFormat="1" ht="35.450000000000003" customHeight="1">
      <c r="A14" s="253" t="s">
        <v>432</v>
      </c>
      <c r="B14" s="619" t="s">
        <v>435</v>
      </c>
      <c r="C14" s="620"/>
      <c r="D14" s="620"/>
      <c r="E14" s="620"/>
      <c r="F14" s="620"/>
      <c r="G14" s="620"/>
      <c r="H14" s="620"/>
      <c r="I14" s="623"/>
      <c r="J14" s="254"/>
      <c r="K14" s="254"/>
      <c r="L14" s="254"/>
      <c r="M14" s="149"/>
      <c r="N14" s="149"/>
      <c r="O14" s="149"/>
      <c r="P14" s="254"/>
      <c r="Q14" s="149"/>
      <c r="R14" s="590"/>
      <c r="S14" s="149"/>
      <c r="T14" s="590"/>
      <c r="U14" s="627"/>
      <c r="V14" s="590"/>
      <c r="W14" s="590"/>
      <c r="X14" s="590"/>
      <c r="Y14" s="590"/>
      <c r="Z14" s="628"/>
      <c r="AA14" s="627"/>
      <c r="AB14" s="590"/>
      <c r="AC14" s="591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</row>
    <row r="15" spans="1:44" s="104" customFormat="1" ht="40.5" customHeight="1">
      <c r="A15" s="651">
        <f>_xlfn.AGGREGATE(4,7,A$14:A14)+1</f>
        <v>1</v>
      </c>
      <c r="B15" s="644" t="s">
        <v>344</v>
      </c>
      <c r="C15" s="241" t="s">
        <v>345</v>
      </c>
      <c r="D15" s="242"/>
      <c r="E15" s="547"/>
      <c r="F15" s="661" t="str">
        <f>INDEX([3]SACOM!$C$7:$C$335,MATCH(B15,[3]SACOM!$B$7:$B$335,0))</f>
        <v>060310666028</v>
      </c>
      <c r="G15" s="662" t="s">
        <v>242</v>
      </c>
      <c r="H15" s="629">
        <v>7</v>
      </c>
      <c r="I15" s="630">
        <v>8522203</v>
      </c>
      <c r="J15" s="631"/>
      <c r="K15" s="630"/>
      <c r="L15" s="630">
        <f t="shared" ref="L15:L51" si="0">ROUND(I15+K15,0)</f>
        <v>8522203</v>
      </c>
      <c r="M15" s="630"/>
      <c r="N15" s="630">
        <f t="shared" ref="N15:N51" si="1">L15/26*M15</f>
        <v>0</v>
      </c>
      <c r="O15" s="630"/>
      <c r="P15" s="630">
        <f t="shared" ref="P15:P51" si="2">L15-N15+O15</f>
        <v>8522203</v>
      </c>
      <c r="Q15" s="630">
        <f t="shared" ref="Q15:Q47" si="3">L15*8%</f>
        <v>681776.24</v>
      </c>
      <c r="R15" s="632">
        <f t="shared" ref="R15:R47" si="4">L15*1.5%</f>
        <v>127833.045</v>
      </c>
      <c r="S15" s="630">
        <f t="shared" ref="S15:S47" si="5">L15*1%</f>
        <v>85222.03</v>
      </c>
      <c r="T15" s="632"/>
      <c r="U15" s="632">
        <f t="shared" ref="U15:U51" si="6">SUM(Q15:T15)</f>
        <v>894831.31500000006</v>
      </c>
      <c r="V15" s="632"/>
      <c r="W15" s="632"/>
      <c r="X15" s="633"/>
      <c r="Y15" s="632"/>
      <c r="Z15" s="632"/>
      <c r="AA15" s="626">
        <f t="shared" ref="AA15:AA43" si="7">P15-U15+W15+Y15+Z15</f>
        <v>7627371.6849999996</v>
      </c>
      <c r="AB15" s="250">
        <f t="shared" ref="AB15:AB51" si="8">A15</f>
        <v>1</v>
      </c>
      <c r="AC15" s="251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</row>
    <row r="16" spans="1:44" s="678" customFormat="1" ht="38.25" customHeight="1">
      <c r="A16" s="651">
        <f>_xlfn.AGGREGATE(4,7,A$14:A15)+1</f>
        <v>2</v>
      </c>
      <c r="B16" s="498" t="s">
        <v>135</v>
      </c>
      <c r="C16" s="112" t="s">
        <v>120</v>
      </c>
      <c r="D16" s="227" t="s">
        <v>236</v>
      </c>
      <c r="E16" s="209" t="s">
        <v>208</v>
      </c>
      <c r="F16" s="453" t="str">
        <f>INDEX([3]SACOM!$C$7:$C$335,MATCH(B16,[3]SACOM!$B$7:$B$335,0))</f>
        <v>060310750304</v>
      </c>
      <c r="G16" s="452" t="s">
        <v>242</v>
      </c>
      <c r="H16" s="529">
        <v>6</v>
      </c>
      <c r="I16" s="530">
        <v>7964676</v>
      </c>
      <c r="J16" s="631"/>
      <c r="K16" s="530"/>
      <c r="L16" s="530">
        <f t="shared" si="0"/>
        <v>7964676</v>
      </c>
      <c r="M16" s="530"/>
      <c r="N16" s="530">
        <f t="shared" si="1"/>
        <v>0</v>
      </c>
      <c r="O16" s="530"/>
      <c r="P16" s="530">
        <f t="shared" si="2"/>
        <v>7964676</v>
      </c>
      <c r="Q16" s="630">
        <f t="shared" si="3"/>
        <v>637174.07999999996</v>
      </c>
      <c r="R16" s="632">
        <f t="shared" si="4"/>
        <v>119470.14</v>
      </c>
      <c r="S16" s="630">
        <f t="shared" si="5"/>
        <v>79646.759999999995</v>
      </c>
      <c r="T16" s="532"/>
      <c r="U16" s="532">
        <f t="shared" si="6"/>
        <v>836290.98</v>
      </c>
      <c r="V16" s="532"/>
      <c r="W16" s="532"/>
      <c r="X16" s="532"/>
      <c r="Y16" s="532"/>
      <c r="Z16" s="532"/>
      <c r="AA16" s="455">
        <f t="shared" si="7"/>
        <v>7128385.0199999996</v>
      </c>
      <c r="AB16" s="101">
        <f t="shared" si="8"/>
        <v>2</v>
      </c>
      <c r="AC16" s="102"/>
      <c r="AD16" s="729"/>
      <c r="AE16" s="729"/>
      <c r="AF16" s="729"/>
      <c r="AG16" s="729"/>
      <c r="AH16" s="729"/>
      <c r="AI16" s="729"/>
      <c r="AJ16" s="729"/>
      <c r="AK16" s="729"/>
      <c r="AL16" s="729"/>
      <c r="AM16" s="729"/>
      <c r="AN16" s="729"/>
      <c r="AO16" s="729"/>
      <c r="AP16" s="729"/>
      <c r="AQ16" s="729"/>
      <c r="AR16" s="729"/>
    </row>
    <row r="17" spans="1:44" s="511" customFormat="1" ht="30" customHeight="1">
      <c r="A17" s="651">
        <f>_xlfn.AGGREGATE(4,7,A$14:A16)+1</f>
        <v>3</v>
      </c>
      <c r="B17" s="498" t="s">
        <v>139</v>
      </c>
      <c r="C17" s="112" t="s">
        <v>69</v>
      </c>
      <c r="D17" s="228" t="str">
        <f>VLOOKUP(B17,[2]T3!$B$2:$D$328,3,FALSE)</f>
        <v>026050143</v>
      </c>
      <c r="E17" s="223" t="s">
        <v>217</v>
      </c>
      <c r="F17" s="453" t="str">
        <f>INDEX([3]SACOM!$C$7:$C$335,MATCH(B17,[3]SACOM!$B$7:$B$335,0))</f>
        <v>060311482761</v>
      </c>
      <c r="G17" s="452" t="s">
        <v>242</v>
      </c>
      <c r="H17" s="529">
        <v>7</v>
      </c>
      <c r="I17" s="530">
        <v>8522203</v>
      </c>
      <c r="J17" s="631"/>
      <c r="K17" s="530"/>
      <c r="L17" s="530">
        <f t="shared" si="0"/>
        <v>8522203</v>
      </c>
      <c r="M17" s="530"/>
      <c r="N17" s="530">
        <f t="shared" si="1"/>
        <v>0</v>
      </c>
      <c r="O17" s="530"/>
      <c r="P17" s="530">
        <f t="shared" si="2"/>
        <v>8522203</v>
      </c>
      <c r="Q17" s="530">
        <f t="shared" si="3"/>
        <v>681776.24</v>
      </c>
      <c r="R17" s="532">
        <f t="shared" si="4"/>
        <v>127833.045</v>
      </c>
      <c r="S17" s="530">
        <f t="shared" si="5"/>
        <v>85222.03</v>
      </c>
      <c r="T17" s="532"/>
      <c r="U17" s="532">
        <f t="shared" si="6"/>
        <v>894831.31500000006</v>
      </c>
      <c r="V17" s="532"/>
      <c r="W17" s="532"/>
      <c r="X17" s="532"/>
      <c r="Y17" s="532"/>
      <c r="Z17" s="532"/>
      <c r="AA17" s="455">
        <f t="shared" si="7"/>
        <v>7627371.6849999996</v>
      </c>
      <c r="AB17" s="101">
        <f t="shared" si="8"/>
        <v>3</v>
      </c>
      <c r="AC17" s="102"/>
      <c r="AD17" s="729"/>
      <c r="AE17" s="729"/>
      <c r="AF17" s="729"/>
      <c r="AG17" s="729"/>
      <c r="AH17" s="729"/>
      <c r="AI17" s="729"/>
      <c r="AJ17" s="729"/>
      <c r="AK17" s="729"/>
      <c r="AL17" s="729"/>
      <c r="AM17" s="729"/>
      <c r="AN17" s="729"/>
      <c r="AO17" s="729"/>
      <c r="AP17" s="729"/>
      <c r="AQ17" s="729"/>
      <c r="AR17" s="729"/>
    </row>
    <row r="18" spans="1:44" s="104" customFormat="1" ht="39" customHeight="1">
      <c r="A18" s="651">
        <f>_xlfn.AGGREGATE(4,7,A$14:A17)+1</f>
        <v>4</v>
      </c>
      <c r="B18" s="589" t="s">
        <v>127</v>
      </c>
      <c r="C18" s="112" t="s">
        <v>120</v>
      </c>
      <c r="D18" s="228" t="str">
        <f>VLOOKUP(B18,[2]T3!$B$2:$D$328,3,FALSE)</f>
        <v>025444854</v>
      </c>
      <c r="E18" s="223" t="s">
        <v>209</v>
      </c>
      <c r="F18" s="453" t="str">
        <f>INDEX([3]SACOM!$C$7:$C$335,MATCH(B18,[3]SACOM!$B$7:$B$335,0))</f>
        <v>061828031994</v>
      </c>
      <c r="G18" s="452" t="s">
        <v>245</v>
      </c>
      <c r="H18" s="529">
        <v>4</v>
      </c>
      <c r="I18" s="530">
        <v>6143747</v>
      </c>
      <c r="J18" s="631"/>
      <c r="K18" s="530"/>
      <c r="L18" s="530">
        <f t="shared" si="0"/>
        <v>6143747</v>
      </c>
      <c r="M18" s="530"/>
      <c r="N18" s="530">
        <f t="shared" si="1"/>
        <v>0</v>
      </c>
      <c r="O18" s="530"/>
      <c r="P18" s="530">
        <f t="shared" si="2"/>
        <v>6143747</v>
      </c>
      <c r="Q18" s="530">
        <f t="shared" si="3"/>
        <v>491499.76</v>
      </c>
      <c r="R18" s="532">
        <f t="shared" si="4"/>
        <v>92156.205000000002</v>
      </c>
      <c r="S18" s="530">
        <f t="shared" si="5"/>
        <v>61437.47</v>
      </c>
      <c r="T18" s="532"/>
      <c r="U18" s="532">
        <f t="shared" si="6"/>
        <v>645093.43499999994</v>
      </c>
      <c r="V18" s="532"/>
      <c r="W18" s="532"/>
      <c r="X18" s="532"/>
      <c r="Y18" s="532"/>
      <c r="Z18" s="532"/>
      <c r="AA18" s="455">
        <f t="shared" si="7"/>
        <v>5498653.5650000004</v>
      </c>
      <c r="AB18" s="101">
        <f t="shared" si="8"/>
        <v>4</v>
      </c>
      <c r="AC18" s="10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</row>
    <row r="19" spans="1:44" s="104" customFormat="1" ht="39" customHeight="1">
      <c r="A19" s="651">
        <f>_xlfn.AGGREGATE(4,7,A$14:A18)+1</f>
        <v>5</v>
      </c>
      <c r="B19" s="498" t="s">
        <v>140</v>
      </c>
      <c r="C19" s="112" t="s">
        <v>274</v>
      </c>
      <c r="D19" s="228" t="str">
        <f>VLOOKUP(B19,[2]T3!$B$2:$D$328,3,FALSE)</f>
        <v>025177943</v>
      </c>
      <c r="E19" s="209" t="s">
        <v>215</v>
      </c>
      <c r="F19" s="453" t="str">
        <f>INDEX([3]SACOM!$C$7:$C$335,MATCH(B19,[3]SACOM!$B$7:$B$335,0))</f>
        <v>060310749055</v>
      </c>
      <c r="G19" s="452" t="s">
        <v>245</v>
      </c>
      <c r="H19" s="634">
        <v>6</v>
      </c>
      <c r="I19" s="530">
        <v>6773482</v>
      </c>
      <c r="J19" s="631"/>
      <c r="K19" s="530"/>
      <c r="L19" s="530">
        <f t="shared" si="0"/>
        <v>6773482</v>
      </c>
      <c r="M19" s="530"/>
      <c r="N19" s="530">
        <f>L19/26*M19</f>
        <v>0</v>
      </c>
      <c r="O19" s="530"/>
      <c r="P19" s="530">
        <f t="shared" si="2"/>
        <v>6773482</v>
      </c>
      <c r="Q19" s="530">
        <f t="shared" si="3"/>
        <v>541878.56000000006</v>
      </c>
      <c r="R19" s="532">
        <f t="shared" si="4"/>
        <v>101602.23</v>
      </c>
      <c r="S19" s="530">
        <f t="shared" si="5"/>
        <v>67734.820000000007</v>
      </c>
      <c r="T19" s="532"/>
      <c r="U19" s="532">
        <f t="shared" si="6"/>
        <v>711215.6100000001</v>
      </c>
      <c r="V19" s="532"/>
      <c r="W19" s="532"/>
      <c r="X19" s="532"/>
      <c r="Y19" s="532"/>
      <c r="Z19" s="532"/>
      <c r="AA19" s="455">
        <f t="shared" si="7"/>
        <v>6062266.3899999997</v>
      </c>
      <c r="AB19" s="101">
        <f t="shared" si="8"/>
        <v>5</v>
      </c>
      <c r="AC19" s="10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</row>
    <row r="20" spans="1:44" s="517" customFormat="1" ht="36.75" customHeight="1">
      <c r="A20" s="651">
        <f>_xlfn.AGGREGATE(4,7,A$14:A19)+1</f>
        <v>6</v>
      </c>
      <c r="B20" s="498" t="s">
        <v>144</v>
      </c>
      <c r="C20" s="112" t="s">
        <v>274</v>
      </c>
      <c r="D20" s="228" t="str">
        <f>VLOOKUP(B20,[2]T3!$B$2:$D$328,3,FALSE)</f>
        <v>025632449</v>
      </c>
      <c r="E20" s="209" t="s">
        <v>220</v>
      </c>
      <c r="F20" s="453" t="str">
        <f>INDEX([3]SACOM!$C$7:$C$335,MATCH(B20,[3]SACOM!$B$7:$B$335,0))</f>
        <v>060310751688</v>
      </c>
      <c r="G20" s="452" t="s">
        <v>245</v>
      </c>
      <c r="H20" s="529">
        <v>4</v>
      </c>
      <c r="I20" s="530">
        <v>6143747</v>
      </c>
      <c r="J20" s="631"/>
      <c r="K20" s="530"/>
      <c r="L20" s="530">
        <f t="shared" si="0"/>
        <v>6143747</v>
      </c>
      <c r="M20" s="530"/>
      <c r="N20" s="530">
        <f t="shared" si="1"/>
        <v>0</v>
      </c>
      <c r="O20" s="530"/>
      <c r="P20" s="530">
        <f t="shared" si="2"/>
        <v>6143747</v>
      </c>
      <c r="Q20" s="530">
        <f t="shared" si="3"/>
        <v>491499.76</v>
      </c>
      <c r="R20" s="532">
        <f t="shared" si="4"/>
        <v>92156.205000000002</v>
      </c>
      <c r="S20" s="530">
        <f t="shared" si="5"/>
        <v>61437.47</v>
      </c>
      <c r="T20" s="532"/>
      <c r="U20" s="532">
        <f t="shared" si="6"/>
        <v>645093.43499999994</v>
      </c>
      <c r="V20" s="532"/>
      <c r="W20" s="532"/>
      <c r="X20" s="532"/>
      <c r="Y20" s="532"/>
      <c r="Z20" s="532"/>
      <c r="AA20" s="455">
        <f t="shared" si="7"/>
        <v>5498653.5650000004</v>
      </c>
      <c r="AB20" s="101">
        <f t="shared" si="8"/>
        <v>6</v>
      </c>
      <c r="AC20" s="102"/>
      <c r="AD20" s="741"/>
      <c r="AE20" s="741"/>
      <c r="AF20" s="741"/>
      <c r="AG20" s="741"/>
      <c r="AH20" s="741"/>
      <c r="AI20" s="741"/>
      <c r="AJ20" s="741"/>
      <c r="AK20" s="741"/>
      <c r="AL20" s="741"/>
      <c r="AM20" s="741"/>
      <c r="AN20" s="741"/>
      <c r="AO20" s="741"/>
      <c r="AP20" s="741"/>
      <c r="AQ20" s="741"/>
      <c r="AR20" s="741"/>
    </row>
    <row r="21" spans="1:44" s="511" customFormat="1" ht="35.25" customHeight="1">
      <c r="A21" s="693">
        <f>_xlfn.AGGREGATE(4,7,A$14:A20)+1</f>
        <v>7</v>
      </c>
      <c r="B21" s="736" t="s">
        <v>229</v>
      </c>
      <c r="C21" s="383" t="s">
        <v>277</v>
      </c>
      <c r="D21" s="737" t="str">
        <f>VLOOKUP(B21,[2]T3!$B$2:$D$328,3,FALSE)</f>
        <v>024326689</v>
      </c>
      <c r="E21" s="735"/>
      <c r="F21" s="709" t="str">
        <f>INDEX([3]SACOM!$C$7:$C$335,MATCH(B21,[3]SACOM!$B$7:$B$335,0))</f>
        <v>060281693924</v>
      </c>
      <c r="G21" s="725" t="s">
        <v>245</v>
      </c>
      <c r="H21" s="726">
        <v>2</v>
      </c>
      <c r="I21" s="666">
        <v>5572560</v>
      </c>
      <c r="J21" s="712"/>
      <c r="K21" s="666"/>
      <c r="L21" s="666">
        <f t="shared" si="0"/>
        <v>5572560</v>
      </c>
      <c r="M21" s="666"/>
      <c r="N21" s="666">
        <f t="shared" si="1"/>
        <v>0</v>
      </c>
      <c r="O21" s="666"/>
      <c r="P21" s="666">
        <f t="shared" si="2"/>
        <v>5572560</v>
      </c>
      <c r="Q21" s="666">
        <f t="shared" si="3"/>
        <v>445804.79999999999</v>
      </c>
      <c r="R21" s="667">
        <f t="shared" si="4"/>
        <v>83588.399999999994</v>
      </c>
      <c r="S21" s="666">
        <f t="shared" si="5"/>
        <v>55725.599999999999</v>
      </c>
      <c r="T21" s="667"/>
      <c r="U21" s="667">
        <f t="shared" si="6"/>
        <v>585118.79999999993</v>
      </c>
      <c r="V21" s="667"/>
      <c r="W21" s="667"/>
      <c r="X21" s="738"/>
      <c r="Y21" s="667"/>
      <c r="Z21" s="667"/>
      <c r="AA21" s="668">
        <f t="shared" si="7"/>
        <v>4987441.2</v>
      </c>
      <c r="AB21" s="739">
        <f t="shared" si="8"/>
        <v>7</v>
      </c>
      <c r="AC21" s="740"/>
      <c r="AD21" s="729"/>
      <c r="AE21" s="729"/>
      <c r="AF21" s="729"/>
      <c r="AG21" s="729"/>
      <c r="AH21" s="729"/>
      <c r="AI21" s="729"/>
      <c r="AJ21" s="729"/>
      <c r="AK21" s="729"/>
      <c r="AL21" s="729"/>
      <c r="AM21" s="729"/>
      <c r="AN21" s="729"/>
      <c r="AO21" s="729"/>
      <c r="AP21" s="729"/>
      <c r="AQ21" s="729"/>
      <c r="AR21" s="729"/>
    </row>
    <row r="22" spans="1:44" s="104" customFormat="1" ht="36.6" customHeight="1">
      <c r="A22" s="651">
        <f>_xlfn.AGGREGATE(4,7,A$14:A21)+1</f>
        <v>8</v>
      </c>
      <c r="B22" s="498" t="s">
        <v>133</v>
      </c>
      <c r="C22" s="112" t="s">
        <v>73</v>
      </c>
      <c r="D22" s="228" t="str">
        <f>VLOOKUP(B22,[2]T3!$B$2:$D$328,3,FALSE)</f>
        <v>230718298</v>
      </c>
      <c r="E22" s="209" t="s">
        <v>206</v>
      </c>
      <c r="F22" s="453" t="str">
        <f>INDEX([3]SACOM!$C$7:$C$335,MATCH(B22,[3]SACOM!$B$7:$B$335,0))</f>
        <v>0977414676</v>
      </c>
      <c r="G22" s="452" t="s">
        <v>242</v>
      </c>
      <c r="H22" s="529">
        <v>6</v>
      </c>
      <c r="I22" s="530">
        <v>7964676</v>
      </c>
      <c r="J22" s="631"/>
      <c r="K22" s="530"/>
      <c r="L22" s="530">
        <f t="shared" si="0"/>
        <v>7964676</v>
      </c>
      <c r="M22" s="530">
        <v>0</v>
      </c>
      <c r="N22" s="530">
        <f t="shared" si="1"/>
        <v>0</v>
      </c>
      <c r="O22" s="530"/>
      <c r="P22" s="530">
        <f t="shared" si="2"/>
        <v>7964676</v>
      </c>
      <c r="Q22" s="530">
        <f t="shared" si="3"/>
        <v>637174.07999999996</v>
      </c>
      <c r="R22" s="532">
        <f t="shared" si="4"/>
        <v>119470.14</v>
      </c>
      <c r="S22" s="530">
        <f t="shared" si="5"/>
        <v>79646.759999999995</v>
      </c>
      <c r="T22" s="532"/>
      <c r="U22" s="532">
        <f t="shared" si="6"/>
        <v>836290.98</v>
      </c>
      <c r="V22" s="532"/>
      <c r="W22" s="635"/>
      <c r="X22" s="635"/>
      <c r="Y22" s="635"/>
      <c r="Z22" s="635"/>
      <c r="AA22" s="455">
        <f t="shared" si="7"/>
        <v>7128385.0199999996</v>
      </c>
      <c r="AB22" s="101">
        <f t="shared" si="8"/>
        <v>8</v>
      </c>
      <c r="AC22" s="10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</row>
    <row r="23" spans="1:44" s="104" customFormat="1" ht="38.450000000000003" customHeight="1">
      <c r="A23" s="651">
        <f>_xlfn.AGGREGATE(4,7,A$14:A22)+1</f>
        <v>9</v>
      </c>
      <c r="B23" s="498" t="s">
        <v>327</v>
      </c>
      <c r="C23" s="112" t="s">
        <v>326</v>
      </c>
      <c r="D23" s="228"/>
      <c r="E23" s="334" t="s">
        <v>337</v>
      </c>
      <c r="F23" s="453" t="str">
        <f>INDEX([3]SACOM!$C$7:$C$335,MATCH(B23,[3]SACOM!$B$7:$B$335,0))</f>
        <v>060311042826</v>
      </c>
      <c r="G23" s="445" t="s">
        <v>242</v>
      </c>
      <c r="H23" s="529">
        <v>2</v>
      </c>
      <c r="I23" s="530">
        <v>6076213</v>
      </c>
      <c r="J23" s="631"/>
      <c r="K23" s="530"/>
      <c r="L23" s="530">
        <f t="shared" si="0"/>
        <v>6076213</v>
      </c>
      <c r="M23" s="530"/>
      <c r="N23" s="530">
        <f t="shared" si="1"/>
        <v>0</v>
      </c>
      <c r="O23" s="530"/>
      <c r="P23" s="530">
        <f t="shared" si="2"/>
        <v>6076213</v>
      </c>
      <c r="Q23" s="530">
        <f t="shared" si="3"/>
        <v>486097.04000000004</v>
      </c>
      <c r="R23" s="532">
        <f t="shared" si="4"/>
        <v>91143.194999999992</v>
      </c>
      <c r="S23" s="530">
        <f t="shared" si="5"/>
        <v>60762.130000000005</v>
      </c>
      <c r="T23" s="532"/>
      <c r="U23" s="532">
        <f t="shared" si="6"/>
        <v>638002.36499999999</v>
      </c>
      <c r="V23" s="532"/>
      <c r="W23" s="635"/>
      <c r="X23" s="635"/>
      <c r="Y23" s="635"/>
      <c r="Z23" s="635"/>
      <c r="AA23" s="455">
        <f t="shared" si="7"/>
        <v>5438210.6349999998</v>
      </c>
      <c r="AB23" s="101">
        <f t="shared" si="8"/>
        <v>9</v>
      </c>
      <c r="AC23" s="255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</row>
    <row r="24" spans="1:44" s="104" customFormat="1" ht="40.5" customHeight="1">
      <c r="A24" s="651">
        <f>_xlfn.AGGREGATE(4,7,A$14:A23)+1</f>
        <v>10</v>
      </c>
      <c r="B24" s="498" t="s">
        <v>397</v>
      </c>
      <c r="C24" s="112" t="s">
        <v>326</v>
      </c>
      <c r="D24" s="228"/>
      <c r="E24" s="334"/>
      <c r="F24" s="453" t="str">
        <f>INDEX([3]SACOM!$C$7:$C$335,MATCH(B24,[3]SACOM!$B$7:$B$335,0))</f>
        <v>060310886001</v>
      </c>
      <c r="G24" s="445" t="s">
        <v>242</v>
      </c>
      <c r="H24" s="529">
        <v>2</v>
      </c>
      <c r="I24" s="530">
        <v>6076213</v>
      </c>
      <c r="J24" s="631"/>
      <c r="K24" s="530"/>
      <c r="L24" s="530">
        <f t="shared" si="0"/>
        <v>6076213</v>
      </c>
      <c r="M24" s="530"/>
      <c r="N24" s="530">
        <f t="shared" si="1"/>
        <v>0</v>
      </c>
      <c r="O24" s="530"/>
      <c r="P24" s="530">
        <f t="shared" si="2"/>
        <v>6076213</v>
      </c>
      <c r="Q24" s="530">
        <f t="shared" si="3"/>
        <v>486097.04000000004</v>
      </c>
      <c r="R24" s="532">
        <f t="shared" si="4"/>
        <v>91143.194999999992</v>
      </c>
      <c r="S24" s="530">
        <f t="shared" si="5"/>
        <v>60762.130000000005</v>
      </c>
      <c r="T24" s="532"/>
      <c r="U24" s="532">
        <f t="shared" si="6"/>
        <v>638002.36499999999</v>
      </c>
      <c r="V24" s="532"/>
      <c r="W24" s="635"/>
      <c r="X24" s="635"/>
      <c r="Y24" s="635"/>
      <c r="Z24" s="635"/>
      <c r="AA24" s="455">
        <f t="shared" si="7"/>
        <v>5438210.6349999998</v>
      </c>
      <c r="AB24" s="101">
        <f t="shared" si="8"/>
        <v>10</v>
      </c>
      <c r="AC24" s="255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</row>
    <row r="25" spans="1:44" s="104" customFormat="1" ht="48.75" customHeight="1">
      <c r="A25" s="651">
        <f>_xlfn.AGGREGATE(4,7,A$14:A24)+1</f>
        <v>11</v>
      </c>
      <c r="B25" s="498" t="s">
        <v>138</v>
      </c>
      <c r="C25" s="112" t="s">
        <v>274</v>
      </c>
      <c r="D25" s="227" t="s">
        <v>237</v>
      </c>
      <c r="E25" s="209" t="s">
        <v>214</v>
      </c>
      <c r="F25" s="453" t="str">
        <f>INDEX([3]SACOM!$C$7:$C$335,MATCH(B25,[3]SACOM!$B$7:$B$335,0))</f>
        <v>060310828079</v>
      </c>
      <c r="G25" s="452" t="s">
        <v>242</v>
      </c>
      <c r="H25" s="636">
        <v>8</v>
      </c>
      <c r="I25" s="530">
        <v>9118758</v>
      </c>
      <c r="J25" s="631"/>
      <c r="K25" s="530"/>
      <c r="L25" s="530">
        <f t="shared" si="0"/>
        <v>9118758</v>
      </c>
      <c r="M25" s="530"/>
      <c r="N25" s="530">
        <f t="shared" si="1"/>
        <v>0</v>
      </c>
      <c r="O25" s="530"/>
      <c r="P25" s="530">
        <f t="shared" si="2"/>
        <v>9118758</v>
      </c>
      <c r="Q25" s="530">
        <f t="shared" si="3"/>
        <v>729500.64</v>
      </c>
      <c r="R25" s="532">
        <f t="shared" si="4"/>
        <v>136781.37</v>
      </c>
      <c r="S25" s="530">
        <f t="shared" si="5"/>
        <v>91187.58</v>
      </c>
      <c r="T25" s="532"/>
      <c r="U25" s="532">
        <f t="shared" si="6"/>
        <v>957469.59</v>
      </c>
      <c r="V25" s="532"/>
      <c r="W25" s="532"/>
      <c r="X25" s="532"/>
      <c r="Y25" s="532"/>
      <c r="Z25" s="532"/>
      <c r="AA25" s="455">
        <f t="shared" si="7"/>
        <v>8161288.4100000001</v>
      </c>
      <c r="AB25" s="101">
        <f t="shared" si="8"/>
        <v>11</v>
      </c>
      <c r="AC25" s="10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</row>
    <row r="26" spans="1:44" s="656" customFormat="1" ht="36" customHeight="1">
      <c r="A26" s="651">
        <f>_xlfn.AGGREGATE(4,7,A$14:A25)+1</f>
        <v>12</v>
      </c>
      <c r="B26" s="498" t="s">
        <v>283</v>
      </c>
      <c r="C26" s="112" t="s">
        <v>471</v>
      </c>
      <c r="D26" s="228"/>
      <c r="E26" s="223" t="s">
        <v>324</v>
      </c>
      <c r="F26" s="453" t="str">
        <f>INDEX([3]SACOM!$C$7:$C$335,MATCH(B26,[3]SACOM!$B$7:$B$335,0))</f>
        <v>060310836772</v>
      </c>
      <c r="G26" s="445" t="s">
        <v>242</v>
      </c>
      <c r="H26" s="529">
        <v>2</v>
      </c>
      <c r="I26" s="530">
        <v>6076213</v>
      </c>
      <c r="J26" s="631"/>
      <c r="K26" s="530"/>
      <c r="L26" s="530">
        <f t="shared" si="0"/>
        <v>6076213</v>
      </c>
      <c r="M26" s="530"/>
      <c r="N26" s="530">
        <f t="shared" si="1"/>
        <v>0</v>
      </c>
      <c r="O26" s="530"/>
      <c r="P26" s="530">
        <f t="shared" si="2"/>
        <v>6076213</v>
      </c>
      <c r="Q26" s="530">
        <f t="shared" si="3"/>
        <v>486097.04000000004</v>
      </c>
      <c r="R26" s="532">
        <f t="shared" si="4"/>
        <v>91143.194999999992</v>
      </c>
      <c r="S26" s="530">
        <f t="shared" si="5"/>
        <v>60762.130000000005</v>
      </c>
      <c r="T26" s="532"/>
      <c r="U26" s="532">
        <f t="shared" si="6"/>
        <v>638002.36499999999</v>
      </c>
      <c r="V26" s="532"/>
      <c r="W26" s="635"/>
      <c r="X26" s="635"/>
      <c r="Y26" s="635"/>
      <c r="Z26" s="635"/>
      <c r="AA26" s="455">
        <f t="shared" si="7"/>
        <v>5438210.6349999998</v>
      </c>
      <c r="AB26" s="101">
        <f t="shared" si="8"/>
        <v>12</v>
      </c>
      <c r="AC26" s="255"/>
      <c r="AD26" s="729"/>
      <c r="AE26" s="729"/>
      <c r="AF26" s="729"/>
      <c r="AG26" s="729"/>
      <c r="AH26" s="729"/>
      <c r="AI26" s="729"/>
      <c r="AJ26" s="729"/>
      <c r="AK26" s="729"/>
      <c r="AL26" s="729"/>
      <c r="AM26" s="729"/>
      <c r="AN26" s="729"/>
      <c r="AO26" s="729"/>
      <c r="AP26" s="729"/>
      <c r="AQ26" s="729"/>
      <c r="AR26" s="729"/>
    </row>
    <row r="27" spans="1:44" s="104" customFormat="1" ht="37.5" customHeight="1">
      <c r="A27" s="651">
        <f>_xlfn.AGGREGATE(4,7,A$14:A26)+1</f>
        <v>13</v>
      </c>
      <c r="B27" s="589" t="s">
        <v>429</v>
      </c>
      <c r="C27" s="112" t="s">
        <v>471</v>
      </c>
      <c r="D27" s="226" t="s">
        <v>233</v>
      </c>
      <c r="E27" s="223" t="s">
        <v>203</v>
      </c>
      <c r="F27" s="453" t="str">
        <f>INDEX([3]SACOM!$C$7:$C$335,MATCH(B27,[3]SACOM!$B$7:$B$335,0))</f>
        <v>0358800688</v>
      </c>
      <c r="G27" s="452" t="s">
        <v>245</v>
      </c>
      <c r="H27" s="529">
        <v>6</v>
      </c>
      <c r="I27" s="530">
        <v>6773482</v>
      </c>
      <c r="J27" s="631"/>
      <c r="K27" s="530"/>
      <c r="L27" s="530">
        <f t="shared" si="0"/>
        <v>6773482</v>
      </c>
      <c r="M27" s="530"/>
      <c r="N27" s="530">
        <f t="shared" si="1"/>
        <v>0</v>
      </c>
      <c r="O27" s="530"/>
      <c r="P27" s="530">
        <f t="shared" si="2"/>
        <v>6773482</v>
      </c>
      <c r="Q27" s="530">
        <f t="shared" si="3"/>
        <v>541878.56000000006</v>
      </c>
      <c r="R27" s="532">
        <f t="shared" si="4"/>
        <v>101602.23</v>
      </c>
      <c r="S27" s="530">
        <f t="shared" si="5"/>
        <v>67734.820000000007</v>
      </c>
      <c r="T27" s="532"/>
      <c r="U27" s="532">
        <f t="shared" si="6"/>
        <v>711215.6100000001</v>
      </c>
      <c r="V27" s="533"/>
      <c r="W27" s="532"/>
      <c r="X27" s="533"/>
      <c r="Y27" s="532"/>
      <c r="Z27" s="532"/>
      <c r="AA27" s="455">
        <f t="shared" si="7"/>
        <v>6062266.3899999997</v>
      </c>
      <c r="AB27" s="101">
        <f t="shared" si="8"/>
        <v>13</v>
      </c>
      <c r="AC27" s="10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</row>
    <row r="28" spans="1:44" s="546" customFormat="1" ht="42.75" customHeight="1">
      <c r="A28" s="651">
        <f>_xlfn.AGGREGATE(4,7,A$14:A27)+1</f>
        <v>14</v>
      </c>
      <c r="B28" s="498" t="s">
        <v>428</v>
      </c>
      <c r="C28" s="112" t="s">
        <v>471</v>
      </c>
      <c r="D28" s="226" t="s">
        <v>232</v>
      </c>
      <c r="E28" s="209" t="s">
        <v>210</v>
      </c>
      <c r="F28" s="453" t="str">
        <f>INDEX([3]SACOM!$C$7:$C$335,MATCH(B28,[3]SACOM!$B$7:$B$335,0))</f>
        <v>060278335766</v>
      </c>
      <c r="G28" s="452" t="s">
        <v>242</v>
      </c>
      <c r="H28" s="529">
        <v>2</v>
      </c>
      <c r="I28" s="530">
        <v>6076213</v>
      </c>
      <c r="J28" s="631"/>
      <c r="K28" s="530"/>
      <c r="L28" s="530">
        <f t="shared" si="0"/>
        <v>6076213</v>
      </c>
      <c r="M28" s="530"/>
      <c r="N28" s="530">
        <f t="shared" si="1"/>
        <v>0</v>
      </c>
      <c r="O28" s="530"/>
      <c r="P28" s="530">
        <f t="shared" si="2"/>
        <v>6076213</v>
      </c>
      <c r="Q28" s="530">
        <f t="shared" si="3"/>
        <v>486097.04000000004</v>
      </c>
      <c r="R28" s="532">
        <f t="shared" si="4"/>
        <v>91143.194999999992</v>
      </c>
      <c r="S28" s="530">
        <f t="shared" si="5"/>
        <v>60762.130000000005</v>
      </c>
      <c r="T28" s="532"/>
      <c r="U28" s="532">
        <f t="shared" si="6"/>
        <v>638002.36499999999</v>
      </c>
      <c r="V28" s="532"/>
      <c r="W28" s="532"/>
      <c r="X28" s="532"/>
      <c r="Y28" s="532"/>
      <c r="Z28" s="532"/>
      <c r="AA28" s="455">
        <f t="shared" si="7"/>
        <v>5438210.6349999998</v>
      </c>
      <c r="AB28" s="101">
        <f t="shared" si="8"/>
        <v>14</v>
      </c>
      <c r="AC28" s="118"/>
      <c r="AD28" s="729"/>
      <c r="AE28" s="729"/>
      <c r="AF28" s="729"/>
      <c r="AG28" s="729"/>
      <c r="AH28" s="729"/>
      <c r="AI28" s="729"/>
      <c r="AJ28" s="729"/>
      <c r="AK28" s="729"/>
      <c r="AL28" s="729"/>
      <c r="AM28" s="729"/>
      <c r="AN28" s="729"/>
      <c r="AO28" s="729"/>
      <c r="AP28" s="729"/>
      <c r="AQ28" s="729"/>
      <c r="AR28" s="729"/>
    </row>
    <row r="29" spans="1:44" s="104" customFormat="1" ht="42.75" customHeight="1">
      <c r="A29" s="651">
        <f>_xlfn.AGGREGATE(4,7,A$14:A28)+1</f>
        <v>15</v>
      </c>
      <c r="B29" s="498" t="s">
        <v>318</v>
      </c>
      <c r="C29" s="112" t="s">
        <v>471</v>
      </c>
      <c r="D29" s="227" t="s">
        <v>335</v>
      </c>
      <c r="E29" s="334" t="s">
        <v>336</v>
      </c>
      <c r="F29" s="453" t="str">
        <f>INDEX([3]SACOM!$C$7:$C$335,MATCH(B29,[3]SACOM!$B$7:$B$335,0))</f>
        <v>060310951679</v>
      </c>
      <c r="G29" s="445" t="s">
        <v>242</v>
      </c>
      <c r="H29" s="529">
        <v>2</v>
      </c>
      <c r="I29" s="530">
        <v>6076213</v>
      </c>
      <c r="J29" s="631"/>
      <c r="K29" s="530"/>
      <c r="L29" s="530">
        <f t="shared" si="0"/>
        <v>6076213</v>
      </c>
      <c r="M29" s="530"/>
      <c r="N29" s="530">
        <f t="shared" si="1"/>
        <v>0</v>
      </c>
      <c r="O29" s="530"/>
      <c r="P29" s="530">
        <f t="shared" si="2"/>
        <v>6076213</v>
      </c>
      <c r="Q29" s="530">
        <f t="shared" si="3"/>
        <v>486097.04000000004</v>
      </c>
      <c r="R29" s="532">
        <f t="shared" si="4"/>
        <v>91143.194999999992</v>
      </c>
      <c r="S29" s="530">
        <f t="shared" si="5"/>
        <v>60762.130000000005</v>
      </c>
      <c r="T29" s="532"/>
      <c r="U29" s="532">
        <f t="shared" si="6"/>
        <v>638002.36499999999</v>
      </c>
      <c r="V29" s="532"/>
      <c r="W29" s="635"/>
      <c r="X29" s="635"/>
      <c r="Y29" s="635"/>
      <c r="Z29" s="635"/>
      <c r="AA29" s="455">
        <f t="shared" si="7"/>
        <v>5438210.6349999998</v>
      </c>
      <c r="AB29" s="101">
        <f t="shared" si="8"/>
        <v>15</v>
      </c>
      <c r="AC29" s="255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</row>
    <row r="30" spans="1:44" s="509" customFormat="1" ht="47.25" customHeight="1">
      <c r="A30" s="651">
        <f>_xlfn.AGGREGATE(4,7,A$14:A29)+1</f>
        <v>16</v>
      </c>
      <c r="B30" s="498" t="s">
        <v>311</v>
      </c>
      <c r="C30" s="112" t="s">
        <v>471</v>
      </c>
      <c r="D30" s="228"/>
      <c r="E30" s="223"/>
      <c r="F30" s="453" t="str">
        <f>INDEX([3]SACOM!$C$7:$C$335,MATCH(B30,[3]SACOM!$B$7:$B$335,0))</f>
        <v>060278713264</v>
      </c>
      <c r="G30" s="445" t="s">
        <v>242</v>
      </c>
      <c r="H30" s="529">
        <v>2</v>
      </c>
      <c r="I30" s="530">
        <v>6076213</v>
      </c>
      <c r="J30" s="631"/>
      <c r="K30" s="530"/>
      <c r="L30" s="530">
        <f t="shared" si="0"/>
        <v>6076213</v>
      </c>
      <c r="M30" s="530"/>
      <c r="N30" s="530">
        <f t="shared" si="1"/>
        <v>0</v>
      </c>
      <c r="O30" s="530"/>
      <c r="P30" s="530">
        <f t="shared" si="2"/>
        <v>6076213</v>
      </c>
      <c r="Q30" s="530">
        <f t="shared" si="3"/>
        <v>486097.04000000004</v>
      </c>
      <c r="R30" s="532">
        <f t="shared" si="4"/>
        <v>91143.194999999992</v>
      </c>
      <c r="S30" s="530">
        <f t="shared" si="5"/>
        <v>60762.130000000005</v>
      </c>
      <c r="T30" s="532"/>
      <c r="U30" s="532">
        <f t="shared" si="6"/>
        <v>638002.36499999999</v>
      </c>
      <c r="V30" s="532"/>
      <c r="W30" s="635"/>
      <c r="X30" s="635"/>
      <c r="Y30" s="635"/>
      <c r="Z30" s="635"/>
      <c r="AA30" s="455">
        <f t="shared" si="7"/>
        <v>5438210.6349999998</v>
      </c>
      <c r="AB30" s="101">
        <f t="shared" si="8"/>
        <v>16</v>
      </c>
      <c r="AC30" s="255"/>
      <c r="AD30" s="729"/>
      <c r="AE30" s="729"/>
      <c r="AF30" s="729"/>
      <c r="AG30" s="729"/>
      <c r="AH30" s="729"/>
      <c r="AI30" s="729"/>
      <c r="AJ30" s="729"/>
      <c r="AK30" s="729"/>
      <c r="AL30" s="729"/>
      <c r="AM30" s="729"/>
      <c r="AN30" s="729"/>
      <c r="AO30" s="729"/>
      <c r="AP30" s="729"/>
      <c r="AQ30" s="729"/>
      <c r="AR30" s="729"/>
    </row>
    <row r="31" spans="1:44" s="656" customFormat="1" ht="44.25" customHeight="1">
      <c r="A31" s="651">
        <f>_xlfn.AGGREGATE(4,7,A$14:A30)+1</f>
        <v>17</v>
      </c>
      <c r="B31" s="498" t="s">
        <v>134</v>
      </c>
      <c r="C31" s="112" t="s">
        <v>471</v>
      </c>
      <c r="D31" s="228" t="str">
        <f>VLOOKUP(B31,[2]T3!$B$2:$D$328,3,FALSE)</f>
        <v>025804258</v>
      </c>
      <c r="E31" s="223" t="s">
        <v>207</v>
      </c>
      <c r="F31" s="453" t="str">
        <f>INDEX([3]SACOM!$C$7:$C$335,MATCH(B31,[3]SACOM!$B$7:$B$335,0))</f>
        <v>060310837000</v>
      </c>
      <c r="G31" s="452" t="s">
        <v>245</v>
      </c>
      <c r="H31" s="634">
        <v>6</v>
      </c>
      <c r="I31" s="530">
        <v>6773482</v>
      </c>
      <c r="J31" s="631"/>
      <c r="K31" s="530"/>
      <c r="L31" s="530">
        <f t="shared" si="0"/>
        <v>6773482</v>
      </c>
      <c r="M31" s="530"/>
      <c r="N31" s="530">
        <f t="shared" si="1"/>
        <v>0</v>
      </c>
      <c r="O31" s="530"/>
      <c r="P31" s="530">
        <f t="shared" si="2"/>
        <v>6773482</v>
      </c>
      <c r="Q31" s="530">
        <f t="shared" si="3"/>
        <v>541878.56000000006</v>
      </c>
      <c r="R31" s="532">
        <f t="shared" si="4"/>
        <v>101602.23</v>
      </c>
      <c r="S31" s="530">
        <f t="shared" si="5"/>
        <v>67734.820000000007</v>
      </c>
      <c r="T31" s="532"/>
      <c r="U31" s="532">
        <f t="shared" si="6"/>
        <v>711215.6100000001</v>
      </c>
      <c r="V31" s="532"/>
      <c r="W31" s="635"/>
      <c r="X31" s="635"/>
      <c r="Y31" s="635"/>
      <c r="Z31" s="635"/>
      <c r="AA31" s="455">
        <f t="shared" si="7"/>
        <v>6062266.3899999997</v>
      </c>
      <c r="AB31" s="101">
        <f t="shared" si="8"/>
        <v>17</v>
      </c>
      <c r="AC31" s="102"/>
      <c r="AD31" s="729"/>
      <c r="AE31" s="729"/>
      <c r="AF31" s="729"/>
      <c r="AG31" s="729"/>
      <c r="AH31" s="729"/>
      <c r="AI31" s="729"/>
      <c r="AJ31" s="729"/>
      <c r="AK31" s="729"/>
      <c r="AL31" s="729"/>
      <c r="AM31" s="729"/>
      <c r="AN31" s="729"/>
      <c r="AO31" s="729"/>
      <c r="AP31" s="729"/>
      <c r="AQ31" s="729"/>
      <c r="AR31" s="729"/>
    </row>
    <row r="32" spans="1:44" s="104" customFormat="1" ht="44.25" customHeight="1">
      <c r="A32" s="693">
        <f>_xlfn.AGGREGATE(4,7,A$14:A31)+1</f>
        <v>18</v>
      </c>
      <c r="B32" s="708" t="s">
        <v>399</v>
      </c>
      <c r="C32" s="383" t="s">
        <v>471</v>
      </c>
      <c r="D32" s="384"/>
      <c r="E32" s="385"/>
      <c r="F32" s="709" t="str">
        <f>INDEX([3]SACOM!$C$7:$C$335,MATCH(B32,[3]SACOM!$B$7:$B$335,0))</f>
        <v>060310936742</v>
      </c>
      <c r="G32" s="710" t="s">
        <v>245</v>
      </c>
      <c r="H32" s="711">
        <v>3</v>
      </c>
      <c r="I32" s="666">
        <v>5851188</v>
      </c>
      <c r="J32" s="712"/>
      <c r="K32" s="666"/>
      <c r="L32" s="666">
        <f t="shared" si="0"/>
        <v>5851188</v>
      </c>
      <c r="M32" s="666">
        <v>26</v>
      </c>
      <c r="N32" s="666">
        <f t="shared" si="1"/>
        <v>5851188</v>
      </c>
      <c r="O32" s="666"/>
      <c r="P32" s="666">
        <f t="shared" si="2"/>
        <v>0</v>
      </c>
      <c r="Q32" s="666">
        <v>0</v>
      </c>
      <c r="R32" s="667">
        <v>0</v>
      </c>
      <c r="S32" s="666">
        <v>0</v>
      </c>
      <c r="T32" s="667"/>
      <c r="U32" s="667">
        <f t="shared" si="6"/>
        <v>0</v>
      </c>
      <c r="V32" s="667"/>
      <c r="W32" s="677"/>
      <c r="X32" s="677"/>
      <c r="Y32" s="677"/>
      <c r="Z32" s="677"/>
      <c r="AA32" s="668">
        <f t="shared" si="7"/>
        <v>0</v>
      </c>
      <c r="AB32" s="392">
        <f t="shared" si="8"/>
        <v>18</v>
      </c>
      <c r="AC32" s="713" t="s">
        <v>489</v>
      </c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</row>
    <row r="33" spans="1:44" s="104" customFormat="1" ht="42.75" customHeight="1">
      <c r="A33" s="651">
        <f>_xlfn.AGGREGATE(4,7,A$14:A32)+1</f>
        <v>19</v>
      </c>
      <c r="B33" s="498" t="s">
        <v>128</v>
      </c>
      <c r="C33" s="112" t="s">
        <v>187</v>
      </c>
      <c r="D33" s="228" t="str">
        <f>VLOOKUP(B33,[2]T3!$B$2:$D$328,3,FALSE)</f>
        <v>024759058</v>
      </c>
      <c r="E33" s="209" t="s">
        <v>224</v>
      </c>
      <c r="F33" s="453" t="str">
        <f>INDEX([3]SACOM!$C$7:$C$335,MATCH(B33,[3]SACOM!$B$7:$B$335,0))</f>
        <v>060311001951</v>
      </c>
      <c r="G33" s="452" t="s">
        <v>242</v>
      </c>
      <c r="H33" s="636">
        <v>2</v>
      </c>
      <c r="I33" s="530">
        <v>6076213</v>
      </c>
      <c r="J33" s="631"/>
      <c r="K33" s="530"/>
      <c r="L33" s="530">
        <f t="shared" si="0"/>
        <v>6076213</v>
      </c>
      <c r="M33" s="530"/>
      <c r="N33" s="530">
        <f t="shared" si="1"/>
        <v>0</v>
      </c>
      <c r="O33" s="530"/>
      <c r="P33" s="530">
        <f t="shared" si="2"/>
        <v>6076213</v>
      </c>
      <c r="Q33" s="530">
        <f t="shared" si="3"/>
        <v>486097.04000000004</v>
      </c>
      <c r="R33" s="532">
        <f t="shared" si="4"/>
        <v>91143.194999999992</v>
      </c>
      <c r="S33" s="530">
        <f t="shared" si="5"/>
        <v>60762.130000000005</v>
      </c>
      <c r="T33" s="532"/>
      <c r="U33" s="532">
        <f t="shared" si="6"/>
        <v>638002.36499999999</v>
      </c>
      <c r="V33" s="532"/>
      <c r="W33" s="455"/>
      <c r="X33" s="455"/>
      <c r="Y33" s="455"/>
      <c r="Z33" s="455"/>
      <c r="AA33" s="455">
        <f t="shared" si="7"/>
        <v>5438210.6349999998</v>
      </c>
      <c r="AB33" s="101">
        <f t="shared" si="8"/>
        <v>19</v>
      </c>
      <c r="AC33" s="10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</row>
    <row r="34" spans="1:44" s="104" customFormat="1" ht="47.25" customHeight="1">
      <c r="A34" s="651">
        <f>_xlfn.AGGREGATE(4,7,A$14:A33)+1</f>
        <v>20</v>
      </c>
      <c r="B34" s="498" t="s">
        <v>141</v>
      </c>
      <c r="C34" s="112" t="s">
        <v>187</v>
      </c>
      <c r="D34" s="228" t="str">
        <f>VLOOKUP(B34,[2]T3!$B$2:$D$328,3,FALSE)</f>
        <v>025128010</v>
      </c>
      <c r="E34" s="209" t="s">
        <v>216</v>
      </c>
      <c r="F34" s="453" t="str">
        <f>INDEX([3]SACOM!$C$7:$C$335,MATCH(B34,[3]SACOM!$B$7:$B$335,0))</f>
        <v>060311390204</v>
      </c>
      <c r="G34" s="452" t="s">
        <v>242</v>
      </c>
      <c r="H34" s="634">
        <v>5</v>
      </c>
      <c r="I34" s="530">
        <v>7443623</v>
      </c>
      <c r="J34" s="631"/>
      <c r="K34" s="530"/>
      <c r="L34" s="530">
        <f t="shared" si="0"/>
        <v>7443623</v>
      </c>
      <c r="M34" s="530"/>
      <c r="N34" s="530">
        <f t="shared" si="1"/>
        <v>0</v>
      </c>
      <c r="O34" s="530"/>
      <c r="P34" s="530">
        <f t="shared" si="2"/>
        <v>7443623</v>
      </c>
      <c r="Q34" s="530">
        <f t="shared" si="3"/>
        <v>595489.84</v>
      </c>
      <c r="R34" s="532">
        <f t="shared" si="4"/>
        <v>111654.345</v>
      </c>
      <c r="S34" s="530">
        <f t="shared" si="5"/>
        <v>74436.23</v>
      </c>
      <c r="T34" s="532"/>
      <c r="U34" s="532">
        <f t="shared" si="6"/>
        <v>781580.41499999992</v>
      </c>
      <c r="V34" s="532"/>
      <c r="W34" s="532"/>
      <c r="X34" s="532"/>
      <c r="Y34" s="532"/>
      <c r="Z34" s="532"/>
      <c r="AA34" s="455">
        <f t="shared" si="7"/>
        <v>6662042.585</v>
      </c>
      <c r="AB34" s="101">
        <f t="shared" si="8"/>
        <v>20</v>
      </c>
      <c r="AC34" s="10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</row>
    <row r="35" spans="1:44" s="104" customFormat="1" ht="39" customHeight="1">
      <c r="A35" s="651">
        <f>_xlfn.AGGREGATE(4,7,A$14:A34)+1</f>
        <v>21</v>
      </c>
      <c r="B35" s="498" t="s">
        <v>163</v>
      </c>
      <c r="C35" s="112" t="s">
        <v>187</v>
      </c>
      <c r="D35" s="228" t="str">
        <f>VLOOKUP(B35,[2]T3!$B$2:$D$328,3,FALSE)</f>
        <v>290936998</v>
      </c>
      <c r="E35" s="209" t="s">
        <v>221</v>
      </c>
      <c r="F35" s="453" t="str">
        <f>INDEX([3]SACOM!$C$7:$C$335,MATCH(B35,[3]SACOM!$B$7:$B$335,0))</f>
        <v>060310828656</v>
      </c>
      <c r="G35" s="445" t="s">
        <v>242</v>
      </c>
      <c r="H35" s="529">
        <v>6</v>
      </c>
      <c r="I35" s="530">
        <v>7964676</v>
      </c>
      <c r="J35" s="631"/>
      <c r="K35" s="530"/>
      <c r="L35" s="530">
        <f t="shared" si="0"/>
        <v>7964676</v>
      </c>
      <c r="M35" s="530"/>
      <c r="N35" s="530">
        <f t="shared" si="1"/>
        <v>0</v>
      </c>
      <c r="O35" s="530"/>
      <c r="P35" s="530">
        <f t="shared" si="2"/>
        <v>7964676</v>
      </c>
      <c r="Q35" s="530">
        <f t="shared" si="3"/>
        <v>637174.07999999996</v>
      </c>
      <c r="R35" s="532">
        <f t="shared" si="4"/>
        <v>119470.14</v>
      </c>
      <c r="S35" s="530">
        <f t="shared" si="5"/>
        <v>79646.759999999995</v>
      </c>
      <c r="T35" s="532"/>
      <c r="U35" s="532">
        <f t="shared" si="6"/>
        <v>836290.98</v>
      </c>
      <c r="V35" s="532"/>
      <c r="W35" s="532"/>
      <c r="X35" s="532"/>
      <c r="Y35" s="532"/>
      <c r="Z35" s="532"/>
      <c r="AA35" s="455">
        <f t="shared" si="7"/>
        <v>7128385.0199999996</v>
      </c>
      <c r="AB35" s="101">
        <f t="shared" si="8"/>
        <v>21</v>
      </c>
      <c r="AC35" s="118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</row>
    <row r="36" spans="1:44" s="104" customFormat="1" ht="40.5" customHeight="1">
      <c r="A36" s="651">
        <f>_xlfn.AGGREGATE(4,7,A$14:A35)+1</f>
        <v>22</v>
      </c>
      <c r="B36" s="498" t="s">
        <v>146</v>
      </c>
      <c r="C36" s="112" t="s">
        <v>187</v>
      </c>
      <c r="D36" s="228" t="str">
        <f>VLOOKUP(B36,[2]T3!$B$2:$D$328,3,FALSE)</f>
        <v>001186011890</v>
      </c>
      <c r="E36" s="209" t="s">
        <v>222</v>
      </c>
      <c r="F36" s="453" t="str">
        <f>INDEX([3]SACOM!$C$7:$C$335,MATCH(B36,[3]SACOM!$B$7:$B$335,0))</f>
        <v>060310826122</v>
      </c>
      <c r="G36" s="445" t="s">
        <v>242</v>
      </c>
      <c r="H36" s="529">
        <v>8</v>
      </c>
      <c r="I36" s="530">
        <v>9118758</v>
      </c>
      <c r="J36" s="631"/>
      <c r="K36" s="530"/>
      <c r="L36" s="530">
        <f t="shared" si="0"/>
        <v>9118758</v>
      </c>
      <c r="M36" s="530"/>
      <c r="N36" s="530">
        <f t="shared" si="1"/>
        <v>0</v>
      </c>
      <c r="O36" s="530"/>
      <c r="P36" s="530">
        <f t="shared" si="2"/>
        <v>9118758</v>
      </c>
      <c r="Q36" s="530">
        <f t="shared" si="3"/>
        <v>729500.64</v>
      </c>
      <c r="R36" s="532">
        <f t="shared" si="4"/>
        <v>136781.37</v>
      </c>
      <c r="S36" s="530">
        <f t="shared" si="5"/>
        <v>91187.58</v>
      </c>
      <c r="T36" s="532"/>
      <c r="U36" s="532">
        <f t="shared" si="6"/>
        <v>957469.59</v>
      </c>
      <c r="V36" s="532"/>
      <c r="W36" s="635"/>
      <c r="X36" s="635"/>
      <c r="Y36" s="635"/>
      <c r="Z36" s="635"/>
      <c r="AA36" s="455">
        <f t="shared" si="7"/>
        <v>8161288.4100000001</v>
      </c>
      <c r="AB36" s="101">
        <f t="shared" si="8"/>
        <v>22</v>
      </c>
      <c r="AC36" s="255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</row>
    <row r="37" spans="1:44" s="104" customFormat="1" ht="39.75" customHeight="1">
      <c r="A37" s="651">
        <f>_xlfn.AGGREGATE(4,7,A$14:A36)+1</f>
        <v>23</v>
      </c>
      <c r="B37" s="498" t="s">
        <v>420</v>
      </c>
      <c r="C37" s="112" t="s">
        <v>187</v>
      </c>
      <c r="D37" s="228"/>
      <c r="E37" s="209"/>
      <c r="F37" s="453" t="str">
        <f>INDEX([3]SACOM!$C$7:$C$335,MATCH(B37,[3]SACOM!$B$7:$B$335,0))</f>
        <v>060311004101</v>
      </c>
      <c r="G37" s="445" t="s">
        <v>242</v>
      </c>
      <c r="H37" s="529">
        <v>1</v>
      </c>
      <c r="I37" s="530">
        <v>5678704</v>
      </c>
      <c r="J37" s="631"/>
      <c r="K37" s="530"/>
      <c r="L37" s="530">
        <f t="shared" si="0"/>
        <v>5678704</v>
      </c>
      <c r="M37" s="530"/>
      <c r="N37" s="530">
        <f t="shared" si="1"/>
        <v>0</v>
      </c>
      <c r="O37" s="530"/>
      <c r="P37" s="530">
        <f t="shared" si="2"/>
        <v>5678704</v>
      </c>
      <c r="Q37" s="530">
        <f t="shared" si="3"/>
        <v>454296.32000000001</v>
      </c>
      <c r="R37" s="532">
        <f t="shared" si="4"/>
        <v>85180.56</v>
      </c>
      <c r="S37" s="530">
        <f t="shared" si="5"/>
        <v>56787.040000000001</v>
      </c>
      <c r="T37" s="532"/>
      <c r="U37" s="532">
        <f t="shared" si="6"/>
        <v>596263.92000000004</v>
      </c>
      <c r="V37" s="532"/>
      <c r="W37" s="635"/>
      <c r="X37" s="635"/>
      <c r="Y37" s="635"/>
      <c r="Z37" s="635"/>
      <c r="AA37" s="455">
        <f t="shared" si="7"/>
        <v>5082440.08</v>
      </c>
      <c r="AB37" s="101">
        <f t="shared" si="8"/>
        <v>23</v>
      </c>
      <c r="AC37" s="255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</row>
    <row r="38" spans="1:44" s="104" customFormat="1" ht="48.75" customHeight="1">
      <c r="A38" s="651">
        <f>_xlfn.AGGREGATE(4,7,A$14:A37)+1</f>
        <v>24</v>
      </c>
      <c r="B38" s="589" t="s">
        <v>137</v>
      </c>
      <c r="C38" s="112" t="s">
        <v>188</v>
      </c>
      <c r="D38" s="228" t="str">
        <f>VLOOKUP(B38,[2]T3!$B$2:$D$328,3,FALSE)</f>
        <v>095189000070</v>
      </c>
      <c r="E38" s="209" t="s">
        <v>213</v>
      </c>
      <c r="F38" s="453" t="str">
        <f>INDEX([3]SACOM!$C$7:$C$335,MATCH(B38,[3]SACOM!$B$7:$B$335,0))</f>
        <v>060282013358</v>
      </c>
      <c r="G38" s="445" t="s">
        <v>242</v>
      </c>
      <c r="H38" s="636">
        <v>6</v>
      </c>
      <c r="I38" s="530">
        <v>7964676</v>
      </c>
      <c r="J38" s="631"/>
      <c r="K38" s="530"/>
      <c r="L38" s="530">
        <f t="shared" si="0"/>
        <v>7964676</v>
      </c>
      <c r="M38" s="530"/>
      <c r="N38" s="530">
        <f t="shared" si="1"/>
        <v>0</v>
      </c>
      <c r="O38" s="530"/>
      <c r="P38" s="530">
        <f t="shared" si="2"/>
        <v>7964676</v>
      </c>
      <c r="Q38" s="530">
        <f t="shared" si="3"/>
        <v>637174.07999999996</v>
      </c>
      <c r="R38" s="532">
        <f t="shared" si="4"/>
        <v>119470.14</v>
      </c>
      <c r="S38" s="530">
        <f t="shared" si="5"/>
        <v>79646.759999999995</v>
      </c>
      <c r="T38" s="532"/>
      <c r="U38" s="532">
        <f t="shared" si="6"/>
        <v>836290.98</v>
      </c>
      <c r="V38" s="532"/>
      <c r="W38" s="532"/>
      <c r="X38" s="532"/>
      <c r="Y38" s="532"/>
      <c r="Z38" s="532"/>
      <c r="AA38" s="455">
        <f t="shared" si="7"/>
        <v>7128385.0199999996</v>
      </c>
      <c r="AB38" s="101">
        <f t="shared" si="8"/>
        <v>24</v>
      </c>
      <c r="AC38" s="134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</row>
    <row r="39" spans="1:44" s="104" customFormat="1" ht="39.75" customHeight="1">
      <c r="A39" s="651">
        <f>_xlfn.AGGREGATE(4,7,A$14:A38)+1</f>
        <v>25</v>
      </c>
      <c r="B39" s="498" t="s">
        <v>136</v>
      </c>
      <c r="C39" s="112" t="s">
        <v>189</v>
      </c>
      <c r="D39" s="228" t="str">
        <f>VLOOKUP(B39,[2]T3!$B$2:$D$328,3,FALSE)</f>
        <v>023680986</v>
      </c>
      <c r="E39" s="209" t="s">
        <v>212</v>
      </c>
      <c r="F39" s="453" t="str">
        <f>INDEX([3]SACOM!$C$7:$C$335,MATCH(B39,[3]SACOM!$B$7:$B$335,0))</f>
        <v xml:space="preserve">060310667458 </v>
      </c>
      <c r="G39" s="445" t="s">
        <v>242</v>
      </c>
      <c r="H39" s="529">
        <v>6</v>
      </c>
      <c r="I39" s="530">
        <v>7964676</v>
      </c>
      <c r="J39" s="631"/>
      <c r="K39" s="530"/>
      <c r="L39" s="530">
        <f t="shared" si="0"/>
        <v>7964676</v>
      </c>
      <c r="M39" s="530"/>
      <c r="N39" s="530">
        <f t="shared" si="1"/>
        <v>0</v>
      </c>
      <c r="O39" s="530"/>
      <c r="P39" s="530">
        <f t="shared" si="2"/>
        <v>7964676</v>
      </c>
      <c r="Q39" s="530">
        <f t="shared" si="3"/>
        <v>637174.07999999996</v>
      </c>
      <c r="R39" s="532">
        <f t="shared" si="4"/>
        <v>119470.14</v>
      </c>
      <c r="S39" s="530">
        <f t="shared" si="5"/>
        <v>79646.759999999995</v>
      </c>
      <c r="T39" s="532"/>
      <c r="U39" s="532">
        <f t="shared" si="6"/>
        <v>836290.98</v>
      </c>
      <c r="V39" s="532"/>
      <c r="W39" s="637"/>
      <c r="X39" s="637"/>
      <c r="Y39" s="637"/>
      <c r="Z39" s="637"/>
      <c r="AA39" s="455">
        <f t="shared" si="7"/>
        <v>7128385.0199999996</v>
      </c>
      <c r="AB39" s="101">
        <f t="shared" si="8"/>
        <v>25</v>
      </c>
      <c r="AC39" s="118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</row>
    <row r="40" spans="1:44" s="104" customFormat="1" ht="42.75" customHeight="1">
      <c r="A40" s="651">
        <f>_xlfn.AGGREGATE(4,7,A$14:A39)+1</f>
        <v>26</v>
      </c>
      <c r="B40" s="498" t="s">
        <v>301</v>
      </c>
      <c r="C40" s="112" t="s">
        <v>189</v>
      </c>
      <c r="D40" s="228"/>
      <c r="E40" s="223" t="s">
        <v>325</v>
      </c>
      <c r="F40" s="453" t="str">
        <f>INDEX([3]SACOM!$C$7:$C$335,MATCH(B40,[3]SACOM!$B$7:$B$335,0))</f>
        <v>060310701389</v>
      </c>
      <c r="G40" s="445" t="s">
        <v>242</v>
      </c>
      <c r="H40" s="529">
        <v>2</v>
      </c>
      <c r="I40" s="530">
        <v>6076213</v>
      </c>
      <c r="J40" s="631"/>
      <c r="K40" s="530"/>
      <c r="L40" s="530">
        <f t="shared" si="0"/>
        <v>6076213</v>
      </c>
      <c r="M40" s="530"/>
      <c r="N40" s="530">
        <f t="shared" si="1"/>
        <v>0</v>
      </c>
      <c r="O40" s="530"/>
      <c r="P40" s="530">
        <f t="shared" si="2"/>
        <v>6076213</v>
      </c>
      <c r="Q40" s="530">
        <f t="shared" si="3"/>
        <v>486097.04000000004</v>
      </c>
      <c r="R40" s="532">
        <f t="shared" si="4"/>
        <v>91143.194999999992</v>
      </c>
      <c r="S40" s="530">
        <f t="shared" si="5"/>
        <v>60762.130000000005</v>
      </c>
      <c r="T40" s="532"/>
      <c r="U40" s="532">
        <f t="shared" si="6"/>
        <v>638002.36499999999</v>
      </c>
      <c r="V40" s="532"/>
      <c r="W40" s="635"/>
      <c r="X40" s="635"/>
      <c r="Y40" s="635"/>
      <c r="Z40" s="635"/>
      <c r="AA40" s="455">
        <f t="shared" si="7"/>
        <v>5438210.6349999998</v>
      </c>
      <c r="AB40" s="101">
        <f t="shared" si="8"/>
        <v>26</v>
      </c>
      <c r="AC40" s="255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</row>
    <row r="41" spans="1:44" s="104" customFormat="1" ht="71.25" customHeight="1">
      <c r="A41" s="716">
        <f>_xlfn.AGGREGATE(4,7,A$14:A40)+1</f>
        <v>27</v>
      </c>
      <c r="B41" s="717" t="s">
        <v>181</v>
      </c>
      <c r="C41" s="396" t="s">
        <v>364</v>
      </c>
      <c r="D41" s="397" t="str">
        <f>VLOOKUP(B41,[2]T3!$B$2:$D$328,3,FALSE)</f>
        <v>025273555</v>
      </c>
      <c r="E41" s="398" t="s">
        <v>223</v>
      </c>
      <c r="F41" s="718" t="str">
        <f>INDEX([3]SACOM!$C$7:$C$335,MATCH(B41,[3]SACOM!$B$7:$B$335,0))</f>
        <v>060310668179</v>
      </c>
      <c r="G41" s="538" t="s">
        <v>246</v>
      </c>
      <c r="H41" s="719">
        <v>5</v>
      </c>
      <c r="I41" s="720">
        <v>6028911</v>
      </c>
      <c r="J41" s="721"/>
      <c r="K41" s="720"/>
      <c r="L41" s="720">
        <f t="shared" si="0"/>
        <v>6028911</v>
      </c>
      <c r="M41" s="720">
        <v>26</v>
      </c>
      <c r="N41" s="720">
        <f t="shared" si="1"/>
        <v>6028911</v>
      </c>
      <c r="O41" s="720"/>
      <c r="P41" s="720">
        <f t="shared" si="2"/>
        <v>0</v>
      </c>
      <c r="Q41" s="720">
        <v>0</v>
      </c>
      <c r="R41" s="722">
        <v>0</v>
      </c>
      <c r="S41" s="720">
        <v>0</v>
      </c>
      <c r="T41" s="722"/>
      <c r="U41" s="722">
        <f t="shared" si="6"/>
        <v>0</v>
      </c>
      <c r="V41" s="722"/>
      <c r="W41" s="723"/>
      <c r="X41" s="723"/>
      <c r="Y41" s="723"/>
      <c r="Z41" s="723"/>
      <c r="AA41" s="544">
        <f t="shared" si="7"/>
        <v>0</v>
      </c>
      <c r="AB41" s="404">
        <f t="shared" si="8"/>
        <v>27</v>
      </c>
      <c r="AC41" s="408" t="s">
        <v>492</v>
      </c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</row>
    <row r="42" spans="1:44" s="670" customFormat="1" ht="31.9" customHeight="1">
      <c r="A42" s="651">
        <f>_xlfn.AGGREGATE(4,7,A$14:A41)+1</f>
        <v>28</v>
      </c>
      <c r="B42" s="498" t="s">
        <v>398</v>
      </c>
      <c r="C42" s="112" t="s">
        <v>395</v>
      </c>
      <c r="D42" s="228"/>
      <c r="E42" s="209"/>
      <c r="F42" s="453" t="str">
        <f>INDEX([3]SACOM!$C$7:$C$335,MATCH(B42,[3]SACOM!$B$7:$B$335,0))</f>
        <v>060310987118</v>
      </c>
      <c r="G42" s="445" t="s">
        <v>245</v>
      </c>
      <c r="H42" s="529">
        <v>2</v>
      </c>
      <c r="I42" s="530">
        <v>5572560</v>
      </c>
      <c r="J42" s="631"/>
      <c r="K42" s="530"/>
      <c r="L42" s="530">
        <f t="shared" si="0"/>
        <v>5572560</v>
      </c>
      <c r="M42" s="530"/>
      <c r="N42" s="530">
        <f t="shared" si="1"/>
        <v>0</v>
      </c>
      <c r="O42" s="530"/>
      <c r="P42" s="530">
        <f t="shared" si="2"/>
        <v>5572560</v>
      </c>
      <c r="Q42" s="530">
        <f t="shared" si="3"/>
        <v>445804.79999999999</v>
      </c>
      <c r="R42" s="532">
        <f t="shared" si="4"/>
        <v>83588.399999999994</v>
      </c>
      <c r="S42" s="530">
        <f t="shared" si="5"/>
        <v>55725.599999999999</v>
      </c>
      <c r="T42" s="532"/>
      <c r="U42" s="532">
        <f t="shared" si="6"/>
        <v>585118.79999999993</v>
      </c>
      <c r="V42" s="532"/>
      <c r="W42" s="532"/>
      <c r="X42" s="532"/>
      <c r="Y42" s="532"/>
      <c r="Z42" s="532"/>
      <c r="AA42" s="455">
        <f t="shared" si="7"/>
        <v>4987441.2</v>
      </c>
      <c r="AB42" s="101">
        <f t="shared" si="8"/>
        <v>28</v>
      </c>
      <c r="AC42" s="118"/>
      <c r="AD42" s="729"/>
      <c r="AE42" s="729"/>
      <c r="AF42" s="729"/>
      <c r="AG42" s="729"/>
      <c r="AH42" s="729"/>
      <c r="AI42" s="729"/>
      <c r="AJ42" s="729"/>
      <c r="AK42" s="729"/>
      <c r="AL42" s="729"/>
      <c r="AM42" s="729"/>
      <c r="AN42" s="729"/>
      <c r="AO42" s="729"/>
      <c r="AP42" s="729"/>
      <c r="AQ42" s="729"/>
      <c r="AR42" s="729"/>
    </row>
    <row r="43" spans="1:44" s="104" customFormat="1" ht="31.5" customHeight="1">
      <c r="A43" s="651">
        <f>_xlfn.AGGREGATE(4,7,A$14:A42)+1</f>
        <v>29</v>
      </c>
      <c r="B43" s="498" t="s">
        <v>143</v>
      </c>
      <c r="C43" s="112" t="s">
        <v>10</v>
      </c>
      <c r="D43" s="228" t="str">
        <f>VLOOKUP(B43,[2]T3!$B$2:$D$328,3,FALSE)</f>
        <v>273417648</v>
      </c>
      <c r="E43" s="223" t="s">
        <v>219</v>
      </c>
      <c r="F43" s="453" t="str">
        <f>INDEX([3]SACOM!$C$7:$C$335,MATCH(B43,[3]SACOM!$B$7:$B$335,0))</f>
        <v>060310837061</v>
      </c>
      <c r="G43" s="452" t="s">
        <v>242</v>
      </c>
      <c r="H43" s="634">
        <v>5</v>
      </c>
      <c r="I43" s="530">
        <v>7443623</v>
      </c>
      <c r="J43" s="631"/>
      <c r="K43" s="530"/>
      <c r="L43" s="530">
        <f t="shared" si="0"/>
        <v>7443623</v>
      </c>
      <c r="M43" s="530"/>
      <c r="N43" s="530">
        <f t="shared" si="1"/>
        <v>0</v>
      </c>
      <c r="O43" s="530"/>
      <c r="P43" s="530">
        <f t="shared" si="2"/>
        <v>7443623</v>
      </c>
      <c r="Q43" s="530">
        <f t="shared" si="3"/>
        <v>595489.84</v>
      </c>
      <c r="R43" s="532">
        <f t="shared" si="4"/>
        <v>111654.345</v>
      </c>
      <c r="S43" s="530">
        <f t="shared" si="5"/>
        <v>74436.23</v>
      </c>
      <c r="T43" s="532"/>
      <c r="U43" s="532">
        <f t="shared" si="6"/>
        <v>781580.41499999992</v>
      </c>
      <c r="V43" s="532"/>
      <c r="W43" s="532"/>
      <c r="X43" s="530"/>
      <c r="Y43" s="530"/>
      <c r="Z43" s="532"/>
      <c r="AA43" s="455">
        <f t="shared" si="7"/>
        <v>6662042.585</v>
      </c>
      <c r="AB43" s="101">
        <f t="shared" si="8"/>
        <v>29</v>
      </c>
      <c r="AC43" s="10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</row>
    <row r="44" spans="1:44" s="104" customFormat="1" ht="30" customHeight="1">
      <c r="A44" s="651">
        <f>_xlfn.AGGREGATE(4,7,A$14:A43)+1</f>
        <v>30</v>
      </c>
      <c r="B44" s="498" t="s">
        <v>309</v>
      </c>
      <c r="C44" s="112" t="s">
        <v>310</v>
      </c>
      <c r="D44" s="228"/>
      <c r="E44" s="223"/>
      <c r="F44" s="453" t="str">
        <f>INDEX([3]SACOM!$C$7:$C$335,MATCH(B44,[3]SACOM!$B$7:$B$335,0))</f>
        <v>060311028599</v>
      </c>
      <c r="G44" s="445" t="s">
        <v>245</v>
      </c>
      <c r="H44" s="529">
        <v>3</v>
      </c>
      <c r="I44" s="530">
        <v>5851188</v>
      </c>
      <c r="J44" s="631"/>
      <c r="K44" s="530"/>
      <c r="L44" s="530">
        <f t="shared" si="0"/>
        <v>5851188</v>
      </c>
      <c r="M44" s="530"/>
      <c r="N44" s="530">
        <f t="shared" si="1"/>
        <v>0</v>
      </c>
      <c r="O44" s="530"/>
      <c r="P44" s="530">
        <f t="shared" si="2"/>
        <v>5851188</v>
      </c>
      <c r="Q44" s="530">
        <f t="shared" si="3"/>
        <v>468095.04000000004</v>
      </c>
      <c r="R44" s="532">
        <f t="shared" si="4"/>
        <v>87767.819999999992</v>
      </c>
      <c r="S44" s="530">
        <f t="shared" si="5"/>
        <v>58511.880000000005</v>
      </c>
      <c r="T44" s="532"/>
      <c r="U44" s="532">
        <f t="shared" si="6"/>
        <v>614374.74</v>
      </c>
      <c r="V44" s="532"/>
      <c r="W44" s="635"/>
      <c r="X44" s="663"/>
      <c r="Y44" s="664"/>
      <c r="Z44" s="635"/>
      <c r="AA44" s="455">
        <f>P44-U44+W44+X45+Z44</f>
        <v>5236813.26</v>
      </c>
      <c r="AB44" s="101">
        <f t="shared" si="8"/>
        <v>30</v>
      </c>
      <c r="AC44" s="255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</row>
    <row r="45" spans="1:44" s="104" customFormat="1" ht="33.75" customHeight="1">
      <c r="A45" s="651">
        <f>_xlfn.AGGREGATE(4,7,A$14:A44)+1</f>
        <v>31</v>
      </c>
      <c r="B45" s="498" t="s">
        <v>142</v>
      </c>
      <c r="C45" s="112" t="s">
        <v>10</v>
      </c>
      <c r="D45" s="228" t="str">
        <f>VLOOKUP(B45,[2]T3!$B$2:$D$328,3,FALSE)</f>
        <v>250835904</v>
      </c>
      <c r="E45" s="223" t="s">
        <v>218</v>
      </c>
      <c r="F45" s="453" t="str">
        <f>INDEX([3]SACOM!$C$7:$C$335,MATCH(B45,[3]SACOM!$B$7:$B$335,0))</f>
        <v>060310750118</v>
      </c>
      <c r="G45" s="452" t="s">
        <v>242</v>
      </c>
      <c r="H45" s="634">
        <v>4</v>
      </c>
      <c r="I45" s="530">
        <v>6956657</v>
      </c>
      <c r="J45" s="631"/>
      <c r="K45" s="530"/>
      <c r="L45" s="530">
        <f t="shared" si="0"/>
        <v>6956657</v>
      </c>
      <c r="M45" s="530"/>
      <c r="N45" s="530">
        <f t="shared" si="1"/>
        <v>0</v>
      </c>
      <c r="O45" s="530"/>
      <c r="P45" s="530">
        <f t="shared" si="2"/>
        <v>6956657</v>
      </c>
      <c r="Q45" s="530">
        <f t="shared" si="3"/>
        <v>556532.56000000006</v>
      </c>
      <c r="R45" s="532">
        <f t="shared" si="4"/>
        <v>104349.855</v>
      </c>
      <c r="S45" s="530">
        <f t="shared" si="5"/>
        <v>69566.570000000007</v>
      </c>
      <c r="T45" s="532"/>
      <c r="U45" s="532">
        <f t="shared" si="6"/>
        <v>730448.9850000001</v>
      </c>
      <c r="V45" s="532"/>
      <c r="W45" s="532"/>
      <c r="X45" s="635"/>
      <c r="Y45" s="532"/>
      <c r="Z45" s="532"/>
      <c r="AA45" s="455">
        <f t="shared" ref="AA45:AA51" si="9">P45-U45+W45+Y45+Z45</f>
        <v>6226208.0149999997</v>
      </c>
      <c r="AB45" s="101">
        <f t="shared" si="8"/>
        <v>31</v>
      </c>
      <c r="AC45" s="10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</row>
    <row r="46" spans="1:44" s="676" customFormat="1" ht="43.5" customHeight="1">
      <c r="A46" s="651">
        <f>_xlfn.AGGREGATE(4,7,A$14:A45)+1</f>
        <v>32</v>
      </c>
      <c r="B46" s="498" t="s">
        <v>165</v>
      </c>
      <c r="C46" s="112" t="s">
        <v>419</v>
      </c>
      <c r="D46" s="226"/>
      <c r="E46" s="209"/>
      <c r="F46" s="453" t="str">
        <f>INDEX([3]SACOM!$C$7:$C$335,MATCH(B46,[3]SACOM!$B$7:$B$335,0))</f>
        <v>060987245810</v>
      </c>
      <c r="G46" s="452" t="s">
        <v>242</v>
      </c>
      <c r="H46" s="529">
        <v>12</v>
      </c>
      <c r="I46" s="530">
        <v>11952831</v>
      </c>
      <c r="J46" s="638">
        <v>0.12</v>
      </c>
      <c r="K46" s="531">
        <f>I46*J46</f>
        <v>1434339.72</v>
      </c>
      <c r="L46" s="530">
        <f t="shared" si="0"/>
        <v>13387171</v>
      </c>
      <c r="M46" s="530"/>
      <c r="N46" s="530">
        <f t="shared" si="1"/>
        <v>0</v>
      </c>
      <c r="O46" s="530"/>
      <c r="P46" s="530">
        <f t="shared" si="2"/>
        <v>13387171</v>
      </c>
      <c r="Q46" s="530">
        <f t="shared" si="3"/>
        <v>1070973.68</v>
      </c>
      <c r="R46" s="532">
        <f t="shared" si="4"/>
        <v>200807.565</v>
      </c>
      <c r="S46" s="530">
        <f t="shared" si="5"/>
        <v>133871.71</v>
      </c>
      <c r="T46" s="532"/>
      <c r="U46" s="532">
        <f t="shared" si="6"/>
        <v>1405652.9549999998</v>
      </c>
      <c r="V46" s="532"/>
      <c r="W46" s="532"/>
      <c r="X46" s="532"/>
      <c r="Y46" s="532"/>
      <c r="Z46" s="532"/>
      <c r="AA46" s="455">
        <f t="shared" si="9"/>
        <v>11981518.045</v>
      </c>
      <c r="AB46" s="101">
        <f t="shared" si="8"/>
        <v>32</v>
      </c>
      <c r="AC46" s="102"/>
      <c r="AD46" s="729"/>
      <c r="AE46" s="729"/>
      <c r="AF46" s="729"/>
      <c r="AG46" s="729"/>
      <c r="AH46" s="729"/>
      <c r="AI46" s="729"/>
      <c r="AJ46" s="729"/>
      <c r="AK46" s="729"/>
      <c r="AL46" s="729"/>
      <c r="AM46" s="729"/>
      <c r="AN46" s="729"/>
      <c r="AO46" s="729"/>
      <c r="AP46" s="729"/>
      <c r="AQ46" s="729"/>
      <c r="AR46" s="729"/>
    </row>
    <row r="47" spans="1:44" s="727" customFormat="1" ht="41.25" customHeight="1">
      <c r="A47" s="651">
        <f>_xlfn.AGGREGATE(4,7,A$14:A46)+1</f>
        <v>33</v>
      </c>
      <c r="B47" s="498" t="s">
        <v>348</v>
      </c>
      <c r="C47" s="112" t="s">
        <v>419</v>
      </c>
      <c r="D47" s="228"/>
      <c r="E47" s="209"/>
      <c r="F47" s="453" t="str">
        <f>INDEX([3]SACOM!$C$7:$C$335,MATCH(B47,[3]SACOM!$B$7:$B$335,0))</f>
        <v>060310749136</v>
      </c>
      <c r="G47" s="445" t="s">
        <v>245</v>
      </c>
      <c r="H47" s="529">
        <v>6</v>
      </c>
      <c r="I47" s="530">
        <v>6773482</v>
      </c>
      <c r="J47" s="631"/>
      <c r="K47" s="530"/>
      <c r="L47" s="530">
        <f t="shared" si="0"/>
        <v>6773482</v>
      </c>
      <c r="M47" s="530"/>
      <c r="N47" s="530">
        <f t="shared" si="1"/>
        <v>0</v>
      </c>
      <c r="O47" s="530"/>
      <c r="P47" s="530">
        <f t="shared" si="2"/>
        <v>6773482</v>
      </c>
      <c r="Q47" s="530">
        <f t="shared" si="3"/>
        <v>541878.56000000006</v>
      </c>
      <c r="R47" s="532">
        <f t="shared" si="4"/>
        <v>101602.23</v>
      </c>
      <c r="S47" s="530">
        <f t="shared" si="5"/>
        <v>67734.820000000007</v>
      </c>
      <c r="T47" s="532"/>
      <c r="U47" s="532">
        <f t="shared" si="6"/>
        <v>711215.6100000001</v>
      </c>
      <c r="V47" s="532"/>
      <c r="W47" s="532"/>
      <c r="X47" s="533"/>
      <c r="Y47" s="532"/>
      <c r="Z47" s="532"/>
      <c r="AA47" s="455">
        <f t="shared" si="9"/>
        <v>6062266.3899999997</v>
      </c>
      <c r="AB47" s="101">
        <f t="shared" si="8"/>
        <v>33</v>
      </c>
      <c r="AC47" s="102" t="s">
        <v>490</v>
      </c>
      <c r="AD47" s="729"/>
      <c r="AE47" s="729"/>
      <c r="AF47" s="729"/>
      <c r="AG47" s="729"/>
      <c r="AH47" s="729"/>
      <c r="AI47" s="729"/>
      <c r="AJ47" s="729"/>
      <c r="AK47" s="729"/>
      <c r="AL47" s="729"/>
      <c r="AM47" s="729"/>
      <c r="AN47" s="729"/>
      <c r="AO47" s="729"/>
      <c r="AP47" s="729"/>
      <c r="AQ47" s="729"/>
      <c r="AR47" s="729"/>
    </row>
    <row r="48" spans="1:44" s="678" customFormat="1" ht="39" customHeight="1">
      <c r="A48" s="651">
        <f>_xlfn.AGGREGATE(4,7,A$14:A47)+1</f>
        <v>34</v>
      </c>
      <c r="B48" s="498" t="s">
        <v>254</v>
      </c>
      <c r="C48" s="112" t="s">
        <v>255</v>
      </c>
      <c r="D48" s="223"/>
      <c r="E48" s="223" t="str">
        <f>INDEX([3]SACOM!$C$7:$C$335,MATCH(B48,[3]SACOM!$B$7:$B$335,0))</f>
        <v>060310682015</v>
      </c>
      <c r="F48" s="453" t="str">
        <f>INDEX([3]SACOM!$C$7:$C$335,MATCH(B48,[3]SACOM!$B$7:$B$335,0))</f>
        <v>060310682015</v>
      </c>
      <c r="G48" s="452" t="s">
        <v>245</v>
      </c>
      <c r="H48" s="634">
        <v>9</v>
      </c>
      <c r="I48" s="530">
        <v>7841152</v>
      </c>
      <c r="J48" s="631"/>
      <c r="K48" s="530"/>
      <c r="L48" s="530">
        <f>ROUND(I48+K48,0)</f>
        <v>7841152</v>
      </c>
      <c r="M48" s="530"/>
      <c r="N48" s="530">
        <f>L48/26*M48</f>
        <v>0</v>
      </c>
      <c r="O48" s="530"/>
      <c r="P48" s="530">
        <f>L48-N48+O48</f>
        <v>7841152</v>
      </c>
      <c r="Q48" s="530">
        <f>L48*8%</f>
        <v>627292.16000000003</v>
      </c>
      <c r="R48" s="532">
        <f>L48*1.5%</f>
        <v>117617.28</v>
      </c>
      <c r="S48" s="530">
        <f>L48*1%</f>
        <v>78411.520000000004</v>
      </c>
      <c r="T48" s="532"/>
      <c r="U48" s="532">
        <f>SUM(Q48:T48)</f>
        <v>823320.96000000008</v>
      </c>
      <c r="V48" s="532"/>
      <c r="W48" s="635"/>
      <c r="X48" s="635"/>
      <c r="Y48" s="635"/>
      <c r="Z48" s="635">
        <v>852000</v>
      </c>
      <c r="AA48" s="455">
        <f>P48-U48+W48+Y48+Z48</f>
        <v>7869831.04</v>
      </c>
      <c r="AB48" s="101">
        <f>A48</f>
        <v>34</v>
      </c>
      <c r="AC48" s="102"/>
      <c r="AD48" s="729"/>
      <c r="AE48" s="729"/>
      <c r="AF48" s="729"/>
      <c r="AG48" s="729"/>
      <c r="AH48" s="729"/>
      <c r="AI48" s="729"/>
      <c r="AJ48" s="729"/>
      <c r="AK48" s="729"/>
      <c r="AL48" s="729"/>
      <c r="AM48" s="729"/>
      <c r="AN48" s="729"/>
      <c r="AO48" s="729"/>
      <c r="AP48" s="729"/>
      <c r="AQ48" s="729"/>
      <c r="AR48" s="729"/>
    </row>
    <row r="49" spans="1:44" s="670" customFormat="1" ht="39" customHeight="1">
      <c r="A49" s="651">
        <f>_xlfn.AGGREGATE(4,7,A$14:A48)+1</f>
        <v>35</v>
      </c>
      <c r="B49" s="657" t="s">
        <v>473</v>
      </c>
      <c r="C49" s="669" t="s">
        <v>371</v>
      </c>
      <c r="D49" s="592"/>
      <c r="E49" s="658"/>
      <c r="F49" s="665"/>
      <c r="G49" s="673" t="s">
        <v>245</v>
      </c>
      <c r="H49" s="672">
        <v>1</v>
      </c>
      <c r="I49" s="659">
        <v>5307200</v>
      </c>
      <c r="J49" s="631"/>
      <c r="K49" s="659"/>
      <c r="L49" s="530">
        <f>ROUND(I49+K49,0)</f>
        <v>5307200</v>
      </c>
      <c r="M49" s="659"/>
      <c r="N49" s="530">
        <f>L49/26*M49</f>
        <v>0</v>
      </c>
      <c r="O49" s="659"/>
      <c r="P49" s="530">
        <f>L49-N49+O49</f>
        <v>5307200</v>
      </c>
      <c r="Q49" s="530">
        <f>L49*8%</f>
        <v>424576</v>
      </c>
      <c r="R49" s="532">
        <f>L49*1.5%</f>
        <v>79608</v>
      </c>
      <c r="S49" s="530">
        <f>L49*1%</f>
        <v>53072</v>
      </c>
      <c r="T49" s="660"/>
      <c r="U49" s="532">
        <f>SUM(Q49:T49)</f>
        <v>557256</v>
      </c>
      <c r="V49" s="660"/>
      <c r="W49" s="642"/>
      <c r="X49" s="642"/>
      <c r="Y49" s="642"/>
      <c r="Z49" s="642"/>
      <c r="AA49" s="455">
        <f>P49-U49+W49+Y49+Z49</f>
        <v>4749944</v>
      </c>
      <c r="AB49" s="101">
        <f>A49</f>
        <v>35</v>
      </c>
      <c r="AC49" s="120"/>
      <c r="AD49" s="729"/>
      <c r="AE49" s="729"/>
      <c r="AF49" s="729"/>
      <c r="AG49" s="729"/>
      <c r="AH49" s="729"/>
      <c r="AI49" s="729"/>
      <c r="AJ49" s="729"/>
      <c r="AK49" s="729"/>
      <c r="AL49" s="729"/>
      <c r="AM49" s="729"/>
      <c r="AN49" s="729"/>
      <c r="AO49" s="729"/>
      <c r="AP49" s="729"/>
      <c r="AQ49" s="729"/>
      <c r="AR49" s="729"/>
    </row>
    <row r="50" spans="1:44" s="674" customFormat="1" ht="39" customHeight="1">
      <c r="A50" s="651">
        <f>_xlfn.AGGREGATE(4,7,A$14:A49)+1</f>
        <v>36</v>
      </c>
      <c r="B50" s="518" t="s">
        <v>474</v>
      </c>
      <c r="C50" s="545" t="s">
        <v>187</v>
      </c>
      <c r="D50" s="592"/>
      <c r="E50" s="671"/>
      <c r="F50" s="634"/>
      <c r="G50" s="673" t="s">
        <v>245</v>
      </c>
      <c r="H50" s="672">
        <v>1</v>
      </c>
      <c r="I50" s="675">
        <v>5307200</v>
      </c>
      <c r="J50" s="531"/>
      <c r="K50" s="530"/>
      <c r="L50" s="530">
        <f>ROUND(I50+K50,0)</f>
        <v>5307200</v>
      </c>
      <c r="M50" s="640"/>
      <c r="N50" s="530">
        <f>L50/26*M50</f>
        <v>0</v>
      </c>
      <c r="O50" s="640"/>
      <c r="P50" s="530">
        <f>L50-N50+O50</f>
        <v>5307200</v>
      </c>
      <c r="Q50" s="530">
        <f>L50*8%</f>
        <v>424576</v>
      </c>
      <c r="R50" s="532">
        <f>L50*1.5%</f>
        <v>79608</v>
      </c>
      <c r="S50" s="530">
        <f>L50*1%</f>
        <v>53072</v>
      </c>
      <c r="T50" s="641"/>
      <c r="U50" s="532">
        <f>SUM(Q50:T50)</f>
        <v>557256</v>
      </c>
      <c r="V50" s="641"/>
      <c r="W50" s="642"/>
      <c r="X50" s="642"/>
      <c r="Y50" s="642"/>
      <c r="Z50" s="642"/>
      <c r="AA50" s="455">
        <f>P50-U50+W50+Y50+Z50</f>
        <v>4749944</v>
      </c>
      <c r="AB50" s="101">
        <f>A50</f>
        <v>36</v>
      </c>
      <c r="AC50" s="120"/>
      <c r="AD50" s="729"/>
      <c r="AE50" s="729"/>
      <c r="AF50" s="729"/>
      <c r="AG50" s="729"/>
      <c r="AH50" s="729"/>
      <c r="AI50" s="729"/>
      <c r="AJ50" s="729"/>
      <c r="AK50" s="729"/>
      <c r="AL50" s="729"/>
      <c r="AM50" s="729"/>
      <c r="AN50" s="729"/>
      <c r="AO50" s="729"/>
      <c r="AP50" s="729"/>
      <c r="AQ50" s="729"/>
      <c r="AR50" s="729"/>
    </row>
    <row r="51" spans="1:44" s="104" customFormat="1" ht="33.75" customHeight="1">
      <c r="A51" s="651">
        <f>_xlfn.AGGREGATE(4,7,A$14:A50)+1</f>
        <v>37</v>
      </c>
      <c r="B51" s="518" t="s">
        <v>280</v>
      </c>
      <c r="C51" s="545" t="s">
        <v>281</v>
      </c>
      <c r="D51" s="265"/>
      <c r="E51" s="592"/>
      <c r="F51" s="724" t="str">
        <f>INDEX([3]SACOM!$C$7:$C$335,MATCH(B51,[3]SACOM!$B$7:$B$335,0))</f>
        <v>060263702789</v>
      </c>
      <c r="G51" s="519" t="s">
        <v>242</v>
      </c>
      <c r="H51" s="639">
        <v>12</v>
      </c>
      <c r="I51" s="640">
        <v>11952831</v>
      </c>
      <c r="J51" s="631"/>
      <c r="K51" s="640"/>
      <c r="L51" s="640">
        <f t="shared" si="0"/>
        <v>11952831</v>
      </c>
      <c r="M51" s="640"/>
      <c r="N51" s="640">
        <f t="shared" si="1"/>
        <v>0</v>
      </c>
      <c r="O51" s="640"/>
      <c r="P51" s="640">
        <f t="shared" si="2"/>
        <v>11952831</v>
      </c>
      <c r="Q51" s="640">
        <v>0</v>
      </c>
      <c r="R51" s="641">
        <v>0</v>
      </c>
      <c r="S51" s="640">
        <v>0</v>
      </c>
      <c r="T51" s="641"/>
      <c r="U51" s="641">
        <f t="shared" si="6"/>
        <v>0</v>
      </c>
      <c r="V51" s="641"/>
      <c r="W51" s="642"/>
      <c r="X51" s="642"/>
      <c r="Y51" s="642"/>
      <c r="Z51" s="642"/>
      <c r="AA51" s="525">
        <f t="shared" si="9"/>
        <v>11952831</v>
      </c>
      <c r="AB51" s="526">
        <f t="shared" si="8"/>
        <v>37</v>
      </c>
      <c r="AC51" s="615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</row>
    <row r="52" spans="1:44" s="104" customFormat="1" ht="30.75" customHeight="1">
      <c r="A52" s="652"/>
      <c r="B52" s="619" t="s">
        <v>436</v>
      </c>
      <c r="C52" s="620"/>
      <c r="D52" s="620"/>
      <c r="E52" s="620"/>
      <c r="F52" s="620"/>
      <c r="G52" s="623"/>
      <c r="H52" s="643"/>
      <c r="I52" s="621">
        <f t="shared" ref="I52:T52" si="10">SUM(I15:I51)</f>
        <v>261856656</v>
      </c>
      <c r="J52" s="621">
        <f t="shared" si="10"/>
        <v>0.12</v>
      </c>
      <c r="K52" s="621">
        <f t="shared" si="10"/>
        <v>1434339.72</v>
      </c>
      <c r="L52" s="621">
        <f t="shared" si="10"/>
        <v>263290996</v>
      </c>
      <c r="M52" s="621">
        <f t="shared" si="10"/>
        <v>52</v>
      </c>
      <c r="N52" s="621">
        <f t="shared" si="10"/>
        <v>11880099</v>
      </c>
      <c r="O52" s="621">
        <f t="shared" si="10"/>
        <v>0</v>
      </c>
      <c r="P52" s="621">
        <f t="shared" si="10"/>
        <v>251410897</v>
      </c>
      <c r="Q52" s="621">
        <f t="shared" si="10"/>
        <v>19156645.280000005</v>
      </c>
      <c r="R52" s="621">
        <f>SUM(R15:R51)</f>
        <v>3591870.9899999998</v>
      </c>
      <c r="S52" s="621">
        <f>SUM(S15:S51)-1</f>
        <v>2394579.6600000006</v>
      </c>
      <c r="T52" s="621">
        <f t="shared" si="10"/>
        <v>0</v>
      </c>
      <c r="U52" s="621">
        <f>SUM(U15:U51)-1</f>
        <v>25143095.929999992</v>
      </c>
      <c r="V52" s="621">
        <f>SUM(V15:V51)</f>
        <v>0</v>
      </c>
      <c r="W52" s="621">
        <f>SUM(W15:W51)</f>
        <v>0</v>
      </c>
      <c r="X52" s="621">
        <f>SUM(X15:X51)</f>
        <v>0</v>
      </c>
      <c r="Y52" s="621">
        <f>SUM(Y15:Y51)</f>
        <v>0</v>
      </c>
      <c r="Z52" s="621">
        <f>SUM(Z15:Z51)</f>
        <v>852000</v>
      </c>
      <c r="AA52" s="621">
        <f>SUM(AA15:AA51)+1</f>
        <v>227119801.06999996</v>
      </c>
      <c r="AB52" s="624"/>
      <c r="AC52" s="625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</row>
    <row r="53" spans="1:44" s="104" customFormat="1" ht="32.25" customHeight="1">
      <c r="A53" s="653" t="s">
        <v>439</v>
      </c>
      <c r="B53" s="619" t="s">
        <v>434</v>
      </c>
      <c r="C53" s="620"/>
      <c r="D53" s="620"/>
      <c r="E53" s="620"/>
      <c r="F53" s="620"/>
      <c r="G53" s="620"/>
      <c r="H53" s="620"/>
      <c r="I53" s="623"/>
      <c r="J53" s="617"/>
      <c r="K53" s="616"/>
      <c r="L53" s="616"/>
      <c r="M53" s="616"/>
      <c r="N53" s="616"/>
      <c r="O53" s="616"/>
      <c r="P53" s="616"/>
      <c r="Q53" s="616"/>
      <c r="R53" s="616"/>
      <c r="S53" s="616"/>
      <c r="T53" s="616"/>
      <c r="U53" s="616"/>
      <c r="V53" s="616"/>
      <c r="W53" s="618"/>
      <c r="X53" s="618"/>
      <c r="Y53" s="618"/>
      <c r="Z53" s="618"/>
      <c r="AA53" s="461"/>
      <c r="AB53" s="624"/>
      <c r="AC53" s="625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</row>
    <row r="54" spans="1:44" s="104" customFormat="1" ht="34.5" customHeight="1">
      <c r="A54" s="651">
        <f>_xlfn.AGGREGATE(4,7,A$12:A51)+1</f>
        <v>38</v>
      </c>
      <c r="B54" s="644" t="s">
        <v>131</v>
      </c>
      <c r="C54" s="241" t="s">
        <v>357</v>
      </c>
      <c r="D54" s="242" t="str">
        <f>VLOOKUP(B54,[2]T3!$B$2:$D$328,3,FALSE)</f>
        <v>079083003027</v>
      </c>
      <c r="E54" s="547" t="s">
        <v>204</v>
      </c>
      <c r="F54" s="453" t="str">
        <f>INDEX([3]SACOM!$C$7:$C$335,MATCH(B54,[3]SACOM!$B$7:$B$335,0))</f>
        <v>060312106186</v>
      </c>
      <c r="G54" s="548" t="s">
        <v>246</v>
      </c>
      <c r="H54" s="629">
        <v>9</v>
      </c>
      <c r="I54" s="630">
        <v>7328179</v>
      </c>
      <c r="J54" s="631"/>
      <c r="K54" s="630"/>
      <c r="L54" s="630">
        <f t="shared" ref="L54:L77" si="11">ROUND(I54+K54,0)</f>
        <v>7328179</v>
      </c>
      <c r="M54" s="630"/>
      <c r="N54" s="630">
        <f>L54/26*M54</f>
        <v>0</v>
      </c>
      <c r="O54" s="630"/>
      <c r="P54" s="630">
        <f t="shared" ref="P54:P63" si="12">L54-N54+O54</f>
        <v>7328179</v>
      </c>
      <c r="Q54" s="630">
        <f t="shared" ref="Q54:Q58" si="13">L54*8%</f>
        <v>586254.32000000007</v>
      </c>
      <c r="R54" s="632">
        <f t="shared" ref="R54:R58" si="14">L54*1.5%</f>
        <v>109922.685</v>
      </c>
      <c r="S54" s="630">
        <f>L54*1%</f>
        <v>73281.790000000008</v>
      </c>
      <c r="T54" s="632"/>
      <c r="U54" s="632">
        <f t="shared" ref="U54:U63" si="15">SUM(Q54:T54)</f>
        <v>769458.79500000016</v>
      </c>
      <c r="V54" s="632"/>
      <c r="W54" s="632"/>
      <c r="X54" s="633"/>
      <c r="Y54" s="632"/>
      <c r="Z54" s="632"/>
      <c r="AA54" s="626">
        <f t="shared" ref="AA54:AA63" si="16">P54-U54+W54+Y54+Z54</f>
        <v>6558720.2050000001</v>
      </c>
      <c r="AB54" s="250">
        <f t="shared" ref="AB54:AB77" si="17">A54</f>
        <v>38</v>
      </c>
      <c r="AC54" s="251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</row>
    <row r="55" spans="1:44" s="104" customFormat="1" ht="36.75" customHeight="1">
      <c r="A55" s="651">
        <f>_xlfn.AGGREGATE(4,7,A$12:A54)+1</f>
        <v>39</v>
      </c>
      <c r="B55" s="498" t="s">
        <v>251</v>
      </c>
      <c r="C55" s="112" t="s">
        <v>357</v>
      </c>
      <c r="D55" s="228"/>
      <c r="E55" s="209" t="str">
        <f>VLOOKUP(B55,[1]LuongBC_T01!$B$277:$C$292,2,FALSE)</f>
        <v>0016100006651008</v>
      </c>
      <c r="F55" s="453" t="str">
        <f>INDEX([3]SACOM!$C$7:$C$335,MATCH(B55,[3]SACOM!$B$7:$B$335,0))</f>
        <v xml:space="preserve">060310664912 </v>
      </c>
      <c r="G55" s="97" t="s">
        <v>246</v>
      </c>
      <c r="H55" s="529">
        <v>7</v>
      </c>
      <c r="I55" s="530">
        <v>6646874</v>
      </c>
      <c r="J55" s="631"/>
      <c r="K55" s="530"/>
      <c r="L55" s="530">
        <f t="shared" si="11"/>
        <v>6646874</v>
      </c>
      <c r="M55" s="530"/>
      <c r="N55" s="530">
        <f>L55/26*M55</f>
        <v>0</v>
      </c>
      <c r="O55" s="530"/>
      <c r="P55" s="530">
        <f t="shared" si="12"/>
        <v>6646874</v>
      </c>
      <c r="Q55" s="530">
        <f t="shared" si="13"/>
        <v>531749.92000000004</v>
      </c>
      <c r="R55" s="532">
        <f t="shared" si="14"/>
        <v>99703.11</v>
      </c>
      <c r="S55" s="530">
        <f>L55*1%</f>
        <v>66468.740000000005</v>
      </c>
      <c r="T55" s="532"/>
      <c r="U55" s="532">
        <f t="shared" si="15"/>
        <v>697921.77</v>
      </c>
      <c r="V55" s="532"/>
      <c r="W55" s="532"/>
      <c r="X55" s="533"/>
      <c r="Y55" s="532"/>
      <c r="Z55" s="532"/>
      <c r="AA55" s="455">
        <f t="shared" si="16"/>
        <v>5948952.2300000004</v>
      </c>
      <c r="AB55" s="101">
        <f t="shared" si="17"/>
        <v>39</v>
      </c>
      <c r="AC55" s="10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</row>
    <row r="56" spans="1:44" s="104" customFormat="1" ht="35.25" customHeight="1">
      <c r="A56" s="651">
        <f>_xlfn.AGGREGATE(4,7,A$12:A55)+1</f>
        <v>40</v>
      </c>
      <c r="B56" s="498" t="s">
        <v>252</v>
      </c>
      <c r="C56" s="112" t="s">
        <v>357</v>
      </c>
      <c r="D56" s="228"/>
      <c r="E56" s="209" t="str">
        <f>VLOOKUP(B56,[1]LuongBC_T01!$B$277:$C$292,2,FALSE)</f>
        <v>0016100006666005</v>
      </c>
      <c r="F56" s="453" t="str">
        <f>INDEX([3]SACOM!$C$7:$C$335,MATCH(B56,[3]SACOM!$B$7:$B$335,0))</f>
        <v xml:space="preserve">060310832297 </v>
      </c>
      <c r="G56" s="97" t="s">
        <v>246</v>
      </c>
      <c r="H56" s="529">
        <v>6</v>
      </c>
      <c r="I56" s="530">
        <v>6330357</v>
      </c>
      <c r="J56" s="631"/>
      <c r="K56" s="530"/>
      <c r="L56" s="530">
        <f t="shared" si="11"/>
        <v>6330357</v>
      </c>
      <c r="M56" s="530"/>
      <c r="N56" s="530">
        <f t="shared" ref="N56:N58" si="18">L56/26*M56</f>
        <v>0</v>
      </c>
      <c r="O56" s="530"/>
      <c r="P56" s="530">
        <f t="shared" si="12"/>
        <v>6330357</v>
      </c>
      <c r="Q56" s="530">
        <f t="shared" si="13"/>
        <v>506428.56</v>
      </c>
      <c r="R56" s="532">
        <f t="shared" si="14"/>
        <v>94955.354999999996</v>
      </c>
      <c r="S56" s="530">
        <f t="shared" ref="S56:S58" si="19">L56*1%</f>
        <v>63303.57</v>
      </c>
      <c r="T56" s="532"/>
      <c r="U56" s="532">
        <f t="shared" si="15"/>
        <v>664687.48499999999</v>
      </c>
      <c r="V56" s="532"/>
      <c r="W56" s="532"/>
      <c r="X56" s="533"/>
      <c r="Y56" s="532"/>
      <c r="Z56" s="532"/>
      <c r="AA56" s="455">
        <f t="shared" si="16"/>
        <v>5665669.5149999997</v>
      </c>
      <c r="AB56" s="101">
        <f t="shared" si="17"/>
        <v>40</v>
      </c>
      <c r="AC56" s="10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</row>
    <row r="57" spans="1:44" s="656" customFormat="1" ht="31.5" customHeight="1">
      <c r="A57" s="654">
        <f>_xlfn.AGGREGATE(4,7,A$12:A56)+1</f>
        <v>41</v>
      </c>
      <c r="B57" s="498" t="s">
        <v>226</v>
      </c>
      <c r="C57" s="112" t="s">
        <v>357</v>
      </c>
      <c r="D57" s="228" t="str">
        <f>VLOOKUP(B57,[2]T3!$B$2:$D$328,3,FALSE)</f>
        <v>024110707</v>
      </c>
      <c r="E57" s="209"/>
      <c r="F57" s="453" t="str">
        <f>INDEX([3]SACOM!$C$7:$C$335,MATCH(B57,[3]SACOM!$B$7:$B$335,0))</f>
        <v>060282190837</v>
      </c>
      <c r="G57" s="97" t="s">
        <v>246</v>
      </c>
      <c r="H57" s="529">
        <v>3</v>
      </c>
      <c r="I57" s="530">
        <v>5468400</v>
      </c>
      <c r="J57" s="631"/>
      <c r="K57" s="530"/>
      <c r="L57" s="530">
        <f t="shared" si="11"/>
        <v>5468400</v>
      </c>
      <c r="M57" s="530"/>
      <c r="N57" s="530">
        <f t="shared" si="18"/>
        <v>0</v>
      </c>
      <c r="O57" s="530"/>
      <c r="P57" s="530">
        <f t="shared" si="12"/>
        <v>5468400</v>
      </c>
      <c r="Q57" s="530">
        <f t="shared" si="13"/>
        <v>437472</v>
      </c>
      <c r="R57" s="532">
        <f t="shared" si="14"/>
        <v>82026</v>
      </c>
      <c r="S57" s="530">
        <f t="shared" si="19"/>
        <v>54684</v>
      </c>
      <c r="T57" s="532"/>
      <c r="U57" s="532">
        <f t="shared" si="15"/>
        <v>574182</v>
      </c>
      <c r="V57" s="532"/>
      <c r="W57" s="532"/>
      <c r="X57" s="533"/>
      <c r="Y57" s="532"/>
      <c r="Z57" s="532"/>
      <c r="AA57" s="455">
        <f t="shared" si="16"/>
        <v>4894218</v>
      </c>
      <c r="AB57" s="101">
        <f t="shared" si="17"/>
        <v>41</v>
      </c>
      <c r="AC57" s="102"/>
      <c r="AD57" s="729"/>
      <c r="AE57" s="729"/>
      <c r="AF57" s="729"/>
      <c r="AG57" s="729"/>
      <c r="AH57" s="729"/>
      <c r="AI57" s="729"/>
      <c r="AJ57" s="729"/>
      <c r="AK57" s="729"/>
      <c r="AL57" s="729"/>
      <c r="AM57" s="729"/>
      <c r="AN57" s="729"/>
      <c r="AO57" s="729"/>
      <c r="AP57" s="729"/>
      <c r="AQ57" s="729"/>
      <c r="AR57" s="729"/>
    </row>
    <row r="58" spans="1:44" s="727" customFormat="1" ht="29.25" customHeight="1">
      <c r="A58" s="654">
        <f>_xlfn.AGGREGATE(4,7,A$12:A57)+1</f>
        <v>42</v>
      </c>
      <c r="B58" s="498" t="s">
        <v>343</v>
      </c>
      <c r="C58" s="112" t="s">
        <v>55</v>
      </c>
      <c r="D58" s="223"/>
      <c r="E58" s="223" t="str">
        <f>INDEX([3]SACOM!$C$7:$C$335,MATCH(B58,[3]SACOM!$B$7:$B$335,0))</f>
        <v xml:space="preserve">060310667083 </v>
      </c>
      <c r="F58" s="453" t="str">
        <f>INDEX([3]SACOM!$C$7:$C$335,MATCH(B58,[3]SACOM!$B$7:$B$335,0))</f>
        <v xml:space="preserve">060310667083 </v>
      </c>
      <c r="G58" s="445" t="s">
        <v>245</v>
      </c>
      <c r="H58" s="529">
        <v>12</v>
      </c>
      <c r="I58" s="530">
        <v>9077113</v>
      </c>
      <c r="J58" s="638">
        <v>7.0000000000000007E-2</v>
      </c>
      <c r="K58" s="530">
        <f>I58*J58</f>
        <v>635397.91</v>
      </c>
      <c r="L58" s="530">
        <f t="shared" si="11"/>
        <v>9712511</v>
      </c>
      <c r="M58" s="530"/>
      <c r="N58" s="530">
        <f t="shared" si="18"/>
        <v>0</v>
      </c>
      <c r="O58" s="530"/>
      <c r="P58" s="530">
        <f t="shared" si="12"/>
        <v>9712511</v>
      </c>
      <c r="Q58" s="530">
        <f t="shared" si="13"/>
        <v>777000.88</v>
      </c>
      <c r="R58" s="532">
        <f t="shared" si="14"/>
        <v>145687.66500000001</v>
      </c>
      <c r="S58" s="530">
        <f t="shared" si="19"/>
        <v>97125.11</v>
      </c>
      <c r="T58" s="532"/>
      <c r="U58" s="532">
        <f t="shared" si="15"/>
        <v>1019813.655</v>
      </c>
      <c r="V58" s="532"/>
      <c r="W58" s="532"/>
      <c r="X58" s="533"/>
      <c r="Y58" s="532"/>
      <c r="Z58" s="532"/>
      <c r="AA58" s="455">
        <f t="shared" si="16"/>
        <v>8692697.3450000007</v>
      </c>
      <c r="AB58" s="101">
        <f t="shared" si="17"/>
        <v>42</v>
      </c>
      <c r="AC58" s="102"/>
      <c r="AD58" s="729"/>
      <c r="AE58" s="729"/>
      <c r="AF58" s="729"/>
      <c r="AG58" s="729"/>
      <c r="AH58" s="729"/>
      <c r="AI58" s="729"/>
      <c r="AJ58" s="729"/>
      <c r="AK58" s="729"/>
      <c r="AL58" s="729"/>
      <c r="AM58" s="729"/>
      <c r="AN58" s="729"/>
      <c r="AO58" s="729"/>
      <c r="AP58" s="729"/>
      <c r="AQ58" s="729"/>
      <c r="AR58" s="729"/>
    </row>
    <row r="59" spans="1:44" s="656" customFormat="1" ht="34.5" customHeight="1">
      <c r="A59" s="651">
        <f>_xlfn.AGGREGATE(4,7,A$12:A58)+1</f>
        <v>43</v>
      </c>
      <c r="B59" s="498" t="s">
        <v>250</v>
      </c>
      <c r="C59" s="112" t="s">
        <v>55</v>
      </c>
      <c r="D59" s="223" t="str">
        <f>VLOOKUP(B59,[1]LuongBC_T01!$B$277:$C$292,2,FALSE)</f>
        <v>0016100006668008</v>
      </c>
      <c r="E59" s="223" t="str">
        <f>INDEX([3]SACOM!$C$7:$C$335,MATCH(B59,[3]SACOM!$B$7:$B$335,0))</f>
        <v>060311132264</v>
      </c>
      <c r="F59" s="453" t="str">
        <f>INDEX([3]SACOM!$C$7:$C$335,MATCH(B59,[3]SACOM!$B$7:$B$335,0))</f>
        <v>060311132264</v>
      </c>
      <c r="G59" s="445" t="s">
        <v>246</v>
      </c>
      <c r="H59" s="529">
        <v>10</v>
      </c>
      <c r="I59" s="530">
        <v>7694588</v>
      </c>
      <c r="J59" s="631"/>
      <c r="K59" s="530"/>
      <c r="L59" s="530">
        <f t="shared" si="11"/>
        <v>7694588</v>
      </c>
      <c r="M59" s="530"/>
      <c r="N59" s="530">
        <f>L59/26*M59</f>
        <v>0</v>
      </c>
      <c r="O59" s="530"/>
      <c r="P59" s="530">
        <f t="shared" si="12"/>
        <v>7694588</v>
      </c>
      <c r="Q59" s="530">
        <f>L59*8%</f>
        <v>615567.04</v>
      </c>
      <c r="R59" s="532">
        <f>L59*1.5%</f>
        <v>115418.81999999999</v>
      </c>
      <c r="S59" s="530">
        <f>L59*1%</f>
        <v>76945.88</v>
      </c>
      <c r="T59" s="532"/>
      <c r="U59" s="532">
        <f t="shared" si="15"/>
        <v>807931.74</v>
      </c>
      <c r="V59" s="532"/>
      <c r="W59" s="532"/>
      <c r="X59" s="533"/>
      <c r="Y59" s="532"/>
      <c r="Z59" s="532"/>
      <c r="AA59" s="455">
        <f t="shared" si="16"/>
        <v>6886656.2599999998</v>
      </c>
      <c r="AB59" s="101">
        <f t="shared" si="17"/>
        <v>43</v>
      </c>
      <c r="AC59" s="102"/>
      <c r="AD59" s="729"/>
      <c r="AE59" s="729"/>
      <c r="AF59" s="729"/>
      <c r="AG59" s="729"/>
      <c r="AH59" s="729"/>
      <c r="AI59" s="729"/>
      <c r="AJ59" s="729"/>
      <c r="AK59" s="729"/>
      <c r="AL59" s="729"/>
      <c r="AM59" s="729"/>
      <c r="AN59" s="729"/>
      <c r="AO59" s="729"/>
      <c r="AP59" s="729"/>
      <c r="AQ59" s="729"/>
      <c r="AR59" s="729"/>
    </row>
    <row r="60" spans="1:44" s="678" customFormat="1" ht="35.25" customHeight="1">
      <c r="A60" s="651">
        <f>_xlfn.AGGREGATE(4,7,A$12:A59)+1</f>
        <v>44</v>
      </c>
      <c r="B60" s="498" t="s">
        <v>249</v>
      </c>
      <c r="C60" s="112" t="s">
        <v>55</v>
      </c>
      <c r="D60" s="223" t="str">
        <f>VLOOKUP(B60,[1]LuongBC_T01!$B$277:$C$292,2,FALSE)</f>
        <v>0016100006650001</v>
      </c>
      <c r="E60" s="223" t="str">
        <f>INDEX([3]SACOM!$C$7:$C$335,MATCH(B60,[3]SACOM!$B$7:$B$335,0))</f>
        <v>060282740322</v>
      </c>
      <c r="F60" s="453" t="str">
        <f>INDEX([3]SACOM!$C$7:$C$335,MATCH(B60,[3]SACOM!$B$7:$B$335,0))</f>
        <v>060282740322</v>
      </c>
      <c r="G60" s="445" t="s">
        <v>246</v>
      </c>
      <c r="H60" s="529">
        <v>12</v>
      </c>
      <c r="I60" s="530">
        <v>8483283</v>
      </c>
      <c r="J60" s="631"/>
      <c r="K60" s="530"/>
      <c r="L60" s="530">
        <f t="shared" si="11"/>
        <v>8483283</v>
      </c>
      <c r="M60" s="530"/>
      <c r="N60" s="530">
        <f>L60/26*M60</f>
        <v>0</v>
      </c>
      <c r="O60" s="530"/>
      <c r="P60" s="530">
        <f t="shared" si="12"/>
        <v>8483283</v>
      </c>
      <c r="Q60" s="530">
        <f t="shared" ref="Q60:Q63" si="20">L60*8%</f>
        <v>678662.64</v>
      </c>
      <c r="R60" s="532">
        <f t="shared" ref="R60:R63" si="21">L60*1.5%</f>
        <v>127249.245</v>
      </c>
      <c r="S60" s="530">
        <f t="shared" ref="S60:S63" si="22">L60*1%</f>
        <v>84832.83</v>
      </c>
      <c r="T60" s="532"/>
      <c r="U60" s="532">
        <f t="shared" si="15"/>
        <v>890744.71499999997</v>
      </c>
      <c r="V60" s="532"/>
      <c r="W60" s="532"/>
      <c r="X60" s="533"/>
      <c r="Y60" s="532"/>
      <c r="Z60" s="532"/>
      <c r="AA60" s="455">
        <f t="shared" si="16"/>
        <v>7592538.2850000001</v>
      </c>
      <c r="AB60" s="101">
        <f t="shared" si="17"/>
        <v>44</v>
      </c>
      <c r="AC60" s="102"/>
      <c r="AD60" s="729"/>
      <c r="AE60" s="729"/>
      <c r="AF60" s="729"/>
      <c r="AG60" s="729"/>
      <c r="AH60" s="729"/>
      <c r="AI60" s="729"/>
      <c r="AJ60" s="729"/>
      <c r="AK60" s="729"/>
      <c r="AL60" s="729"/>
      <c r="AM60" s="729"/>
      <c r="AN60" s="729"/>
      <c r="AO60" s="729"/>
      <c r="AP60" s="729"/>
      <c r="AQ60" s="729"/>
      <c r="AR60" s="729"/>
    </row>
    <row r="61" spans="1:44" s="562" customFormat="1" ht="30" customHeight="1">
      <c r="A61" s="651">
        <f>_xlfn.AGGREGATE(4,7,A$12:A60)+1</f>
        <v>45</v>
      </c>
      <c r="B61" s="498" t="s">
        <v>306</v>
      </c>
      <c r="C61" s="112" t="s">
        <v>55</v>
      </c>
      <c r="D61" s="223"/>
      <c r="E61" s="223" t="str">
        <f>INDEX([3]SACOM!$C$7:$C$335,MATCH(B61,[3]SACOM!$B$7:$B$335,0))</f>
        <v xml:space="preserve">060310672796 </v>
      </c>
      <c r="F61" s="453" t="str">
        <f>INDEX([3]SACOM!$C$7:$C$335,MATCH(B61,[3]SACOM!$B$7:$B$335,0))</f>
        <v xml:space="preserve">060310672796 </v>
      </c>
      <c r="G61" s="445" t="s">
        <v>242</v>
      </c>
      <c r="H61" s="529">
        <v>2</v>
      </c>
      <c r="I61" s="530">
        <v>6076213</v>
      </c>
      <c r="J61" s="631"/>
      <c r="K61" s="530"/>
      <c r="L61" s="530">
        <f t="shared" si="11"/>
        <v>6076213</v>
      </c>
      <c r="M61" s="530"/>
      <c r="N61" s="530">
        <f t="shared" ref="N61:N63" si="23">L61/26*M61</f>
        <v>0</v>
      </c>
      <c r="O61" s="530"/>
      <c r="P61" s="530">
        <f t="shared" si="12"/>
        <v>6076213</v>
      </c>
      <c r="Q61" s="530">
        <f t="shared" si="20"/>
        <v>486097.04000000004</v>
      </c>
      <c r="R61" s="532">
        <f t="shared" si="21"/>
        <v>91143.194999999992</v>
      </c>
      <c r="S61" s="530">
        <f t="shared" si="22"/>
        <v>60762.130000000005</v>
      </c>
      <c r="T61" s="532"/>
      <c r="U61" s="532">
        <f t="shared" si="15"/>
        <v>638002.36499999999</v>
      </c>
      <c r="V61" s="532"/>
      <c r="W61" s="635"/>
      <c r="X61" s="635"/>
      <c r="Y61" s="635"/>
      <c r="Z61" s="635"/>
      <c r="AA61" s="455">
        <f t="shared" si="16"/>
        <v>5438210.6349999998</v>
      </c>
      <c r="AB61" s="101">
        <f t="shared" si="17"/>
        <v>45</v>
      </c>
      <c r="AC61" s="255"/>
      <c r="AD61" s="729"/>
      <c r="AE61" s="729"/>
      <c r="AF61" s="729"/>
      <c r="AG61" s="729"/>
      <c r="AH61" s="729"/>
      <c r="AI61" s="729"/>
      <c r="AJ61" s="729"/>
      <c r="AK61" s="729"/>
      <c r="AL61" s="729"/>
      <c r="AM61" s="729"/>
      <c r="AN61" s="729"/>
      <c r="AO61" s="729"/>
      <c r="AP61" s="729"/>
      <c r="AQ61" s="729"/>
      <c r="AR61" s="729"/>
    </row>
    <row r="62" spans="1:44" s="728" customFormat="1" ht="30" customHeight="1">
      <c r="A62" s="651">
        <f>_xlfn.AGGREGATE(4,7,A$12:A61)+1</f>
        <v>46</v>
      </c>
      <c r="B62" s="498" t="s">
        <v>410</v>
      </c>
      <c r="C62" s="112" t="s">
        <v>55</v>
      </c>
      <c r="D62" s="223"/>
      <c r="E62" s="223" t="str">
        <f>INDEX([3]SACOM!$C$7:$C$335,MATCH(B62,[3]SACOM!$B$7:$B$335,0))</f>
        <v>060901910739</v>
      </c>
      <c r="F62" s="453" t="str">
        <f>INDEX([3]SACOM!$C$7:$C$335,MATCH(B62,[3]SACOM!$B$7:$B$335,0))</f>
        <v>060901910739</v>
      </c>
      <c r="G62" s="445" t="s">
        <v>246</v>
      </c>
      <c r="H62" s="529">
        <v>2</v>
      </c>
      <c r="I62" s="530">
        <v>5208000</v>
      </c>
      <c r="J62" s="631"/>
      <c r="K62" s="530"/>
      <c r="L62" s="530">
        <f t="shared" si="11"/>
        <v>5208000</v>
      </c>
      <c r="M62" s="530"/>
      <c r="N62" s="530">
        <f t="shared" si="23"/>
        <v>0</v>
      </c>
      <c r="O62" s="530"/>
      <c r="P62" s="530">
        <f t="shared" si="12"/>
        <v>5208000</v>
      </c>
      <c r="Q62" s="530">
        <f t="shared" si="20"/>
        <v>416640</v>
      </c>
      <c r="R62" s="532">
        <f t="shared" si="21"/>
        <v>78120</v>
      </c>
      <c r="S62" s="530">
        <f t="shared" si="22"/>
        <v>52080</v>
      </c>
      <c r="T62" s="532"/>
      <c r="U62" s="532">
        <f t="shared" si="15"/>
        <v>546840</v>
      </c>
      <c r="V62" s="532"/>
      <c r="W62" s="635"/>
      <c r="X62" s="635"/>
      <c r="Y62" s="635"/>
      <c r="Z62" s="635"/>
      <c r="AA62" s="455">
        <f t="shared" si="16"/>
        <v>4661160</v>
      </c>
      <c r="AB62" s="101">
        <f t="shared" si="17"/>
        <v>46</v>
      </c>
      <c r="AC62" s="255"/>
      <c r="AD62" s="729"/>
      <c r="AE62" s="729"/>
      <c r="AF62" s="729"/>
      <c r="AG62" s="729"/>
      <c r="AH62" s="729"/>
      <c r="AI62" s="729"/>
      <c r="AJ62" s="729"/>
      <c r="AK62" s="729"/>
      <c r="AL62" s="729"/>
      <c r="AM62" s="729"/>
      <c r="AN62" s="729"/>
      <c r="AO62" s="729"/>
      <c r="AP62" s="729"/>
      <c r="AQ62" s="729"/>
      <c r="AR62" s="729"/>
    </row>
    <row r="63" spans="1:44" s="104" customFormat="1" ht="28.5" customHeight="1">
      <c r="A63" s="693">
        <f>_xlfn.AGGREGATE(4,7,A$12:A62)+1</f>
        <v>47</v>
      </c>
      <c r="B63" s="708" t="s">
        <v>415</v>
      </c>
      <c r="C63" s="383" t="s">
        <v>55</v>
      </c>
      <c r="D63" s="385"/>
      <c r="E63" s="385" t="str">
        <f>INDEX([3]SACOM!$C$7:$C$335,MATCH(B63,[3]SACOM!$B$7:$B$335,0))</f>
        <v>060311114691</v>
      </c>
      <c r="F63" s="709" t="str">
        <f>INDEX([3]SACOM!$C$7:$C$335,MATCH(B63,[3]SACOM!$B$7:$B$335,0))</f>
        <v>060311114691</v>
      </c>
      <c r="G63" s="725" t="s">
        <v>246</v>
      </c>
      <c r="H63" s="726">
        <v>2</v>
      </c>
      <c r="I63" s="666">
        <v>5208000</v>
      </c>
      <c r="J63" s="712"/>
      <c r="K63" s="666"/>
      <c r="L63" s="666">
        <f t="shared" si="11"/>
        <v>5208000</v>
      </c>
      <c r="M63" s="666"/>
      <c r="N63" s="666">
        <f t="shared" si="23"/>
        <v>0</v>
      </c>
      <c r="O63" s="666"/>
      <c r="P63" s="666">
        <f t="shared" si="12"/>
        <v>5208000</v>
      </c>
      <c r="Q63" s="666">
        <f t="shared" si="20"/>
        <v>416640</v>
      </c>
      <c r="R63" s="667">
        <f t="shared" si="21"/>
        <v>78120</v>
      </c>
      <c r="S63" s="666">
        <f t="shared" si="22"/>
        <v>52080</v>
      </c>
      <c r="T63" s="667"/>
      <c r="U63" s="667">
        <f t="shared" si="15"/>
        <v>546840</v>
      </c>
      <c r="V63" s="667"/>
      <c r="W63" s="677"/>
      <c r="X63" s="677"/>
      <c r="Y63" s="677"/>
      <c r="Z63" s="677"/>
      <c r="AA63" s="668">
        <f t="shared" si="16"/>
        <v>4661160</v>
      </c>
      <c r="AB63" s="392">
        <f t="shared" si="17"/>
        <v>47</v>
      </c>
      <c r="AC63" s="393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</row>
    <row r="64" spans="1:44" s="104" customFormat="1" ht="36.75" customHeight="1">
      <c r="A64" s="651">
        <f>_xlfn.AGGREGATE(4,7,A$12:A63)+1</f>
        <v>48</v>
      </c>
      <c r="B64" s="498" t="s">
        <v>289</v>
      </c>
      <c r="C64" s="112" t="s">
        <v>355</v>
      </c>
      <c r="D64" s="265"/>
      <c r="E64" s="223" t="s">
        <v>323</v>
      </c>
      <c r="F64" s="453" t="str">
        <f>INDEX([3]SACOM!$C$7:$C$335,MATCH(B64,[3]SACOM!$B$7:$B$335,0))</f>
        <v xml:space="preserve">060310704809 </v>
      </c>
      <c r="G64" s="97" t="s">
        <v>246</v>
      </c>
      <c r="H64" s="529">
        <v>4</v>
      </c>
      <c r="I64" s="530">
        <v>5741820</v>
      </c>
      <c r="J64" s="631"/>
      <c r="K64" s="530"/>
      <c r="L64" s="640">
        <f t="shared" si="11"/>
        <v>5741820</v>
      </c>
      <c r="M64" s="530"/>
      <c r="N64" s="530">
        <f t="shared" ref="N64:N77" si="24">L64/26*M64</f>
        <v>0</v>
      </c>
      <c r="O64" s="530"/>
      <c r="P64" s="530">
        <f t="shared" ref="P64:P77" si="25">L64-N64+O64</f>
        <v>5741820</v>
      </c>
      <c r="Q64" s="530">
        <f t="shared" ref="Q64:Q77" si="26">L64*8%</f>
        <v>459345.60000000003</v>
      </c>
      <c r="R64" s="532">
        <f t="shared" ref="R64:R77" si="27">L64*1.5%</f>
        <v>86127.3</v>
      </c>
      <c r="S64" s="530">
        <f t="shared" ref="S64:S77" si="28">L64*1%</f>
        <v>57418.200000000004</v>
      </c>
      <c r="T64" s="532"/>
      <c r="U64" s="532">
        <f t="shared" ref="U64:U77" si="29">SUM(Q64:T64)</f>
        <v>602891.1</v>
      </c>
      <c r="V64" s="532"/>
      <c r="W64" s="635"/>
      <c r="X64" s="635"/>
      <c r="Y64" s="635"/>
      <c r="Z64" s="635"/>
      <c r="AA64" s="455">
        <f t="shared" ref="AA64:AA77" si="30">P64-U64+W64+Y64+Z64</f>
        <v>5138928.9000000004</v>
      </c>
      <c r="AB64" s="101">
        <f t="shared" si="17"/>
        <v>48</v>
      </c>
      <c r="AC64" s="10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</row>
    <row r="65" spans="1:44" s="670" customFormat="1" ht="29.45" customHeight="1">
      <c r="A65" s="651">
        <f>_xlfn.AGGREGATE(4,7,A$12:A64)+1</f>
        <v>49</v>
      </c>
      <c r="B65" s="498" t="s">
        <v>286</v>
      </c>
      <c r="C65" s="112" t="s">
        <v>356</v>
      </c>
      <c r="D65" s="265"/>
      <c r="E65" s="223" t="s">
        <v>322</v>
      </c>
      <c r="F65" s="453" t="str">
        <f>INDEX([3]SACOM!$C$7:$C$335,MATCH(B65,[3]SACOM!$B$7:$B$335,0))</f>
        <v xml:space="preserve">060310665099 </v>
      </c>
      <c r="G65" s="97" t="s">
        <v>245</v>
      </c>
      <c r="H65" s="529">
        <v>3</v>
      </c>
      <c r="I65" s="530">
        <v>5851188</v>
      </c>
      <c r="J65" s="631"/>
      <c r="K65" s="530"/>
      <c r="L65" s="640">
        <f t="shared" si="11"/>
        <v>5851188</v>
      </c>
      <c r="M65" s="530"/>
      <c r="N65" s="530">
        <f t="shared" si="24"/>
        <v>0</v>
      </c>
      <c r="O65" s="530"/>
      <c r="P65" s="530">
        <f t="shared" si="25"/>
        <v>5851188</v>
      </c>
      <c r="Q65" s="530">
        <f t="shared" si="26"/>
        <v>468095.04000000004</v>
      </c>
      <c r="R65" s="532">
        <f t="shared" si="27"/>
        <v>87767.819999999992</v>
      </c>
      <c r="S65" s="530">
        <f t="shared" si="28"/>
        <v>58511.880000000005</v>
      </c>
      <c r="T65" s="532"/>
      <c r="U65" s="532">
        <f t="shared" si="29"/>
        <v>614374.74</v>
      </c>
      <c r="V65" s="532"/>
      <c r="W65" s="635"/>
      <c r="X65" s="635"/>
      <c r="Y65" s="635"/>
      <c r="Z65" s="635"/>
      <c r="AA65" s="455">
        <f t="shared" si="30"/>
        <v>5236813.26</v>
      </c>
      <c r="AB65" s="101">
        <f t="shared" si="17"/>
        <v>49</v>
      </c>
      <c r="AC65" s="102"/>
      <c r="AD65" s="729"/>
      <c r="AE65" s="729"/>
      <c r="AF65" s="729"/>
      <c r="AG65" s="729"/>
      <c r="AH65" s="729"/>
      <c r="AI65" s="729"/>
      <c r="AJ65" s="729"/>
      <c r="AK65" s="729"/>
      <c r="AL65" s="729"/>
      <c r="AM65" s="729"/>
      <c r="AN65" s="729"/>
      <c r="AO65" s="729"/>
      <c r="AP65" s="729"/>
      <c r="AQ65" s="729"/>
      <c r="AR65" s="729"/>
    </row>
    <row r="66" spans="1:44" s="715" customFormat="1" ht="29.45" customHeight="1">
      <c r="A66" s="651">
        <f>_xlfn.AGGREGATE(4,7,A$12:A65)+1</f>
        <v>50</v>
      </c>
      <c r="B66" s="657" t="s">
        <v>481</v>
      </c>
      <c r="C66" s="112" t="s">
        <v>55</v>
      </c>
      <c r="D66" s="265"/>
      <c r="E66" s="658"/>
      <c r="F66" s="665"/>
      <c r="G66" s="445" t="s">
        <v>246</v>
      </c>
      <c r="H66" s="529">
        <v>1</v>
      </c>
      <c r="I66" s="659">
        <v>4960000</v>
      </c>
      <c r="J66" s="698"/>
      <c r="K66" s="659"/>
      <c r="L66" s="640">
        <f t="shared" si="11"/>
        <v>4960000</v>
      </c>
      <c r="M66" s="659"/>
      <c r="N66" s="530">
        <f t="shared" si="24"/>
        <v>0</v>
      </c>
      <c r="O66" s="659"/>
      <c r="P66" s="530">
        <f t="shared" si="25"/>
        <v>4960000</v>
      </c>
      <c r="Q66" s="530">
        <f t="shared" si="26"/>
        <v>396800</v>
      </c>
      <c r="R66" s="532">
        <f t="shared" si="27"/>
        <v>74400</v>
      </c>
      <c r="S66" s="530">
        <f t="shared" si="28"/>
        <v>49600</v>
      </c>
      <c r="T66" s="660"/>
      <c r="U66" s="532">
        <f t="shared" si="29"/>
        <v>520800</v>
      </c>
      <c r="V66" s="660"/>
      <c r="W66" s="635"/>
      <c r="X66" s="635"/>
      <c r="Y66" s="635"/>
      <c r="Z66" s="635"/>
      <c r="AA66" s="455">
        <f t="shared" si="30"/>
        <v>4439200</v>
      </c>
      <c r="AB66" s="101">
        <f t="shared" si="17"/>
        <v>50</v>
      </c>
      <c r="AC66" s="701"/>
      <c r="AD66" s="729"/>
      <c r="AE66" s="729"/>
      <c r="AF66" s="729"/>
      <c r="AG66" s="729"/>
      <c r="AH66" s="729"/>
      <c r="AI66" s="729"/>
      <c r="AJ66" s="729"/>
      <c r="AK66" s="729"/>
      <c r="AL66" s="729"/>
      <c r="AM66" s="729"/>
      <c r="AN66" s="729"/>
      <c r="AO66" s="729"/>
      <c r="AP66" s="729"/>
      <c r="AQ66" s="729"/>
      <c r="AR66" s="729"/>
    </row>
    <row r="67" spans="1:44" s="678" customFormat="1" ht="37.5" customHeight="1">
      <c r="A67" s="651">
        <f>_xlfn.AGGREGATE(4,7,A$12:A66)+1</f>
        <v>51</v>
      </c>
      <c r="B67" s="589" t="s">
        <v>427</v>
      </c>
      <c r="C67" s="112" t="s">
        <v>166</v>
      </c>
      <c r="D67" s="223" t="s">
        <v>202</v>
      </c>
      <c r="E67" s="223" t="str">
        <f>INDEX([3]SACOM!$C$7:$C$335,MATCH(B67,[3]SACOM!$B$7:$B$335,0))</f>
        <v>060310750274</v>
      </c>
      <c r="F67" s="453" t="str">
        <f>INDEX([3]SACOM!$C$7:$C$335,MATCH(B67,[3]SACOM!$B$7:$B$335,0))</f>
        <v>060310750274</v>
      </c>
      <c r="G67" s="452" t="s">
        <v>245</v>
      </c>
      <c r="H67" s="634">
        <v>7</v>
      </c>
      <c r="I67" s="530">
        <v>7112156</v>
      </c>
      <c r="J67" s="631"/>
      <c r="K67" s="530"/>
      <c r="L67" s="530">
        <f t="shared" si="11"/>
        <v>7112156</v>
      </c>
      <c r="M67" s="530"/>
      <c r="N67" s="530">
        <f t="shared" si="24"/>
        <v>0</v>
      </c>
      <c r="O67" s="530"/>
      <c r="P67" s="530">
        <f t="shared" si="25"/>
        <v>7112156</v>
      </c>
      <c r="Q67" s="530">
        <f t="shared" si="26"/>
        <v>568972.48</v>
      </c>
      <c r="R67" s="532">
        <f t="shared" si="27"/>
        <v>106682.34</v>
      </c>
      <c r="S67" s="530">
        <f t="shared" si="28"/>
        <v>71121.56</v>
      </c>
      <c r="T67" s="532"/>
      <c r="U67" s="532">
        <f t="shared" si="29"/>
        <v>746776.37999999989</v>
      </c>
      <c r="V67" s="532"/>
      <c r="W67" s="532"/>
      <c r="X67" s="532"/>
      <c r="Y67" s="532"/>
      <c r="Z67" s="532"/>
      <c r="AA67" s="455">
        <f t="shared" si="30"/>
        <v>6365379.6200000001</v>
      </c>
      <c r="AB67" s="101">
        <f t="shared" si="17"/>
        <v>51</v>
      </c>
      <c r="AC67" s="102"/>
      <c r="AD67" s="729"/>
      <c r="AE67" s="729"/>
      <c r="AF67" s="729"/>
      <c r="AG67" s="729"/>
      <c r="AH67" s="729"/>
      <c r="AI67" s="729"/>
      <c r="AJ67" s="729"/>
      <c r="AK67" s="729"/>
      <c r="AL67" s="729"/>
      <c r="AM67" s="729"/>
      <c r="AN67" s="729"/>
      <c r="AO67" s="729"/>
      <c r="AP67" s="729"/>
      <c r="AQ67" s="729"/>
      <c r="AR67" s="729"/>
    </row>
    <row r="68" spans="1:44" s="678" customFormat="1" ht="32.450000000000003" customHeight="1">
      <c r="A68" s="651">
        <f>_xlfn.AGGREGATE(4,7,A$12:A67)+1</f>
        <v>52</v>
      </c>
      <c r="B68" s="498" t="s">
        <v>256</v>
      </c>
      <c r="C68" s="112" t="s">
        <v>257</v>
      </c>
      <c r="D68" s="223" t="str">
        <f>VLOOKUP(B68,[1]LuongBC_T01!$B$277:$C$292,2,FALSE)</f>
        <v>0016100006675004</v>
      </c>
      <c r="E68" s="223" t="str">
        <f>INDEX([3]SACOM!$C$7:$C$335,MATCH(B68,[3]SACOM!$B$7:$B$335,0))</f>
        <v>060310749314</v>
      </c>
      <c r="F68" s="453" t="str">
        <f>INDEX([3]SACOM!$C$7:$C$335,MATCH(B68,[3]SACOM!$B$7:$B$335,0))</f>
        <v>060310749314</v>
      </c>
      <c r="G68" s="452" t="s">
        <v>245</v>
      </c>
      <c r="H68" s="634">
        <v>6</v>
      </c>
      <c r="I68" s="530">
        <v>6773482</v>
      </c>
      <c r="J68" s="631"/>
      <c r="K68" s="530"/>
      <c r="L68" s="530">
        <f t="shared" si="11"/>
        <v>6773482</v>
      </c>
      <c r="M68" s="530"/>
      <c r="N68" s="530">
        <f t="shared" si="24"/>
        <v>0</v>
      </c>
      <c r="O68" s="530"/>
      <c r="P68" s="530">
        <f t="shared" si="25"/>
        <v>6773482</v>
      </c>
      <c r="Q68" s="530">
        <f t="shared" si="26"/>
        <v>541878.56000000006</v>
      </c>
      <c r="R68" s="532">
        <f t="shared" si="27"/>
        <v>101602.23</v>
      </c>
      <c r="S68" s="530">
        <f t="shared" si="28"/>
        <v>67734.820000000007</v>
      </c>
      <c r="T68" s="532"/>
      <c r="U68" s="532">
        <f t="shared" si="29"/>
        <v>711215.6100000001</v>
      </c>
      <c r="V68" s="532"/>
      <c r="W68" s="635"/>
      <c r="X68" s="635"/>
      <c r="Y68" s="635"/>
      <c r="Z68" s="635"/>
      <c r="AA68" s="455">
        <f t="shared" si="30"/>
        <v>6062266.3899999997</v>
      </c>
      <c r="AB68" s="101">
        <f t="shared" si="17"/>
        <v>52</v>
      </c>
      <c r="AC68" s="102"/>
      <c r="AD68" s="729"/>
      <c r="AE68" s="729"/>
      <c r="AF68" s="729"/>
      <c r="AG68" s="729"/>
      <c r="AH68" s="729"/>
      <c r="AI68" s="729"/>
      <c r="AJ68" s="729"/>
      <c r="AK68" s="729"/>
      <c r="AL68" s="729"/>
      <c r="AM68" s="729"/>
      <c r="AN68" s="729"/>
      <c r="AO68" s="729"/>
      <c r="AP68" s="729"/>
      <c r="AQ68" s="729"/>
      <c r="AR68" s="729"/>
    </row>
    <row r="69" spans="1:44" s="727" customFormat="1" ht="29.25" customHeight="1">
      <c r="A69" s="651">
        <f>_xlfn.AGGREGATE(4,7,A$12:A68)+1</f>
        <v>53</v>
      </c>
      <c r="B69" s="498" t="s">
        <v>248</v>
      </c>
      <c r="C69" s="112" t="s">
        <v>8</v>
      </c>
      <c r="D69" s="223" t="str">
        <f>VLOOKUP(B69,[1]LuongBC_T01!$B$277:$C$292,2,FALSE)</f>
        <v>0016100006677007</v>
      </c>
      <c r="E69" s="223" t="str">
        <f>INDEX([3]SACOM!$C$7:$C$335,MATCH(B69,[3]SACOM!$B$7:$B$335,0))</f>
        <v>060310750797</v>
      </c>
      <c r="F69" s="453" t="str">
        <f>INDEX([3]SACOM!$C$7:$C$335,MATCH(B69,[3]SACOM!$B$7:$B$335,0))</f>
        <v>060310750797</v>
      </c>
      <c r="G69" s="452" t="s">
        <v>246</v>
      </c>
      <c r="H69" s="529">
        <v>12</v>
      </c>
      <c r="I69" s="530">
        <v>8483283</v>
      </c>
      <c r="J69" s="731">
        <v>0.05</v>
      </c>
      <c r="K69" s="530">
        <f>I69*J69</f>
        <v>424164.15</v>
      </c>
      <c r="L69" s="530">
        <f t="shared" si="11"/>
        <v>8907447</v>
      </c>
      <c r="M69" s="530"/>
      <c r="N69" s="530">
        <f t="shared" si="24"/>
        <v>0</v>
      </c>
      <c r="O69" s="530"/>
      <c r="P69" s="530">
        <f t="shared" si="25"/>
        <v>8907447</v>
      </c>
      <c r="Q69" s="530">
        <f t="shared" si="26"/>
        <v>712595.76</v>
      </c>
      <c r="R69" s="532">
        <f t="shared" si="27"/>
        <v>133611.70499999999</v>
      </c>
      <c r="S69" s="530">
        <f t="shared" si="28"/>
        <v>89074.47</v>
      </c>
      <c r="T69" s="532"/>
      <c r="U69" s="532">
        <f t="shared" si="29"/>
        <v>935281.93499999994</v>
      </c>
      <c r="V69" s="533"/>
      <c r="W69" s="532"/>
      <c r="X69" s="532"/>
      <c r="Y69" s="532"/>
      <c r="Z69" s="532"/>
      <c r="AA69" s="455">
        <f t="shared" si="30"/>
        <v>7972165.0650000004</v>
      </c>
      <c r="AB69" s="101">
        <f t="shared" si="17"/>
        <v>53</v>
      </c>
      <c r="AC69" s="102"/>
      <c r="AD69" s="729"/>
      <c r="AE69" s="729"/>
      <c r="AF69" s="729"/>
      <c r="AG69" s="729"/>
      <c r="AH69" s="729"/>
      <c r="AI69" s="729"/>
      <c r="AJ69" s="729"/>
      <c r="AK69" s="729"/>
      <c r="AL69" s="729"/>
      <c r="AM69" s="729"/>
      <c r="AN69" s="729"/>
      <c r="AO69" s="729"/>
      <c r="AP69" s="729"/>
      <c r="AQ69" s="729"/>
      <c r="AR69" s="729"/>
    </row>
    <row r="70" spans="1:44" s="104" customFormat="1" ht="38.25" customHeight="1">
      <c r="A70" s="651">
        <f>_xlfn.AGGREGATE(4,7,A$12:A69)+1</f>
        <v>54</v>
      </c>
      <c r="B70" s="498" t="s">
        <v>276</v>
      </c>
      <c r="C70" s="112" t="s">
        <v>277</v>
      </c>
      <c r="D70" s="223"/>
      <c r="E70" s="223" t="str">
        <f>INDEX([3]SACOM!$C$7:$C$335,MATCH(B70,[3]SACOM!$B$7:$B$335,0))</f>
        <v>060310750339</v>
      </c>
      <c r="F70" s="453" t="str">
        <f>INDEX([3]SACOM!$C$7:$C$335,MATCH(B70,[3]SACOM!$B$7:$B$335,0))</f>
        <v>060310750339</v>
      </c>
      <c r="G70" s="445" t="s">
        <v>246</v>
      </c>
      <c r="H70" s="529">
        <v>3</v>
      </c>
      <c r="I70" s="530">
        <v>5468400</v>
      </c>
      <c r="J70" s="631"/>
      <c r="K70" s="530"/>
      <c r="L70" s="530">
        <f t="shared" si="11"/>
        <v>5468400</v>
      </c>
      <c r="M70" s="530"/>
      <c r="N70" s="530">
        <f t="shared" si="24"/>
        <v>0</v>
      </c>
      <c r="O70" s="530"/>
      <c r="P70" s="530">
        <f t="shared" si="25"/>
        <v>5468400</v>
      </c>
      <c r="Q70" s="530">
        <f t="shared" si="26"/>
        <v>437472</v>
      </c>
      <c r="R70" s="532">
        <f t="shared" si="27"/>
        <v>82026</v>
      </c>
      <c r="S70" s="530">
        <f t="shared" si="28"/>
        <v>54684</v>
      </c>
      <c r="T70" s="532"/>
      <c r="U70" s="532">
        <f t="shared" si="29"/>
        <v>574182</v>
      </c>
      <c r="V70" s="532"/>
      <c r="W70" s="635"/>
      <c r="X70" s="635"/>
      <c r="Y70" s="635"/>
      <c r="Z70" s="635"/>
      <c r="AA70" s="455">
        <f t="shared" si="30"/>
        <v>4894218</v>
      </c>
      <c r="AB70" s="101">
        <f t="shared" si="17"/>
        <v>54</v>
      </c>
      <c r="AC70" s="255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</row>
    <row r="71" spans="1:44" s="104" customFormat="1" ht="39.75" customHeight="1">
      <c r="A71" s="651">
        <f>_xlfn.AGGREGATE(4,7,A$12:A70)+1</f>
        <v>55</v>
      </c>
      <c r="B71" s="498" t="s">
        <v>303</v>
      </c>
      <c r="C71" s="112" t="s">
        <v>304</v>
      </c>
      <c r="D71" s="223"/>
      <c r="E71" s="223" t="str">
        <f>INDEX([3]SACOM!$C$7:$C$335,MATCH(B71,[3]SACOM!$B$7:$B$335,0))</f>
        <v>060311534699</v>
      </c>
      <c r="F71" s="453" t="str">
        <f>INDEX([3]SACOM!$C$7:$C$335,MATCH(B71,[3]SACOM!$B$7:$B$335,0))</f>
        <v>060311534699</v>
      </c>
      <c r="G71" s="445" t="s">
        <v>246</v>
      </c>
      <c r="H71" s="529">
        <v>3</v>
      </c>
      <c r="I71" s="530">
        <v>5468400</v>
      </c>
      <c r="J71" s="631"/>
      <c r="K71" s="530"/>
      <c r="L71" s="530">
        <f t="shared" si="11"/>
        <v>5468400</v>
      </c>
      <c r="M71" s="530"/>
      <c r="N71" s="530">
        <f t="shared" si="24"/>
        <v>0</v>
      </c>
      <c r="O71" s="530"/>
      <c r="P71" s="530">
        <f t="shared" si="25"/>
        <v>5468400</v>
      </c>
      <c r="Q71" s="530">
        <f t="shared" si="26"/>
        <v>437472</v>
      </c>
      <c r="R71" s="532">
        <f t="shared" si="27"/>
        <v>82026</v>
      </c>
      <c r="S71" s="530">
        <f t="shared" si="28"/>
        <v>54684</v>
      </c>
      <c r="T71" s="532"/>
      <c r="U71" s="532">
        <f t="shared" si="29"/>
        <v>574182</v>
      </c>
      <c r="V71" s="532"/>
      <c r="W71" s="635"/>
      <c r="X71" s="635"/>
      <c r="Y71" s="635"/>
      <c r="Z71" s="635"/>
      <c r="AA71" s="455">
        <f t="shared" si="30"/>
        <v>4894218</v>
      </c>
      <c r="AB71" s="101">
        <f t="shared" si="17"/>
        <v>55</v>
      </c>
      <c r="AC71" s="10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</row>
    <row r="72" spans="1:44" s="104" customFormat="1" ht="39.75" customHeight="1">
      <c r="A72" s="651">
        <f>_xlfn.AGGREGATE(4,7,A$12:A71)+1</f>
        <v>56</v>
      </c>
      <c r="B72" s="498" t="s">
        <v>305</v>
      </c>
      <c r="C72" s="112" t="s">
        <v>304</v>
      </c>
      <c r="D72" s="223"/>
      <c r="E72" s="223" t="str">
        <f>INDEX([3]SACOM!$C$7:$C$335,MATCH(B72,[3]SACOM!$B$7:$B$335,0))</f>
        <v>060310749349</v>
      </c>
      <c r="F72" s="453" t="str">
        <f>INDEX([3]SACOM!$C$7:$C$335,MATCH(B72,[3]SACOM!$B$7:$B$335,0))</f>
        <v>060310749349</v>
      </c>
      <c r="G72" s="445" t="s">
        <v>246</v>
      </c>
      <c r="H72" s="529">
        <v>3</v>
      </c>
      <c r="I72" s="530">
        <v>5468400</v>
      </c>
      <c r="J72" s="631"/>
      <c r="K72" s="530"/>
      <c r="L72" s="530">
        <f t="shared" si="11"/>
        <v>5468400</v>
      </c>
      <c r="M72" s="530"/>
      <c r="N72" s="530">
        <f t="shared" si="24"/>
        <v>0</v>
      </c>
      <c r="O72" s="530"/>
      <c r="P72" s="530">
        <f t="shared" si="25"/>
        <v>5468400</v>
      </c>
      <c r="Q72" s="530">
        <f t="shared" si="26"/>
        <v>437472</v>
      </c>
      <c r="R72" s="532">
        <f t="shared" si="27"/>
        <v>82026</v>
      </c>
      <c r="S72" s="530">
        <f t="shared" si="28"/>
        <v>54684</v>
      </c>
      <c r="T72" s="532"/>
      <c r="U72" s="532">
        <f t="shared" si="29"/>
        <v>574182</v>
      </c>
      <c r="V72" s="532"/>
      <c r="W72" s="635"/>
      <c r="X72" s="635"/>
      <c r="Y72" s="635"/>
      <c r="Z72" s="635"/>
      <c r="AA72" s="455">
        <f t="shared" si="30"/>
        <v>4894218</v>
      </c>
      <c r="AB72" s="101">
        <f t="shared" si="17"/>
        <v>56</v>
      </c>
      <c r="AC72" s="10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</row>
    <row r="73" spans="1:44" s="104" customFormat="1" ht="34.9" customHeight="1">
      <c r="A73" s="651">
        <f>_xlfn.AGGREGATE(4,7,A$12:A72)+1</f>
        <v>57</v>
      </c>
      <c r="B73" s="498" t="s">
        <v>370</v>
      </c>
      <c r="C73" s="112" t="s">
        <v>371</v>
      </c>
      <c r="D73" s="223"/>
      <c r="E73" s="223" t="str">
        <f>INDEX([3]SACOM!$C$7:$C$335,MATCH(B73,[3]SACOM!$B$7:$B$335,0))</f>
        <v>060310747923</v>
      </c>
      <c r="F73" s="453" t="str">
        <f>INDEX([3]SACOM!$C$7:$C$335,MATCH(B73,[3]SACOM!$B$7:$B$335,0))</f>
        <v>060310747923</v>
      </c>
      <c r="G73" s="445" t="s">
        <v>246</v>
      </c>
      <c r="H73" s="529">
        <v>2</v>
      </c>
      <c r="I73" s="530">
        <v>5208000</v>
      </c>
      <c r="J73" s="631"/>
      <c r="K73" s="530"/>
      <c r="L73" s="530">
        <f t="shared" si="11"/>
        <v>5208000</v>
      </c>
      <c r="M73" s="530"/>
      <c r="N73" s="530">
        <f t="shared" si="24"/>
        <v>0</v>
      </c>
      <c r="O73" s="530"/>
      <c r="P73" s="530">
        <f t="shared" si="25"/>
        <v>5208000</v>
      </c>
      <c r="Q73" s="530">
        <f t="shared" si="26"/>
        <v>416640</v>
      </c>
      <c r="R73" s="532">
        <f t="shared" si="27"/>
        <v>78120</v>
      </c>
      <c r="S73" s="530">
        <f t="shared" si="28"/>
        <v>52080</v>
      </c>
      <c r="T73" s="532"/>
      <c r="U73" s="532">
        <f t="shared" si="29"/>
        <v>546840</v>
      </c>
      <c r="V73" s="532"/>
      <c r="W73" s="635"/>
      <c r="X73" s="635"/>
      <c r="Y73" s="635"/>
      <c r="Z73" s="635"/>
      <c r="AA73" s="455">
        <f t="shared" si="30"/>
        <v>4661160</v>
      </c>
      <c r="AB73" s="101">
        <f t="shared" si="17"/>
        <v>57</v>
      </c>
      <c r="AC73" s="255" t="s">
        <v>472</v>
      </c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</row>
    <row r="74" spans="1:44" s="104" customFormat="1" ht="36.75" customHeight="1">
      <c r="A74" s="651">
        <f>_xlfn.AGGREGATE(4,7,A$12:A73)+1</f>
        <v>58</v>
      </c>
      <c r="B74" s="498" t="s">
        <v>404</v>
      </c>
      <c r="C74" s="112" t="s">
        <v>304</v>
      </c>
      <c r="D74" s="223"/>
      <c r="E74" s="223" t="str">
        <f>INDEX([3]SACOM!$C$7:$C$335,MATCH(B74,[3]SACOM!$B$7:$B$335,0))</f>
        <v>060311210605</v>
      </c>
      <c r="F74" s="453" t="str">
        <f>INDEX([3]SACOM!$C$7:$C$335,MATCH(B74,[3]SACOM!$B$7:$B$335,0))</f>
        <v>060311210605</v>
      </c>
      <c r="G74" s="445" t="s">
        <v>246</v>
      </c>
      <c r="H74" s="529">
        <v>2</v>
      </c>
      <c r="I74" s="530">
        <v>5208000</v>
      </c>
      <c r="J74" s="631"/>
      <c r="K74" s="530"/>
      <c r="L74" s="530">
        <f t="shared" si="11"/>
        <v>5208000</v>
      </c>
      <c r="M74" s="530"/>
      <c r="N74" s="530">
        <f t="shared" si="24"/>
        <v>0</v>
      </c>
      <c r="O74" s="530"/>
      <c r="P74" s="530">
        <f t="shared" si="25"/>
        <v>5208000</v>
      </c>
      <c r="Q74" s="530">
        <f t="shared" si="26"/>
        <v>416640</v>
      </c>
      <c r="R74" s="532">
        <f t="shared" si="27"/>
        <v>78120</v>
      </c>
      <c r="S74" s="530">
        <f t="shared" si="28"/>
        <v>52080</v>
      </c>
      <c r="T74" s="532"/>
      <c r="U74" s="532">
        <f t="shared" si="29"/>
        <v>546840</v>
      </c>
      <c r="V74" s="532"/>
      <c r="W74" s="635"/>
      <c r="X74" s="635"/>
      <c r="Y74" s="635"/>
      <c r="Z74" s="635"/>
      <c r="AA74" s="455">
        <f t="shared" si="30"/>
        <v>4661160</v>
      </c>
      <c r="AB74" s="101">
        <f t="shared" si="17"/>
        <v>58</v>
      </c>
      <c r="AC74" s="255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</row>
    <row r="75" spans="1:44" s="104" customFormat="1" ht="29.25" customHeight="1">
      <c r="A75" s="651">
        <f>_xlfn.AGGREGATE(4,7,A$12:A74)+1</f>
        <v>59</v>
      </c>
      <c r="B75" s="498" t="s">
        <v>319</v>
      </c>
      <c r="C75" s="112" t="s">
        <v>277</v>
      </c>
      <c r="D75" s="510" t="s">
        <v>332</v>
      </c>
      <c r="E75" s="334" t="s">
        <v>331</v>
      </c>
      <c r="F75" s="453" t="str">
        <f>INDEX([3]SACOM!$C$7:$C$335,MATCH(B75,[3]SACOM!$B$7:$B$335,0))</f>
        <v>060310750096</v>
      </c>
      <c r="G75" s="445" t="s">
        <v>246</v>
      </c>
      <c r="H75" s="529">
        <v>3</v>
      </c>
      <c r="I75" s="530">
        <v>5468400</v>
      </c>
      <c r="J75" s="631"/>
      <c r="K75" s="530"/>
      <c r="L75" s="640">
        <f t="shared" si="11"/>
        <v>5468400</v>
      </c>
      <c r="M75" s="530"/>
      <c r="N75" s="530">
        <f t="shared" si="24"/>
        <v>0</v>
      </c>
      <c r="O75" s="530"/>
      <c r="P75" s="530">
        <f t="shared" si="25"/>
        <v>5468400</v>
      </c>
      <c r="Q75" s="530">
        <f t="shared" si="26"/>
        <v>437472</v>
      </c>
      <c r="R75" s="532">
        <f t="shared" si="27"/>
        <v>82026</v>
      </c>
      <c r="S75" s="530">
        <f t="shared" si="28"/>
        <v>54684</v>
      </c>
      <c r="T75" s="532"/>
      <c r="U75" s="532">
        <f t="shared" si="29"/>
        <v>574182</v>
      </c>
      <c r="V75" s="532"/>
      <c r="W75" s="635"/>
      <c r="X75" s="635"/>
      <c r="Y75" s="635"/>
      <c r="Z75" s="635"/>
      <c r="AA75" s="455">
        <f t="shared" si="30"/>
        <v>4894218</v>
      </c>
      <c r="AB75" s="101">
        <f t="shared" si="17"/>
        <v>59</v>
      </c>
      <c r="AC75" s="10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</row>
    <row r="76" spans="1:44" s="715" customFormat="1" ht="31.5" customHeight="1">
      <c r="A76" s="651">
        <f>_xlfn.AGGREGATE(4,7,A$12:A75)+1</f>
        <v>60</v>
      </c>
      <c r="B76" s="498" t="s">
        <v>321</v>
      </c>
      <c r="C76" s="112" t="s">
        <v>277</v>
      </c>
      <c r="D76" s="510" t="s">
        <v>333</v>
      </c>
      <c r="E76" s="334" t="s">
        <v>334</v>
      </c>
      <c r="F76" s="453" t="str">
        <f>INDEX([3]SACOM!$C$7:$C$335,MATCH(B76,[3]SACOM!$B$7:$B$335,0))</f>
        <v>060310749268</v>
      </c>
      <c r="G76" s="445" t="s">
        <v>246</v>
      </c>
      <c r="H76" s="529">
        <v>3</v>
      </c>
      <c r="I76" s="530">
        <v>5468400</v>
      </c>
      <c r="J76" s="631"/>
      <c r="K76" s="530"/>
      <c r="L76" s="640">
        <f t="shared" si="11"/>
        <v>5468400</v>
      </c>
      <c r="M76" s="530"/>
      <c r="N76" s="530">
        <f t="shared" si="24"/>
        <v>0</v>
      </c>
      <c r="O76" s="530"/>
      <c r="P76" s="530">
        <f t="shared" si="25"/>
        <v>5468400</v>
      </c>
      <c r="Q76" s="530">
        <f t="shared" si="26"/>
        <v>437472</v>
      </c>
      <c r="R76" s="532">
        <f t="shared" si="27"/>
        <v>82026</v>
      </c>
      <c r="S76" s="530">
        <f t="shared" si="28"/>
        <v>54684</v>
      </c>
      <c r="T76" s="532"/>
      <c r="U76" s="532">
        <f t="shared" si="29"/>
        <v>574182</v>
      </c>
      <c r="V76" s="532"/>
      <c r="W76" s="635"/>
      <c r="X76" s="635"/>
      <c r="Y76" s="635"/>
      <c r="Z76" s="635"/>
      <c r="AA76" s="455">
        <f t="shared" si="30"/>
        <v>4894218</v>
      </c>
      <c r="AB76" s="101">
        <f t="shared" si="17"/>
        <v>60</v>
      </c>
      <c r="AC76" s="102"/>
      <c r="AD76" s="729"/>
      <c r="AE76" s="729"/>
      <c r="AF76" s="729"/>
      <c r="AG76" s="729"/>
      <c r="AH76" s="729"/>
      <c r="AI76" s="729"/>
      <c r="AJ76" s="729"/>
      <c r="AK76" s="729"/>
      <c r="AL76" s="729"/>
      <c r="AM76" s="729"/>
      <c r="AN76" s="729"/>
      <c r="AO76" s="729"/>
      <c r="AP76" s="729"/>
      <c r="AQ76" s="729"/>
      <c r="AR76" s="729"/>
    </row>
    <row r="77" spans="1:44" s="622" customFormat="1" ht="40.5" customHeight="1">
      <c r="A77" s="651">
        <f>_xlfn.AGGREGATE(4,7,A$12:A76)+1</f>
        <v>61</v>
      </c>
      <c r="B77" s="518" t="s">
        <v>412</v>
      </c>
      <c r="C77" s="545" t="s">
        <v>419</v>
      </c>
      <c r="D77" s="415"/>
      <c r="E77" s="592" t="str">
        <f>INDEX([3]SACOM!$C$7:$C$335,MATCH(B77,[3]SACOM!$B$7:$B$335,0))</f>
        <v>060310750916</v>
      </c>
      <c r="F77" s="453" t="str">
        <f>INDEX([3]SACOM!$C$7:$C$335,MATCH(B77,[3]SACOM!$B$7:$B$335,0))</f>
        <v>060310750916</v>
      </c>
      <c r="G77" s="519" t="s">
        <v>246</v>
      </c>
      <c r="H77" s="639">
        <v>2</v>
      </c>
      <c r="I77" s="732">
        <v>5208000</v>
      </c>
      <c r="J77" s="733"/>
      <c r="K77" s="732"/>
      <c r="L77" s="640">
        <f t="shared" si="11"/>
        <v>5208000</v>
      </c>
      <c r="M77" s="640"/>
      <c r="N77" s="640">
        <f t="shared" si="24"/>
        <v>0</v>
      </c>
      <c r="O77" s="640"/>
      <c r="P77" s="640">
        <f t="shared" si="25"/>
        <v>5208000</v>
      </c>
      <c r="Q77" s="640">
        <f t="shared" si="26"/>
        <v>416640</v>
      </c>
      <c r="R77" s="641">
        <f t="shared" si="27"/>
        <v>78120</v>
      </c>
      <c r="S77" s="640">
        <f t="shared" si="28"/>
        <v>52080</v>
      </c>
      <c r="T77" s="641"/>
      <c r="U77" s="641">
        <f t="shared" si="29"/>
        <v>546840</v>
      </c>
      <c r="V77" s="641"/>
      <c r="W77" s="641"/>
      <c r="X77" s="734"/>
      <c r="Y77" s="641"/>
      <c r="Z77" s="641"/>
      <c r="AA77" s="525">
        <f t="shared" si="30"/>
        <v>4661160</v>
      </c>
      <c r="AB77" s="101">
        <f t="shared" si="17"/>
        <v>61</v>
      </c>
      <c r="AC77" s="120"/>
      <c r="AD77" s="742"/>
      <c r="AE77" s="742"/>
      <c r="AF77" s="742"/>
      <c r="AG77" s="742"/>
      <c r="AH77" s="742"/>
      <c r="AI77" s="742"/>
      <c r="AJ77" s="742"/>
      <c r="AK77" s="742"/>
      <c r="AL77" s="742"/>
      <c r="AM77" s="742"/>
      <c r="AN77" s="742"/>
      <c r="AO77" s="742"/>
      <c r="AP77" s="742"/>
      <c r="AQ77" s="742"/>
      <c r="AR77" s="742"/>
    </row>
    <row r="78" spans="1:44" ht="33" customHeight="1">
      <c r="A78" s="683"/>
      <c r="B78" s="684" t="s">
        <v>437</v>
      </c>
      <c r="C78" s="685"/>
      <c r="D78" s="685"/>
      <c r="E78" s="685"/>
      <c r="F78" s="685"/>
      <c r="G78" s="685"/>
      <c r="H78" s="685"/>
      <c r="I78" s="680">
        <f t="shared" ref="I78:AA78" si="31">SUM(I54:I77)</f>
        <v>149408936</v>
      </c>
      <c r="J78" s="680">
        <f t="shared" si="31"/>
        <v>0.12000000000000001</v>
      </c>
      <c r="K78" s="680">
        <f t="shared" si="31"/>
        <v>1059562.06</v>
      </c>
      <c r="L78" s="680">
        <f t="shared" si="31"/>
        <v>150468498</v>
      </c>
      <c r="M78" s="680">
        <f t="shared" si="31"/>
        <v>0</v>
      </c>
      <c r="N78" s="680">
        <f t="shared" si="31"/>
        <v>0</v>
      </c>
      <c r="O78" s="680">
        <f t="shared" si="31"/>
        <v>0</v>
      </c>
      <c r="P78" s="680">
        <f t="shared" si="31"/>
        <v>150468498</v>
      </c>
      <c r="Q78" s="680">
        <f t="shared" si="31"/>
        <v>12037479.84</v>
      </c>
      <c r="R78" s="680">
        <f t="shared" si="31"/>
        <v>2257027.4699999997</v>
      </c>
      <c r="S78" s="680">
        <f t="shared" si="31"/>
        <v>1504684.98</v>
      </c>
      <c r="T78" s="680">
        <f t="shared" si="31"/>
        <v>0</v>
      </c>
      <c r="U78" s="680">
        <f t="shared" si="31"/>
        <v>15799192.290000001</v>
      </c>
      <c r="V78" s="680">
        <f t="shared" si="31"/>
        <v>0</v>
      </c>
      <c r="W78" s="680">
        <f t="shared" si="31"/>
        <v>0</v>
      </c>
      <c r="X78" s="680">
        <f t="shared" si="31"/>
        <v>0</v>
      </c>
      <c r="Y78" s="680">
        <f t="shared" si="31"/>
        <v>0</v>
      </c>
      <c r="Z78" s="680">
        <f t="shared" si="31"/>
        <v>0</v>
      </c>
      <c r="AA78" s="680">
        <f t="shared" si="31"/>
        <v>134669305.71000001</v>
      </c>
      <c r="AB78" s="681"/>
      <c r="AC78" s="682"/>
    </row>
    <row r="79" spans="1:44" ht="44.25" customHeight="1">
      <c r="A79" s="686" t="s">
        <v>440</v>
      </c>
      <c r="B79" s="687" t="s">
        <v>438</v>
      </c>
      <c r="C79" s="688"/>
      <c r="D79" s="688"/>
      <c r="E79" s="688"/>
      <c r="F79" s="688"/>
      <c r="G79" s="688"/>
      <c r="H79" s="689"/>
      <c r="I79" s="690">
        <f t="shared" ref="I79:AA79" si="32">I78+I52</f>
        <v>411265592</v>
      </c>
      <c r="J79" s="690">
        <f t="shared" si="32"/>
        <v>0.24</v>
      </c>
      <c r="K79" s="690">
        <f t="shared" si="32"/>
        <v>2493901.7800000003</v>
      </c>
      <c r="L79" s="690">
        <f t="shared" si="32"/>
        <v>413759494</v>
      </c>
      <c r="M79" s="690">
        <f t="shared" si="32"/>
        <v>52</v>
      </c>
      <c r="N79" s="690">
        <f t="shared" si="32"/>
        <v>11880099</v>
      </c>
      <c r="O79" s="690">
        <f t="shared" si="32"/>
        <v>0</v>
      </c>
      <c r="P79" s="690">
        <f t="shared" si="32"/>
        <v>401879395</v>
      </c>
      <c r="Q79" s="690">
        <f t="shared" si="32"/>
        <v>31194125.120000005</v>
      </c>
      <c r="R79" s="690">
        <f t="shared" si="32"/>
        <v>5848898.459999999</v>
      </c>
      <c r="S79" s="690">
        <f t="shared" si="32"/>
        <v>3899264.6400000006</v>
      </c>
      <c r="T79" s="690">
        <f t="shared" si="32"/>
        <v>0</v>
      </c>
      <c r="U79" s="690">
        <f t="shared" si="32"/>
        <v>40942288.219999991</v>
      </c>
      <c r="V79" s="690">
        <f t="shared" si="32"/>
        <v>0</v>
      </c>
      <c r="W79" s="690">
        <f t="shared" si="32"/>
        <v>0</v>
      </c>
      <c r="X79" s="690">
        <f t="shared" si="32"/>
        <v>0</v>
      </c>
      <c r="Y79" s="690">
        <f t="shared" si="32"/>
        <v>0</v>
      </c>
      <c r="Z79" s="690">
        <f t="shared" si="32"/>
        <v>852000</v>
      </c>
      <c r="AA79" s="690">
        <f t="shared" si="32"/>
        <v>361789106.77999997</v>
      </c>
      <c r="AB79" s="691"/>
      <c r="AC79" s="692"/>
    </row>
    <row r="80" spans="1:44" s="42" customFormat="1" ht="22.5" hidden="1" customHeight="1">
      <c r="A80" s="702"/>
      <c r="B80" s="657"/>
      <c r="C80" s="697"/>
      <c r="D80" s="703"/>
      <c r="E80" s="658"/>
      <c r="F80" s="704"/>
      <c r="G80" s="705"/>
      <c r="H80" s="706"/>
      <c r="I80" s="659"/>
      <c r="J80" s="698"/>
      <c r="K80" s="659"/>
      <c r="L80" s="659"/>
      <c r="M80" s="659"/>
      <c r="N80" s="659"/>
      <c r="O80" s="659"/>
      <c r="P80" s="659"/>
      <c r="Q80" s="659"/>
      <c r="R80" s="660"/>
      <c r="S80" s="659"/>
      <c r="T80" s="660"/>
      <c r="U80" s="660"/>
      <c r="V80" s="660"/>
      <c r="W80" s="707"/>
      <c r="X80" s="707"/>
      <c r="Y80" s="707"/>
      <c r="Z80" s="707"/>
      <c r="AA80" s="699">
        <f>SUBTOTAL(9,AA15:AA79)</f>
        <v>1085367319.3400002</v>
      </c>
      <c r="AB80" s="700"/>
      <c r="AC80" s="701"/>
    </row>
    <row r="81" spans="1:44" s="650" customFormat="1" ht="10.5" customHeight="1">
      <c r="A81" s="464"/>
      <c r="B81" s="465"/>
      <c r="C81" s="466"/>
      <c r="D81" s="466"/>
      <c r="E81" s="467"/>
      <c r="F81" s="467"/>
      <c r="G81" s="468"/>
      <c r="H81" s="469"/>
      <c r="I81" s="465"/>
      <c r="J81" s="469"/>
      <c r="K81" s="465"/>
      <c r="L81" s="465"/>
      <c r="M81" s="465"/>
      <c r="N81" s="465"/>
      <c r="O81" s="465"/>
      <c r="P81" s="465"/>
      <c r="Q81" s="470"/>
      <c r="R81" s="470"/>
      <c r="S81" s="470"/>
      <c r="T81" s="465"/>
      <c r="U81" s="470"/>
      <c r="V81" s="465"/>
      <c r="W81" s="465"/>
      <c r="X81" s="465"/>
      <c r="Y81" s="465"/>
      <c r="Z81" s="465"/>
      <c r="AA81" s="470"/>
      <c r="AB81" s="471"/>
      <c r="AC81" s="429"/>
    </row>
    <row r="82" spans="1:44" s="42" customFormat="1" ht="21.75" customHeight="1">
      <c r="A82" s="86"/>
      <c r="B82" s="645" t="s">
        <v>12</v>
      </c>
      <c r="C82" s="646" t="s">
        <v>502</v>
      </c>
      <c r="D82" s="646"/>
      <c r="E82" s="472"/>
      <c r="F82" s="472"/>
      <c r="G82" s="472"/>
      <c r="H82" s="472"/>
      <c r="I82" s="472"/>
      <c r="J82" s="647"/>
      <c r="K82" s="472"/>
      <c r="L82" s="472"/>
      <c r="M82" s="472"/>
      <c r="N82" s="472"/>
      <c r="O82" s="472"/>
      <c r="P82" s="472"/>
      <c r="Q82" s="472"/>
      <c r="R82" s="472"/>
      <c r="S82" s="648"/>
      <c r="T82" s="648"/>
      <c r="U82" s="648"/>
      <c r="V82" s="648"/>
      <c r="W82" s="648"/>
      <c r="X82" s="648"/>
      <c r="Y82" s="648"/>
      <c r="Z82" s="648"/>
      <c r="AA82" s="648"/>
      <c r="AB82" s="646"/>
      <c r="AC82" s="649"/>
    </row>
    <row r="83" spans="1:44" s="289" customFormat="1" ht="12" customHeight="1">
      <c r="A83" s="426"/>
      <c r="B83" s="556"/>
      <c r="C83" s="476"/>
      <c r="D83" s="476"/>
      <c r="E83" s="477"/>
      <c r="F83" s="477"/>
      <c r="G83" s="478"/>
      <c r="H83" s="478"/>
      <c r="I83" s="479"/>
      <c r="J83" s="479"/>
      <c r="K83" s="479"/>
      <c r="L83" s="479"/>
      <c r="M83" s="479"/>
      <c r="N83" s="479"/>
      <c r="O83" s="479"/>
      <c r="P83" s="479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807"/>
      <c r="AC83" s="807"/>
      <c r="AD83" s="730"/>
      <c r="AE83" s="730"/>
      <c r="AF83" s="730"/>
      <c r="AG83" s="730"/>
      <c r="AH83" s="730"/>
      <c r="AI83" s="730"/>
      <c r="AJ83" s="730"/>
      <c r="AK83" s="730"/>
      <c r="AL83" s="730"/>
      <c r="AM83" s="730"/>
      <c r="AN83" s="730"/>
      <c r="AO83" s="730"/>
      <c r="AP83" s="730"/>
      <c r="AQ83" s="730"/>
      <c r="AR83" s="730"/>
    </row>
    <row r="84" spans="1:44" s="289" customFormat="1" ht="15.75" customHeight="1">
      <c r="B84" s="553"/>
      <c r="C84" s="486"/>
      <c r="D84" s="486"/>
      <c r="E84" s="487"/>
      <c r="F84" s="487"/>
      <c r="J84" s="488"/>
      <c r="S84" s="801" t="s">
        <v>501</v>
      </c>
      <c r="T84" s="801"/>
      <c r="U84" s="801"/>
      <c r="V84" s="801"/>
      <c r="W84" s="801"/>
      <c r="X84" s="801"/>
      <c r="Y84" s="801"/>
      <c r="Z84" s="801"/>
      <c r="AA84" s="801"/>
      <c r="AB84" s="801"/>
      <c r="AC84" s="801"/>
      <c r="AD84" s="730"/>
      <c r="AE84" s="730"/>
      <c r="AF84" s="730"/>
      <c r="AG84" s="730"/>
      <c r="AH84" s="730"/>
      <c r="AI84" s="730"/>
      <c r="AJ84" s="730"/>
      <c r="AK84" s="730"/>
      <c r="AL84" s="730"/>
      <c r="AM84" s="730"/>
      <c r="AN84" s="730"/>
      <c r="AO84" s="730"/>
      <c r="AP84" s="730"/>
      <c r="AQ84" s="730"/>
      <c r="AR84" s="730"/>
    </row>
    <row r="85" spans="1:44" s="289" customFormat="1" ht="15.75" customHeight="1">
      <c r="A85" s="799" t="s">
        <v>13</v>
      </c>
      <c r="B85" s="799"/>
      <c r="C85" s="799"/>
      <c r="D85" s="799"/>
      <c r="E85" s="799"/>
      <c r="F85" s="799"/>
      <c r="G85" s="799"/>
      <c r="H85" s="799"/>
      <c r="I85" s="799" t="s">
        <v>182</v>
      </c>
      <c r="J85" s="799"/>
      <c r="K85" s="799"/>
      <c r="L85" s="799"/>
      <c r="M85" s="799"/>
      <c r="N85" s="799"/>
      <c r="O85" s="799"/>
      <c r="P85" s="799"/>
      <c r="Q85" s="799"/>
      <c r="R85" s="799"/>
      <c r="S85" s="799" t="s">
        <v>495</v>
      </c>
      <c r="T85" s="799"/>
      <c r="U85" s="799"/>
      <c r="V85" s="799"/>
      <c r="W85" s="799"/>
      <c r="X85" s="799"/>
      <c r="Y85" s="799"/>
      <c r="Z85" s="799"/>
      <c r="AA85" s="799"/>
      <c r="AB85" s="799"/>
      <c r="AC85" s="799"/>
      <c r="AD85" s="730"/>
      <c r="AE85" s="730"/>
      <c r="AF85" s="730"/>
      <c r="AG85" s="730"/>
      <c r="AH85" s="730"/>
      <c r="AI85" s="730"/>
      <c r="AJ85" s="730"/>
      <c r="AK85" s="730"/>
      <c r="AL85" s="730"/>
      <c r="AM85" s="730"/>
      <c r="AN85" s="730"/>
      <c r="AO85" s="730"/>
      <c r="AP85" s="730"/>
      <c r="AQ85" s="730"/>
      <c r="AR85" s="730"/>
    </row>
    <row r="86" spans="1:44" s="289" customFormat="1" ht="15.75" customHeight="1">
      <c r="B86" s="555"/>
      <c r="C86" s="486"/>
      <c r="D86" s="486"/>
      <c r="E86" s="487"/>
      <c r="F86" s="487"/>
      <c r="I86" s="488"/>
      <c r="J86" s="488"/>
      <c r="K86" s="488"/>
      <c r="L86" s="488"/>
      <c r="M86" s="488"/>
      <c r="N86" s="488"/>
      <c r="O86" s="488"/>
      <c r="P86" s="488"/>
      <c r="Q86" s="490"/>
      <c r="R86" s="488"/>
      <c r="S86" s="488"/>
      <c r="T86" s="488"/>
      <c r="U86" s="488"/>
      <c r="V86" s="488"/>
      <c r="AB86" s="796"/>
      <c r="AC86" s="796"/>
      <c r="AD86" s="730"/>
      <c r="AE86" s="730"/>
      <c r="AF86" s="730"/>
      <c r="AG86" s="730"/>
      <c r="AH86" s="730"/>
      <c r="AI86" s="730"/>
      <c r="AJ86" s="730"/>
      <c r="AK86" s="730"/>
      <c r="AL86" s="730"/>
      <c r="AM86" s="730"/>
      <c r="AN86" s="730"/>
      <c r="AO86" s="730"/>
      <c r="AP86" s="730"/>
      <c r="AQ86" s="730"/>
      <c r="AR86" s="730"/>
    </row>
    <row r="87" spans="1:44" s="289" customFormat="1" ht="15.75" customHeight="1">
      <c r="B87" s="553"/>
      <c r="C87" s="486"/>
      <c r="D87" s="486"/>
      <c r="E87" s="487"/>
      <c r="F87" s="487"/>
      <c r="I87" s="488"/>
      <c r="J87" s="488"/>
      <c r="K87" s="488"/>
      <c r="L87" s="488"/>
      <c r="M87" s="488"/>
      <c r="N87" s="488"/>
      <c r="O87" s="488"/>
      <c r="P87" s="488"/>
      <c r="Q87" s="488"/>
      <c r="S87" s="491"/>
      <c r="T87" s="491"/>
      <c r="U87" s="491"/>
      <c r="V87" s="491"/>
      <c r="W87" s="491"/>
      <c r="X87" s="491"/>
      <c r="Y87" s="491"/>
      <c r="Z87" s="491"/>
      <c r="AA87" s="491"/>
      <c r="AB87" s="491"/>
      <c r="AC87" s="491"/>
      <c r="AD87" s="730"/>
      <c r="AE87" s="730"/>
      <c r="AF87" s="730"/>
      <c r="AG87" s="730"/>
      <c r="AH87" s="730"/>
      <c r="AI87" s="730"/>
      <c r="AJ87" s="730"/>
      <c r="AK87" s="730"/>
      <c r="AL87" s="730"/>
      <c r="AM87" s="730"/>
      <c r="AN87" s="730"/>
      <c r="AO87" s="730"/>
      <c r="AP87" s="730"/>
      <c r="AQ87" s="730"/>
      <c r="AR87" s="730"/>
    </row>
    <row r="88" spans="1:44" s="289" customFormat="1" ht="9.75" customHeight="1">
      <c r="C88" s="486"/>
      <c r="D88" s="486"/>
      <c r="E88" s="487"/>
      <c r="F88" s="487"/>
      <c r="I88" s="488"/>
      <c r="J88" s="488"/>
      <c r="K88" s="488"/>
      <c r="L88" s="488"/>
      <c r="M88" s="488"/>
      <c r="N88" s="488"/>
      <c r="O88" s="488"/>
      <c r="P88" s="488"/>
      <c r="Q88" s="488"/>
      <c r="R88" s="488"/>
      <c r="S88" s="488"/>
      <c r="T88" s="488"/>
      <c r="U88" s="488"/>
      <c r="V88" s="488"/>
      <c r="AC88" s="492"/>
      <c r="AD88" s="730"/>
      <c r="AE88" s="730"/>
      <c r="AF88" s="730"/>
      <c r="AG88" s="730"/>
      <c r="AH88" s="730"/>
      <c r="AI88" s="730"/>
      <c r="AJ88" s="730"/>
      <c r="AK88" s="730"/>
      <c r="AL88" s="730"/>
      <c r="AM88" s="730"/>
      <c r="AN88" s="730"/>
      <c r="AO88" s="730"/>
      <c r="AP88" s="730"/>
      <c r="AQ88" s="730"/>
      <c r="AR88" s="730"/>
    </row>
    <row r="89" spans="1:44" s="289" customFormat="1" ht="15.75" customHeight="1">
      <c r="B89" s="553"/>
      <c r="C89" s="486"/>
      <c r="D89" s="486"/>
      <c r="E89" s="487"/>
      <c r="F89" s="487"/>
      <c r="I89" s="488"/>
      <c r="J89" s="488"/>
      <c r="K89" s="488"/>
      <c r="L89" s="488"/>
      <c r="M89" s="488"/>
      <c r="N89" s="488"/>
      <c r="O89" s="488"/>
      <c r="P89" s="488"/>
      <c r="Q89" s="488"/>
      <c r="R89" s="488"/>
      <c r="S89" s="488"/>
      <c r="T89" s="488"/>
      <c r="U89" s="488"/>
      <c r="V89" s="488"/>
      <c r="AB89" s="796"/>
      <c r="AC89" s="796"/>
      <c r="AD89" s="730"/>
      <c r="AE89" s="730"/>
      <c r="AF89" s="730"/>
      <c r="AG89" s="730"/>
      <c r="AH89" s="730"/>
      <c r="AI89" s="730"/>
      <c r="AJ89" s="730"/>
      <c r="AK89" s="730"/>
      <c r="AL89" s="730"/>
      <c r="AM89" s="730"/>
      <c r="AN89" s="730"/>
      <c r="AO89" s="730"/>
      <c r="AP89" s="730"/>
      <c r="AQ89" s="730"/>
      <c r="AR89" s="730"/>
    </row>
    <row r="90" spans="1:44" s="289" customFormat="1" ht="15.75" customHeight="1">
      <c r="B90" s="553"/>
      <c r="C90" s="486"/>
      <c r="D90" s="486"/>
      <c r="E90" s="487"/>
      <c r="F90" s="487"/>
      <c r="I90" s="488"/>
      <c r="J90" s="488"/>
      <c r="K90" s="488"/>
      <c r="L90" s="488"/>
      <c r="M90" s="488"/>
      <c r="N90" s="488"/>
      <c r="O90" s="488"/>
      <c r="P90" s="488"/>
      <c r="Q90" s="488"/>
      <c r="R90" s="488"/>
      <c r="S90" s="488"/>
      <c r="T90" s="488"/>
      <c r="U90" s="488"/>
      <c r="V90" s="488"/>
      <c r="AB90" s="796"/>
      <c r="AC90" s="796"/>
      <c r="AD90" s="730"/>
      <c r="AE90" s="730"/>
      <c r="AF90" s="730"/>
      <c r="AG90" s="730"/>
      <c r="AH90" s="730"/>
      <c r="AI90" s="730"/>
      <c r="AJ90" s="730"/>
      <c r="AK90" s="730"/>
      <c r="AL90" s="730"/>
      <c r="AM90" s="730"/>
      <c r="AN90" s="730"/>
      <c r="AO90" s="730"/>
      <c r="AP90" s="730"/>
      <c r="AQ90" s="730"/>
      <c r="AR90" s="730"/>
    </row>
    <row r="91" spans="1:44" s="289" customFormat="1" ht="15.75" customHeight="1">
      <c r="B91" s="553"/>
      <c r="C91" s="486"/>
      <c r="D91" s="486"/>
      <c r="E91" s="487"/>
      <c r="F91" s="487"/>
      <c r="I91" s="488"/>
      <c r="J91" s="488"/>
      <c r="K91" s="488"/>
      <c r="L91" s="488"/>
      <c r="M91" s="488"/>
      <c r="N91" s="488"/>
      <c r="O91" s="488"/>
      <c r="P91" s="488"/>
      <c r="Q91" s="488"/>
      <c r="R91" s="488"/>
      <c r="S91" s="488"/>
      <c r="T91" s="488"/>
      <c r="U91" s="488"/>
      <c r="V91" s="488"/>
      <c r="AB91" s="796"/>
      <c r="AC91" s="796"/>
      <c r="AD91" s="730"/>
      <c r="AE91" s="730"/>
      <c r="AF91" s="730"/>
      <c r="AG91" s="730"/>
      <c r="AH91" s="730"/>
      <c r="AI91" s="730"/>
      <c r="AJ91" s="730"/>
      <c r="AK91" s="730"/>
      <c r="AL91" s="730"/>
      <c r="AM91" s="730"/>
      <c r="AN91" s="730"/>
      <c r="AO91" s="730"/>
      <c r="AP91" s="730"/>
      <c r="AQ91" s="730"/>
      <c r="AR91" s="730"/>
    </row>
    <row r="92" spans="1:44" s="42" customFormat="1" ht="15.75">
      <c r="A92" s="799" t="s">
        <v>225</v>
      </c>
      <c r="B92" s="799"/>
      <c r="C92" s="799"/>
      <c r="D92" s="799"/>
      <c r="E92" s="799"/>
      <c r="F92" s="799"/>
      <c r="G92" s="799"/>
      <c r="H92" s="799"/>
      <c r="I92" s="799" t="s">
        <v>122</v>
      </c>
      <c r="J92" s="799"/>
      <c r="K92" s="799"/>
      <c r="L92" s="799"/>
      <c r="M92" s="799"/>
      <c r="N92" s="799"/>
      <c r="O92" s="799"/>
      <c r="P92" s="799"/>
      <c r="Q92" s="799"/>
      <c r="R92" s="799"/>
      <c r="S92" s="799" t="s">
        <v>503</v>
      </c>
      <c r="T92" s="799"/>
      <c r="U92" s="799"/>
      <c r="V92" s="799"/>
      <c r="W92" s="799"/>
      <c r="X92" s="799"/>
      <c r="Y92" s="799"/>
      <c r="Z92" s="799"/>
      <c r="AA92" s="799"/>
      <c r="AB92" s="799"/>
      <c r="AC92" s="799"/>
    </row>
    <row r="93" spans="1:44" s="42" customFormat="1">
      <c r="A93" s="480"/>
      <c r="B93" s="481"/>
      <c r="C93" s="482"/>
      <c r="D93" s="482"/>
      <c r="E93" s="483"/>
      <c r="F93" s="483"/>
      <c r="G93" s="481"/>
      <c r="H93" s="481"/>
      <c r="I93" s="481"/>
      <c r="J93" s="484"/>
      <c r="K93" s="481"/>
      <c r="L93" s="481"/>
      <c r="M93" s="481"/>
      <c r="N93" s="481"/>
      <c r="O93" s="481"/>
      <c r="P93" s="481"/>
      <c r="Q93" s="481"/>
      <c r="R93" s="481"/>
      <c r="S93" s="481"/>
      <c r="T93" s="481"/>
      <c r="U93" s="481"/>
      <c r="V93" s="481"/>
      <c r="W93" s="481"/>
      <c r="X93" s="481"/>
      <c r="Y93" s="481"/>
      <c r="Z93" s="481"/>
      <c r="AA93" s="481"/>
      <c r="AB93" s="793"/>
      <c r="AC93" s="793"/>
    </row>
    <row r="94" spans="1:44" s="42" customFormat="1">
      <c r="A94" s="426"/>
      <c r="B94" s="554"/>
      <c r="C94" s="485"/>
      <c r="D94" s="485"/>
      <c r="E94" s="472"/>
      <c r="F94" s="472"/>
      <c r="G94" s="473"/>
      <c r="H94" s="473"/>
      <c r="I94" s="473"/>
      <c r="J94" s="474"/>
      <c r="K94" s="473"/>
      <c r="L94" s="473"/>
      <c r="M94" s="473"/>
      <c r="N94" s="473"/>
      <c r="O94" s="473"/>
      <c r="P94" s="473"/>
      <c r="Q94" s="473"/>
      <c r="R94" s="473"/>
      <c r="S94" s="473"/>
      <c r="T94" s="473"/>
      <c r="U94" s="473"/>
      <c r="V94" s="473"/>
      <c r="W94" s="473"/>
      <c r="X94" s="473"/>
      <c r="Y94" s="473"/>
      <c r="Z94" s="473"/>
      <c r="AA94" s="473"/>
      <c r="AB94" s="795"/>
      <c r="AC94" s="795"/>
    </row>
    <row r="95" spans="1:44">
      <c r="A95" s="426"/>
      <c r="B95" s="554"/>
      <c r="C95" s="485"/>
      <c r="D95" s="485"/>
      <c r="E95" s="472"/>
      <c r="F95" s="472"/>
      <c r="G95" s="473"/>
      <c r="H95" s="473"/>
      <c r="I95" s="473"/>
      <c r="J95" s="474"/>
      <c r="K95" s="473"/>
      <c r="L95" s="473"/>
      <c r="M95" s="473"/>
      <c r="N95" s="473"/>
      <c r="O95" s="473"/>
      <c r="P95" s="473"/>
      <c r="Q95" s="473"/>
      <c r="R95" s="473"/>
      <c r="S95" s="473"/>
      <c r="T95" s="473"/>
      <c r="U95" s="473"/>
      <c r="V95" s="473"/>
      <c r="W95" s="473"/>
      <c r="X95" s="473"/>
      <c r="Y95" s="473"/>
      <c r="Z95" s="473"/>
      <c r="AA95" s="473"/>
      <c r="AB95" s="795"/>
      <c r="AC95" s="795"/>
    </row>
    <row r="96" spans="1:44">
      <c r="A96" s="5"/>
      <c r="B96" s="552"/>
      <c r="AB96" s="744"/>
      <c r="AC96" s="744"/>
    </row>
    <row r="97" spans="1:29">
      <c r="A97" s="5"/>
      <c r="B97" s="552"/>
      <c r="AB97" s="744"/>
      <c r="AC97" s="744"/>
    </row>
    <row r="98" spans="1:29">
      <c r="A98" s="5"/>
      <c r="B98" s="552"/>
      <c r="AB98" s="744"/>
      <c r="AC98" s="744"/>
    </row>
    <row r="99" spans="1:29">
      <c r="A99" s="5"/>
      <c r="B99" s="552"/>
      <c r="AB99" s="744"/>
      <c r="AC99" s="744"/>
    </row>
    <row r="100" spans="1:29">
      <c r="A100" s="5"/>
      <c r="B100" s="552"/>
      <c r="AB100" s="744"/>
      <c r="AC100" s="744"/>
    </row>
    <row r="101" spans="1:29">
      <c r="A101" s="5"/>
      <c r="B101" s="552"/>
      <c r="AB101" s="744"/>
      <c r="AC101" s="744"/>
    </row>
    <row r="102" spans="1:29">
      <c r="A102" s="5"/>
      <c r="B102" s="552"/>
      <c r="AB102" s="744"/>
      <c r="AC102" s="744"/>
    </row>
    <row r="103" spans="1:29">
      <c r="A103" s="5"/>
      <c r="B103" s="552"/>
      <c r="AB103" s="744"/>
      <c r="AC103" s="744"/>
    </row>
    <row r="104" spans="1:29">
      <c r="A104" s="5"/>
      <c r="B104" s="552"/>
      <c r="AB104" s="744"/>
      <c r="AC104" s="744"/>
    </row>
    <row r="105" spans="1:29">
      <c r="A105" s="5"/>
      <c r="B105" s="552"/>
      <c r="AB105" s="744"/>
      <c r="AC105" s="744"/>
    </row>
    <row r="106" spans="1:29">
      <c r="A106" s="5"/>
      <c r="B106" s="552"/>
      <c r="AB106" s="744"/>
      <c r="AC106" s="744"/>
    </row>
    <row r="107" spans="1:29">
      <c r="A107" s="5"/>
      <c r="B107" s="552"/>
      <c r="AB107" s="744"/>
      <c r="AC107" s="744"/>
    </row>
    <row r="108" spans="1:29">
      <c r="A108" s="5"/>
      <c r="B108" s="552"/>
      <c r="AB108" s="744"/>
      <c r="AC108" s="744"/>
    </row>
    <row r="109" spans="1:29">
      <c r="A109" s="5"/>
      <c r="B109" s="552"/>
      <c r="AB109" s="744"/>
      <c r="AC109" s="744"/>
    </row>
    <row r="110" spans="1:29">
      <c r="A110" s="5"/>
      <c r="B110" s="552"/>
      <c r="AB110" s="744"/>
      <c r="AC110" s="744"/>
    </row>
  </sheetData>
  <mergeCells count="62">
    <mergeCell ref="A92:H92"/>
    <mergeCell ref="AB109:AC109"/>
    <mergeCell ref="AB110:AC110"/>
    <mergeCell ref="AB107:AC107"/>
    <mergeCell ref="AB108:AC108"/>
    <mergeCell ref="AB105:AC105"/>
    <mergeCell ref="AB106:AC106"/>
    <mergeCell ref="AB103:AC103"/>
    <mergeCell ref="AB104:AC104"/>
    <mergeCell ref="AB102:AC102"/>
    <mergeCell ref="AB101:AC101"/>
    <mergeCell ref="AB100:AC100"/>
    <mergeCell ref="AB99:AC99"/>
    <mergeCell ref="AB98:AC98"/>
    <mergeCell ref="AB97:AC97"/>
    <mergeCell ref="AB96:AC96"/>
    <mergeCell ref="AB95:AC95"/>
    <mergeCell ref="AB94:AC94"/>
    <mergeCell ref="AB93:AC93"/>
    <mergeCell ref="S92:AC92"/>
    <mergeCell ref="I92:R92"/>
    <mergeCell ref="AA10:AA11"/>
    <mergeCell ref="L10:L11"/>
    <mergeCell ref="H10:H11"/>
    <mergeCell ref="I10:I11"/>
    <mergeCell ref="AB10:AC11"/>
    <mergeCell ref="Z10:Z11"/>
    <mergeCell ref="AB89:AC89"/>
    <mergeCell ref="AB90:AC90"/>
    <mergeCell ref="AB86:AC86"/>
    <mergeCell ref="AB91:AC91"/>
    <mergeCell ref="I85:R85"/>
    <mergeCell ref="S84:AC84"/>
    <mergeCell ref="S85:AC85"/>
    <mergeCell ref="A85:H85"/>
    <mergeCell ref="AB12:AC12"/>
    <mergeCell ref="AB83:AC83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A1:H1"/>
    <mergeCell ref="A2:H2"/>
    <mergeCell ref="A5:AC5"/>
    <mergeCell ref="C8:H8"/>
    <mergeCell ref="AB3:AC3"/>
    <mergeCell ref="C7:H7"/>
    <mergeCell ref="Q3:AA3"/>
    <mergeCell ref="C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8"/>
  <sheetViews>
    <sheetView topLeftCell="A13" zoomScale="110" zoomScaleNormal="110" workbookViewId="0">
      <selection activeCell="B13" sqref="B13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745" t="s">
        <v>79</v>
      </c>
      <c r="B1" s="745"/>
      <c r="C1" s="745"/>
      <c r="D1" s="745"/>
      <c r="E1" s="17"/>
      <c r="F1" s="747" t="s">
        <v>52</v>
      </c>
      <c r="G1" s="747"/>
      <c r="H1" s="747"/>
      <c r="I1" s="747"/>
      <c r="J1" s="747"/>
      <c r="K1" s="747"/>
      <c r="L1" s="5"/>
    </row>
    <row r="2" spans="1:12">
      <c r="A2" s="747" t="s">
        <v>184</v>
      </c>
      <c r="B2" s="747"/>
      <c r="C2" s="747"/>
      <c r="D2" s="747"/>
      <c r="E2" s="18"/>
      <c r="F2" s="818" t="s">
        <v>0</v>
      </c>
      <c r="G2" s="818"/>
      <c r="H2" s="818"/>
      <c r="I2" s="818"/>
      <c r="J2" s="818"/>
      <c r="K2" s="818"/>
      <c r="L2" s="5"/>
    </row>
    <row r="3" spans="1:12" ht="12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816" t="s">
        <v>504</v>
      </c>
      <c r="B4" s="816"/>
      <c r="C4" s="816"/>
      <c r="D4" s="816"/>
      <c r="E4" s="816"/>
      <c r="F4" s="816"/>
      <c r="G4" s="816"/>
      <c r="H4" s="816"/>
      <c r="I4" s="816"/>
      <c r="J4" s="816"/>
      <c r="K4" s="816"/>
      <c r="L4" s="814"/>
    </row>
    <row r="5" spans="1:12" ht="19.5" customHeight="1">
      <c r="A5" s="816" t="s">
        <v>441</v>
      </c>
      <c r="B5" s="816"/>
      <c r="C5" s="816"/>
      <c r="D5" s="816"/>
      <c r="E5" s="816"/>
      <c r="F5" s="816"/>
      <c r="G5" s="816"/>
      <c r="H5" s="816"/>
      <c r="I5" s="816"/>
      <c r="J5" s="816"/>
      <c r="K5" s="816"/>
      <c r="L5" s="814"/>
    </row>
    <row r="6" spans="1:12" ht="12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18" customHeight="1">
      <c r="A7" s="815" t="s">
        <v>53</v>
      </c>
      <c r="B7" s="815" t="s">
        <v>50</v>
      </c>
      <c r="C7" s="815" t="s">
        <v>54</v>
      </c>
      <c r="D7" s="815" t="s">
        <v>4</v>
      </c>
      <c r="E7" s="815" t="s">
        <v>494</v>
      </c>
      <c r="F7" s="815"/>
      <c r="G7" s="815"/>
      <c r="H7" s="815" t="s">
        <v>505</v>
      </c>
      <c r="I7" s="815"/>
      <c r="J7" s="815"/>
      <c r="K7" s="817" t="s">
        <v>48</v>
      </c>
      <c r="L7" s="37"/>
    </row>
    <row r="8" spans="1:12" s="38" customFormat="1" ht="22.5" customHeight="1">
      <c r="A8" s="815"/>
      <c r="B8" s="815"/>
      <c r="C8" s="815"/>
      <c r="D8" s="815"/>
      <c r="E8" s="73" t="s">
        <v>41</v>
      </c>
      <c r="F8" s="74" t="s">
        <v>179</v>
      </c>
      <c r="G8" s="74" t="s">
        <v>178</v>
      </c>
      <c r="H8" s="73" t="s">
        <v>41</v>
      </c>
      <c r="I8" s="74" t="s">
        <v>179</v>
      </c>
      <c r="J8" s="74" t="s">
        <v>273</v>
      </c>
      <c r="K8" s="817"/>
      <c r="L8" s="39"/>
    </row>
    <row r="9" spans="1:12" s="78" customFormat="1" ht="45" customHeight="1">
      <c r="A9" s="221" t="s">
        <v>32</v>
      </c>
      <c r="B9" s="222" t="s">
        <v>229</v>
      </c>
      <c r="C9" s="210" t="s">
        <v>497</v>
      </c>
      <c r="D9" s="210" t="s">
        <v>375</v>
      </c>
      <c r="E9" s="221" t="s">
        <v>38</v>
      </c>
      <c r="F9" s="256">
        <v>5307200</v>
      </c>
      <c r="G9" s="210"/>
      <c r="H9" s="221" t="s">
        <v>38</v>
      </c>
      <c r="I9" s="256">
        <v>5572560</v>
      </c>
      <c r="J9" s="210"/>
      <c r="K9" s="225" t="s">
        <v>498</v>
      </c>
      <c r="L9" s="39"/>
    </row>
    <row r="10" spans="1:12" s="714" customFormat="1" ht="51" customHeight="1">
      <c r="A10" s="221" t="s">
        <v>33</v>
      </c>
      <c r="B10" s="222" t="s">
        <v>399</v>
      </c>
      <c r="C10" s="210" t="s">
        <v>487</v>
      </c>
      <c r="D10" s="210" t="s">
        <v>375</v>
      </c>
      <c r="E10" s="221">
        <v>18</v>
      </c>
      <c r="F10" s="256"/>
      <c r="G10" s="210"/>
      <c r="H10" s="221">
        <v>18</v>
      </c>
      <c r="I10" s="256"/>
      <c r="J10" s="210"/>
      <c r="K10" s="679" t="s">
        <v>496</v>
      </c>
      <c r="L10" s="39"/>
    </row>
    <row r="11" spans="1:12" s="714" customFormat="1" ht="41.25" customHeight="1">
      <c r="A11" s="221" t="s">
        <v>34</v>
      </c>
      <c r="B11" s="222" t="s">
        <v>415</v>
      </c>
      <c r="C11" s="210" t="s">
        <v>480</v>
      </c>
      <c r="D11" s="210" t="s">
        <v>375</v>
      </c>
      <c r="E11" s="221">
        <v>47</v>
      </c>
      <c r="F11" s="256">
        <v>4960000</v>
      </c>
      <c r="G11" s="210"/>
      <c r="H11" s="221">
        <v>47</v>
      </c>
      <c r="I11" s="256">
        <v>5208000</v>
      </c>
      <c r="J11" s="210"/>
      <c r="K11" s="679" t="s">
        <v>498</v>
      </c>
      <c r="L11" s="39"/>
    </row>
    <row r="12" spans="1:12" s="714" customFormat="1" ht="102" customHeight="1">
      <c r="A12" s="221" t="s">
        <v>35</v>
      </c>
      <c r="B12" s="222" t="s">
        <v>181</v>
      </c>
      <c r="C12" s="210" t="s">
        <v>488</v>
      </c>
      <c r="D12" s="210" t="s">
        <v>375</v>
      </c>
      <c r="E12" s="221">
        <v>27</v>
      </c>
      <c r="F12" s="256">
        <v>3077063</v>
      </c>
      <c r="G12" s="210"/>
      <c r="H12" s="221">
        <v>27</v>
      </c>
      <c r="I12" s="256">
        <v>0</v>
      </c>
      <c r="J12" s="210"/>
      <c r="K12" s="679" t="s">
        <v>491</v>
      </c>
      <c r="L12" s="39"/>
    </row>
    <row r="13" spans="1:12" s="714" customFormat="1" ht="72.75" customHeight="1">
      <c r="A13" s="221" t="s">
        <v>36</v>
      </c>
      <c r="B13" s="222" t="s">
        <v>253</v>
      </c>
      <c r="C13" s="210" t="s">
        <v>497</v>
      </c>
      <c r="D13" s="210" t="s">
        <v>375</v>
      </c>
      <c r="E13" s="221">
        <v>54</v>
      </c>
      <c r="F13" s="256">
        <v>5468400</v>
      </c>
      <c r="G13" s="210"/>
      <c r="H13" s="221"/>
      <c r="I13" s="256"/>
      <c r="J13" s="210"/>
      <c r="K13" s="679" t="s">
        <v>499</v>
      </c>
      <c r="L13" s="39"/>
    </row>
    <row r="14" spans="1:12" s="440" customFormat="1" ht="6.75" customHeight="1">
      <c r="A14" s="655"/>
      <c r="B14" s="821"/>
      <c r="C14" s="821"/>
      <c r="D14" s="821"/>
      <c r="E14" s="821"/>
      <c r="F14" s="821"/>
      <c r="G14" s="821"/>
      <c r="H14" s="436"/>
      <c r="I14" s="437"/>
      <c r="J14" s="435"/>
      <c r="K14" s="438"/>
      <c r="L14" s="439"/>
    </row>
    <row r="15" spans="1:12" s="444" customFormat="1" ht="16.5" customHeight="1">
      <c r="A15" s="655"/>
      <c r="B15" s="820"/>
      <c r="C15" s="820"/>
      <c r="D15" s="820"/>
      <c r="E15" s="820"/>
      <c r="F15" s="441"/>
      <c r="G15" s="442"/>
      <c r="H15" s="819" t="s">
        <v>501</v>
      </c>
      <c r="I15" s="819"/>
      <c r="J15" s="819"/>
      <c r="K15" s="819"/>
      <c r="L15" s="443"/>
    </row>
    <row r="16" spans="1:12" ht="18" customHeight="1">
      <c r="A16" s="812" t="s">
        <v>57</v>
      </c>
      <c r="B16" s="812"/>
      <c r="C16" s="812"/>
      <c r="D16" s="812" t="s">
        <v>182</v>
      </c>
      <c r="E16" s="812"/>
      <c r="F16" s="812"/>
      <c r="G16" s="812"/>
      <c r="H16" s="812" t="s">
        <v>493</v>
      </c>
      <c r="I16" s="812"/>
      <c r="J16" s="812"/>
      <c r="K16" s="812"/>
      <c r="L16" s="2"/>
    </row>
    <row r="17" spans="1:12" ht="13.5" customHeight="1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40"/>
      <c r="L17" s="8"/>
    </row>
    <row r="18" spans="1:12" ht="15.7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40"/>
      <c r="L18" s="5"/>
    </row>
    <row r="19" spans="1:12" ht="16.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40"/>
      <c r="L19" s="5"/>
    </row>
    <row r="20" spans="1:12" ht="12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40"/>
      <c r="L20" s="5"/>
    </row>
    <row r="21" spans="1:12" ht="17.2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40"/>
      <c r="L21" s="5"/>
    </row>
    <row r="22" spans="1:12" s="57" customFormat="1">
      <c r="A22" s="812" t="s">
        <v>225</v>
      </c>
      <c r="B22" s="812"/>
      <c r="C22" s="812"/>
      <c r="D22" s="812" t="s">
        <v>122</v>
      </c>
      <c r="E22" s="812"/>
      <c r="F22" s="812"/>
      <c r="G22" s="812"/>
      <c r="H22" s="812" t="s">
        <v>503</v>
      </c>
      <c r="I22" s="812"/>
      <c r="J22" s="812"/>
      <c r="K22" s="812"/>
      <c r="L22" s="12"/>
    </row>
    <row r="23" spans="1:12" s="5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5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5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5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5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s="57" customForma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2"/>
    </row>
    <row r="29" spans="1:12" ht="16.5" customHeight="1">
      <c r="A29" s="813"/>
      <c r="B29" s="813"/>
      <c r="C29" s="813"/>
      <c r="D29" s="813"/>
      <c r="E29" s="813"/>
      <c r="F29" s="813"/>
      <c r="G29" s="813"/>
      <c r="H29" s="813"/>
      <c r="I29" s="14"/>
      <c r="J29" s="14"/>
      <c r="K29" s="14"/>
      <c r="L29" s="5"/>
    </row>
    <row r="30" spans="1:12">
      <c r="A30" s="8"/>
      <c r="B30" s="747"/>
      <c r="C30" s="747"/>
      <c r="D30" s="747"/>
      <c r="E30" s="747"/>
      <c r="F30" s="747"/>
      <c r="G30" s="747"/>
      <c r="H30" s="747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7"/>
      <c r="G31" s="27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7"/>
      <c r="G32" s="27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7"/>
      <c r="G33" s="27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7"/>
      <c r="G34" s="27"/>
      <c r="H34" s="5"/>
      <c r="I34" s="5"/>
      <c r="J34" s="5"/>
      <c r="K34" s="2"/>
      <c r="L34" s="5"/>
    </row>
    <row r="35" spans="1:12">
      <c r="A35" s="5"/>
      <c r="B35" s="5"/>
      <c r="C35" s="5"/>
      <c r="D35" s="5"/>
      <c r="E35" s="5"/>
      <c r="F35" s="27"/>
      <c r="G35" s="27"/>
      <c r="H35" s="5"/>
      <c r="I35" s="5"/>
      <c r="J35" s="5"/>
      <c r="K35" s="2"/>
      <c r="L35" s="5"/>
    </row>
    <row r="36" spans="1:12">
      <c r="A36" s="28"/>
      <c r="B36" s="28"/>
      <c r="C36" s="28"/>
      <c r="D36" s="28"/>
      <c r="E36" s="28"/>
      <c r="F36" s="29"/>
      <c r="G36" s="29"/>
      <c r="H36" s="28"/>
      <c r="I36" s="28"/>
      <c r="J36" s="28"/>
      <c r="K36" s="28"/>
      <c r="L36" s="28"/>
    </row>
    <row r="37" spans="1:12">
      <c r="A37" s="14"/>
    </row>
    <row r="38" spans="1:12" ht="17.25">
      <c r="A38" s="1"/>
    </row>
  </sheetData>
  <mergeCells count="25">
    <mergeCell ref="F1:K1"/>
    <mergeCell ref="F2:K2"/>
    <mergeCell ref="A16:C16"/>
    <mergeCell ref="A7:A8"/>
    <mergeCell ref="H15:K15"/>
    <mergeCell ref="H16:K16"/>
    <mergeCell ref="A1:D1"/>
    <mergeCell ref="A2:D2"/>
    <mergeCell ref="B15:E15"/>
    <mergeCell ref="B14:G14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22:K22"/>
    <mergeCell ref="D16:G16"/>
    <mergeCell ref="D22:G22"/>
    <mergeCell ref="A29:H29"/>
    <mergeCell ref="B30:H30"/>
    <mergeCell ref="A22:C22"/>
  </mergeCells>
  <phoneticPr fontId="17" type="noConversion"/>
  <printOptions horizontalCentered="1"/>
  <pageMargins left="0.25" right="0.16" top="0.28000000000000003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822" t="s">
        <v>240</v>
      </c>
      <c r="B1" s="822"/>
      <c r="C1" s="822"/>
      <c r="D1" s="822"/>
    </row>
    <row r="2" spans="1:9">
      <c r="A2" s="747" t="s">
        <v>185</v>
      </c>
      <c r="B2" s="747"/>
      <c r="C2" s="747"/>
      <c r="D2" s="747"/>
      <c r="E2" s="8"/>
    </row>
    <row r="3" spans="1:9">
      <c r="A3" s="745"/>
      <c r="B3" s="745"/>
      <c r="C3" s="745"/>
      <c r="D3" s="4"/>
      <c r="E3" s="24"/>
    </row>
    <row r="4" spans="1:9" ht="16.5">
      <c r="A4" s="823" t="s">
        <v>192</v>
      </c>
      <c r="B4" s="823"/>
      <c r="C4" s="823"/>
      <c r="D4" s="823"/>
      <c r="E4" s="823"/>
    </row>
    <row r="5" spans="1:9" ht="16.5">
      <c r="A5" s="823" t="s">
        <v>354</v>
      </c>
      <c r="B5" s="823"/>
      <c r="C5" s="823"/>
      <c r="D5" s="823"/>
      <c r="E5" s="823"/>
    </row>
    <row r="6" spans="1:9" ht="18" customHeight="1">
      <c r="A6" s="5"/>
      <c r="B6" s="5" t="s">
        <v>180</v>
      </c>
      <c r="C6" s="5"/>
      <c r="D6" s="11"/>
      <c r="E6" s="10"/>
    </row>
    <row r="7" spans="1:9" s="220" customFormat="1" ht="21.75" customHeight="1">
      <c r="A7" s="219" t="s">
        <v>193</v>
      </c>
      <c r="B7" s="815" t="s">
        <v>194</v>
      </c>
      <c r="C7" s="815"/>
      <c r="D7" s="213" t="s">
        <v>351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828" t="s">
        <v>241</v>
      </c>
      <c r="C12" s="829"/>
      <c r="D12" s="215"/>
      <c r="E12" s="216"/>
      <c r="H12" s="218"/>
    </row>
    <row r="13" spans="1:9" ht="23.25" customHeight="1">
      <c r="A13" s="168"/>
      <c r="B13" s="169" t="s">
        <v>195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196</v>
      </c>
      <c r="C14" s="174"/>
      <c r="D14" s="186">
        <f>D13*25.5/100</f>
        <v>1539191.73</v>
      </c>
      <c r="E14" s="187" t="s">
        <v>275</v>
      </c>
    </row>
    <row r="15" spans="1:9" ht="23.25" customHeight="1">
      <c r="A15" s="172"/>
      <c r="B15" s="173" t="s">
        <v>197</v>
      </c>
      <c r="C15" s="174"/>
      <c r="D15" s="186">
        <f>D13*4.5%</f>
        <v>271622.07</v>
      </c>
      <c r="E15" s="171"/>
    </row>
    <row r="16" spans="1:9" ht="23.25" customHeight="1">
      <c r="A16" s="190"/>
      <c r="B16" s="261" t="s">
        <v>198</v>
      </c>
      <c r="C16" s="262"/>
      <c r="D16" s="191">
        <f>D13*2/100-1</f>
        <v>120719.92</v>
      </c>
      <c r="E16" s="263"/>
      <c r="H16" s="188"/>
      <c r="I16" s="188"/>
    </row>
    <row r="17" spans="1:9" ht="23.25" customHeight="1">
      <c r="A17" s="156"/>
      <c r="B17" s="826" t="s">
        <v>199</v>
      </c>
      <c r="C17" s="827"/>
      <c r="D17" s="192">
        <f>SUM(D14:D16)</f>
        <v>1931533.72</v>
      </c>
      <c r="E17" s="264"/>
      <c r="G17" s="189"/>
      <c r="H17" s="175"/>
      <c r="I17" s="175"/>
    </row>
    <row r="18" spans="1:9" ht="6.75" customHeight="1">
      <c r="A18" s="180"/>
      <c r="B18" s="259"/>
      <c r="C18" s="182"/>
      <c r="D18" s="167"/>
      <c r="E18" s="260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200</v>
      </c>
      <c r="C20" s="197" t="s">
        <v>317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824" t="s">
        <v>353</v>
      </c>
      <c r="E22" s="824"/>
    </row>
    <row r="23" spans="1:9" s="199" customFormat="1" ht="14.25">
      <c r="A23" s="825" t="s">
        <v>201</v>
      </c>
      <c r="B23" s="825"/>
      <c r="C23" s="825"/>
      <c r="D23" s="198" t="s">
        <v>182</v>
      </c>
      <c r="E23" s="198" t="s">
        <v>80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812" t="s">
        <v>225</v>
      </c>
      <c r="B29" s="812"/>
      <c r="C29" s="812"/>
      <c r="D29" s="9" t="s">
        <v>122</v>
      </c>
      <c r="E29" s="9" t="s">
        <v>119</v>
      </c>
    </row>
    <row r="30" spans="1:9">
      <c r="A30" s="201" t="str">
        <f ca="1">CELL("filename")</f>
        <v xml:space="preserve">E:\DULIEUMAYCU\Quynh chung\Quynh Exel\2025\Luong\Tu co\[Luong T09-2025 (TC)..xlsx]CN </v>
      </c>
      <c r="B30" s="201"/>
      <c r="C30" s="201"/>
      <c r="D30" s="201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6"/>
  <sheetViews>
    <sheetView workbookViewId="0">
      <selection activeCell="H22" sqref="H22:K22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822" t="s">
        <v>78</v>
      </c>
      <c r="B1" s="822"/>
      <c r="C1" s="822"/>
      <c r="D1" s="822"/>
      <c r="E1" s="747" t="s">
        <v>18</v>
      </c>
      <c r="F1" s="747"/>
      <c r="G1" s="747"/>
      <c r="H1" s="747"/>
      <c r="I1" s="747"/>
      <c r="J1" s="747"/>
      <c r="K1" s="747"/>
      <c r="L1" s="747"/>
      <c r="M1" s="747"/>
      <c r="N1" s="3"/>
    </row>
    <row r="2" spans="1:15" ht="17.25">
      <c r="A2" s="818" t="s">
        <v>186</v>
      </c>
      <c r="B2" s="818"/>
      <c r="C2" s="818"/>
      <c r="D2" s="818"/>
      <c r="E2" s="818" t="s">
        <v>19</v>
      </c>
      <c r="F2" s="818"/>
      <c r="G2" s="818"/>
      <c r="H2" s="818"/>
      <c r="I2" s="818"/>
      <c r="J2" s="818"/>
      <c r="K2" s="818"/>
      <c r="L2" s="818"/>
      <c r="M2" s="818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791" t="s">
        <v>190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3"/>
    </row>
    <row r="5" spans="1:15" ht="18.75">
      <c r="A5" s="791" t="s">
        <v>485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228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748" t="s">
        <v>1</v>
      </c>
      <c r="K9" s="748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282</v>
      </c>
      <c r="G11" s="20" t="s">
        <v>294</v>
      </c>
      <c r="H11" s="20" t="s">
        <v>70</v>
      </c>
      <c r="I11" s="166" t="s">
        <v>61</v>
      </c>
      <c r="J11" s="20" t="s">
        <v>403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833" t="s">
        <v>42</v>
      </c>
      <c r="C12" s="834"/>
      <c r="D12" s="76" t="s">
        <v>43</v>
      </c>
      <c r="E12" s="34" t="s">
        <v>44</v>
      </c>
      <c r="F12" s="34" t="s">
        <v>74</v>
      </c>
      <c r="G12" s="34"/>
      <c r="H12" s="267" t="s">
        <v>47</v>
      </c>
      <c r="I12" s="34" t="s">
        <v>47</v>
      </c>
      <c r="J12" s="34" t="s">
        <v>45</v>
      </c>
      <c r="K12" s="34" t="s">
        <v>407</v>
      </c>
      <c r="L12" s="34" t="s">
        <v>76</v>
      </c>
      <c r="M12" s="34" t="s">
        <v>158</v>
      </c>
      <c r="N12" s="35"/>
      <c r="O12" s="35"/>
    </row>
    <row r="13" spans="1:15" s="5" customFormat="1" ht="45" customHeight="1">
      <c r="A13" s="366" t="s">
        <v>32</v>
      </c>
      <c r="B13" s="370"/>
      <c r="C13" s="371"/>
      <c r="D13" s="372"/>
      <c r="E13" s="369" t="s">
        <v>375</v>
      </c>
      <c r="F13" s="367" t="s">
        <v>246</v>
      </c>
      <c r="G13" s="368">
        <v>1</v>
      </c>
      <c r="H13" s="122">
        <v>4960000</v>
      </c>
      <c r="I13" s="123"/>
      <c r="J13" s="420">
        <v>3</v>
      </c>
      <c r="K13" s="124">
        <f>H13/26*J13*85%</f>
        <v>486461.5384615385</v>
      </c>
      <c r="L13" s="121"/>
      <c r="M13" s="125"/>
      <c r="N13" s="23"/>
      <c r="O13" s="224"/>
    </row>
    <row r="14" spans="1:15" s="5" customFormat="1" ht="31.5" customHeight="1">
      <c r="A14" s="20"/>
      <c r="B14" s="831" t="s">
        <v>49</v>
      </c>
      <c r="C14" s="832"/>
      <c r="D14" s="22"/>
      <c r="E14" s="20"/>
      <c r="F14" s="154"/>
      <c r="G14" s="154">
        <f>SUM(G13:G13)</f>
        <v>1</v>
      </c>
      <c r="H14" s="327">
        <f>SUM(H13:H13)</f>
        <v>4960000</v>
      </c>
      <c r="I14" s="32" t="e">
        <f>SUM(#REF!)</f>
        <v>#REF!</v>
      </c>
      <c r="J14" s="328">
        <f>SUM(J13:J13)</f>
        <v>3</v>
      </c>
      <c r="K14" s="126">
        <f>SUM(K13:K13)</f>
        <v>486461.5384615385</v>
      </c>
      <c r="L14" s="31"/>
      <c r="M14" s="31"/>
      <c r="N14" s="23"/>
      <c r="O14" s="224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41" t="s">
        <v>121</v>
      </c>
      <c r="C16" s="748" t="s">
        <v>486</v>
      </c>
      <c r="D16" s="748"/>
      <c r="E16" s="748"/>
      <c r="F16" s="748"/>
      <c r="G16" s="748"/>
      <c r="H16" s="748"/>
      <c r="I16" s="748"/>
      <c r="J16" s="748"/>
      <c r="K16" s="748"/>
      <c r="L16" s="748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830" t="s">
        <v>483</v>
      </c>
      <c r="L18" s="830"/>
      <c r="M18" s="830"/>
      <c r="N18" s="7"/>
    </row>
    <row r="19" spans="1:14" s="694" customFormat="1">
      <c r="K19" s="812" t="s">
        <v>475</v>
      </c>
      <c r="L19" s="812"/>
      <c r="M19" s="812"/>
      <c r="N19" s="7"/>
    </row>
    <row r="20" spans="1:14" s="14" customFormat="1">
      <c r="A20" s="812" t="s">
        <v>13</v>
      </c>
      <c r="B20" s="812"/>
      <c r="C20" s="812"/>
      <c r="D20" s="812"/>
      <c r="E20" s="812"/>
      <c r="F20" s="812" t="s">
        <v>182</v>
      </c>
      <c r="G20" s="812"/>
      <c r="H20" s="812"/>
      <c r="I20" s="812"/>
      <c r="J20" s="812"/>
      <c r="K20" s="812" t="s">
        <v>476</v>
      </c>
      <c r="L20" s="812"/>
      <c r="M20" s="812"/>
      <c r="N20" s="33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58" customFormat="1">
      <c r="A25" s="812" t="s">
        <v>225</v>
      </c>
      <c r="B25" s="812"/>
      <c r="C25" s="812"/>
      <c r="D25" s="812"/>
      <c r="E25" s="812"/>
      <c r="F25" s="812" t="s">
        <v>122</v>
      </c>
      <c r="G25" s="812"/>
      <c r="H25" s="812"/>
      <c r="I25" s="812"/>
      <c r="J25" s="812"/>
      <c r="K25" s="812" t="s">
        <v>477</v>
      </c>
      <c r="L25" s="812"/>
      <c r="M25" s="812"/>
    </row>
    <row r="26" spans="1:14" ht="17.25">
      <c r="A26" s="1"/>
    </row>
  </sheetData>
  <mergeCells count="18">
    <mergeCell ref="A1:D1"/>
    <mergeCell ref="A2:D2"/>
    <mergeCell ref="E1:M1"/>
    <mergeCell ref="B14:C14"/>
    <mergeCell ref="B12:C12"/>
    <mergeCell ref="A4:M4"/>
    <mergeCell ref="A5:M5"/>
    <mergeCell ref="A25:E25"/>
    <mergeCell ref="F25:J25"/>
    <mergeCell ref="K25:M25"/>
    <mergeCell ref="E2:M2"/>
    <mergeCell ref="J9:K9"/>
    <mergeCell ref="A20:E20"/>
    <mergeCell ref="C16:L16"/>
    <mergeCell ref="K18:M18"/>
    <mergeCell ref="K20:M20"/>
    <mergeCell ref="F20:J20"/>
    <mergeCell ref="K19:M19"/>
  </mergeCells>
  <phoneticPr fontId="17" type="noConversion"/>
  <pageMargins left="0.36" right="0.19" top="0.39" bottom="0.2" header="0.17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workbookViewId="0">
      <selection activeCell="H22" sqref="H22:K22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31" width="9" style="16"/>
    <col min="32" max="32" width="9" style="55"/>
    <col min="33" max="16384" width="9" style="16"/>
  </cols>
  <sheetData>
    <row r="1" spans="1:33" ht="16.5">
      <c r="A1" s="789" t="s">
        <v>78</v>
      </c>
      <c r="B1" s="789"/>
      <c r="C1" s="789"/>
      <c r="D1" s="789"/>
      <c r="E1" s="789"/>
      <c r="F1" s="789"/>
      <c r="G1" s="789"/>
      <c r="H1" s="78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5"/>
    </row>
    <row r="2" spans="1:33" ht="16.5">
      <c r="A2" s="747" t="s">
        <v>185</v>
      </c>
      <c r="B2" s="747"/>
      <c r="C2" s="747"/>
      <c r="D2" s="747"/>
      <c r="E2" s="747"/>
      <c r="F2" s="747"/>
      <c r="G2" s="747"/>
      <c r="H2" s="74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5"/>
    </row>
    <row r="3" spans="1:33" ht="20.25" customHeight="1">
      <c r="A3" s="4"/>
      <c r="B3" s="45"/>
      <c r="C3" s="745"/>
      <c r="D3" s="74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744"/>
      <c r="R3" s="744"/>
      <c r="S3" s="744"/>
      <c r="T3" s="744"/>
      <c r="U3" s="744"/>
      <c r="V3" s="744"/>
      <c r="W3" s="744"/>
      <c r="X3" s="744"/>
      <c r="Y3" s="744"/>
      <c r="Z3" s="744"/>
      <c r="AA3" s="744"/>
      <c r="AB3" s="744"/>
      <c r="AC3" s="790"/>
      <c r="AD3" s="790"/>
    </row>
    <row r="4" spans="1:33" ht="22.5" customHeight="1">
      <c r="A4" s="791" t="s">
        <v>190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  <c r="Q4" s="791"/>
      <c r="R4" s="791"/>
      <c r="S4" s="791"/>
      <c r="T4" s="791"/>
      <c r="U4" s="791"/>
      <c r="V4" s="791"/>
      <c r="W4" s="791"/>
      <c r="X4" s="791"/>
      <c r="Y4" s="791"/>
      <c r="Z4" s="791"/>
      <c r="AA4" s="791"/>
      <c r="AB4" s="791"/>
      <c r="AC4" s="17"/>
      <c r="AD4" s="15"/>
    </row>
    <row r="5" spans="1:33" ht="22.5" customHeight="1">
      <c r="A5" s="791" t="s">
        <v>482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791"/>
      <c r="M5" s="791"/>
      <c r="N5" s="791"/>
      <c r="O5" s="791"/>
      <c r="P5" s="791"/>
      <c r="Q5" s="791"/>
      <c r="R5" s="791"/>
      <c r="S5" s="791"/>
      <c r="T5" s="791"/>
      <c r="U5" s="791"/>
      <c r="V5" s="791"/>
      <c r="W5" s="791"/>
      <c r="X5" s="791"/>
      <c r="Y5" s="791"/>
      <c r="Z5" s="791"/>
      <c r="AA5" s="791"/>
      <c r="AB5" s="791"/>
      <c r="AC5" s="17"/>
      <c r="AD5" s="15"/>
    </row>
    <row r="6" spans="1:33" ht="18" customHeight="1">
      <c r="A6" s="8"/>
      <c r="B6" s="50"/>
      <c r="C6" s="8" t="s">
        <v>86</v>
      </c>
      <c r="D6" s="757"/>
      <c r="E6" s="757"/>
      <c r="F6" s="757"/>
      <c r="G6" s="757"/>
      <c r="H6" s="757"/>
      <c r="Q6" s="48" t="s">
        <v>478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17"/>
      <c r="AD6" s="17"/>
    </row>
    <row r="7" spans="1:33">
      <c r="A7" s="8"/>
      <c r="B7" s="146">
        <v>1490000</v>
      </c>
      <c r="C7" s="77">
        <v>1150000</v>
      </c>
      <c r="D7" s="757"/>
      <c r="E7" s="757"/>
      <c r="F7" s="757"/>
      <c r="G7" s="757"/>
      <c r="H7" s="757"/>
      <c r="I7" s="48"/>
      <c r="J7" s="50"/>
      <c r="K7" s="48"/>
      <c r="L7" s="48"/>
      <c r="M7" s="48"/>
      <c r="N7" s="48"/>
      <c r="O7" s="48"/>
      <c r="P7" s="48"/>
      <c r="Q7" s="48" t="s">
        <v>479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C7" s="17"/>
      <c r="AD7" s="17"/>
    </row>
    <row r="8" spans="1:33">
      <c r="A8" s="8"/>
      <c r="B8" s="50"/>
      <c r="C8" s="8"/>
      <c r="D8" s="784"/>
      <c r="E8" s="784"/>
      <c r="F8" s="784"/>
      <c r="G8" s="784"/>
      <c r="H8" s="78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F8" s="56"/>
    </row>
    <row r="9" spans="1:33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F9" s="56"/>
    </row>
    <row r="10" spans="1:33" s="43" customFormat="1" ht="27.75" customHeight="1">
      <c r="A10" s="785" t="s">
        <v>2</v>
      </c>
      <c r="B10" s="785" t="s">
        <v>3</v>
      </c>
      <c r="C10" s="785"/>
      <c r="D10" s="786" t="s">
        <v>51</v>
      </c>
      <c r="E10" s="782" t="s">
        <v>235</v>
      </c>
      <c r="F10" s="787" t="s">
        <v>15</v>
      </c>
      <c r="G10" s="769" t="s">
        <v>129</v>
      </c>
      <c r="H10" s="782" t="s">
        <v>270</v>
      </c>
      <c r="I10" s="778" t="s">
        <v>179</v>
      </c>
      <c r="J10" s="778" t="s">
        <v>266</v>
      </c>
      <c r="K10" s="778" t="s">
        <v>267</v>
      </c>
      <c r="L10" s="778" t="s">
        <v>169</v>
      </c>
      <c r="M10" s="780"/>
      <c r="N10" s="782" t="s">
        <v>147</v>
      </c>
      <c r="O10" s="782" t="s">
        <v>148</v>
      </c>
      <c r="P10" s="769" t="s">
        <v>149</v>
      </c>
      <c r="Q10" s="762" t="s">
        <v>67</v>
      </c>
      <c r="R10" s="763"/>
      <c r="S10" s="763"/>
      <c r="T10" s="763"/>
      <c r="U10" s="764"/>
      <c r="V10" s="765" t="s">
        <v>167</v>
      </c>
      <c r="W10" s="766"/>
      <c r="X10" s="765" t="s">
        <v>168</v>
      </c>
      <c r="Y10" s="766"/>
      <c r="Z10" s="769" t="s">
        <v>153</v>
      </c>
      <c r="AA10" s="771" t="s">
        <v>5</v>
      </c>
      <c r="AB10" s="772"/>
      <c r="AC10" s="86"/>
      <c r="AD10" s="86"/>
      <c r="AE10" s="775"/>
      <c r="AF10" s="87"/>
      <c r="AG10" s="79"/>
    </row>
    <row r="11" spans="1:33" s="43" customFormat="1" ht="41.25" customHeight="1">
      <c r="A11" s="785"/>
      <c r="B11" s="785"/>
      <c r="C11" s="785"/>
      <c r="D11" s="786"/>
      <c r="E11" s="783"/>
      <c r="F11" s="788"/>
      <c r="G11" s="770"/>
      <c r="H11" s="783"/>
      <c r="I11" s="779"/>
      <c r="J11" s="779"/>
      <c r="K11" s="779"/>
      <c r="L11" s="779"/>
      <c r="M11" s="781"/>
      <c r="N11" s="783"/>
      <c r="O11" s="783"/>
      <c r="P11" s="770"/>
      <c r="Q11" s="140" t="s">
        <v>113</v>
      </c>
      <c r="R11" s="140" t="s">
        <v>68</v>
      </c>
      <c r="S11" s="140" t="s">
        <v>60</v>
      </c>
      <c r="T11" s="138" t="s">
        <v>150</v>
      </c>
      <c r="U11" s="138" t="s">
        <v>151</v>
      </c>
      <c r="V11" s="138" t="s">
        <v>84</v>
      </c>
      <c r="W11" s="150" t="s">
        <v>169</v>
      </c>
      <c r="X11" s="138" t="s">
        <v>84</v>
      </c>
      <c r="Y11" s="150" t="s">
        <v>169</v>
      </c>
      <c r="Z11" s="770"/>
      <c r="AA11" s="773"/>
      <c r="AB11" s="774"/>
      <c r="AC11" s="86"/>
      <c r="AD11" s="86"/>
      <c r="AE11" s="775"/>
      <c r="AF11" s="87"/>
      <c r="AG11" s="79"/>
    </row>
    <row r="12" spans="1:33" s="43" customFormat="1" ht="27.75" customHeight="1">
      <c r="A12" s="82" t="s">
        <v>154</v>
      </c>
      <c r="B12" s="252" t="s">
        <v>155</v>
      </c>
      <c r="C12" s="253"/>
      <c r="D12" s="83" t="s">
        <v>156</v>
      </c>
      <c r="E12" s="83"/>
      <c r="F12" s="148"/>
      <c r="G12" s="161" t="s">
        <v>157</v>
      </c>
      <c r="H12" s="149" t="s">
        <v>46</v>
      </c>
      <c r="I12" s="254" t="s">
        <v>42</v>
      </c>
      <c r="J12" s="254"/>
      <c r="K12" s="254" t="s">
        <v>43</v>
      </c>
      <c r="L12" s="254" t="s">
        <v>268</v>
      </c>
      <c r="M12" s="149"/>
      <c r="N12" s="149" t="s">
        <v>74</v>
      </c>
      <c r="O12" s="149" t="s">
        <v>47</v>
      </c>
      <c r="P12" s="254" t="s">
        <v>175</v>
      </c>
      <c r="Q12" s="149" t="s">
        <v>75</v>
      </c>
      <c r="R12" s="149" t="s">
        <v>76</v>
      </c>
      <c r="S12" s="149" t="s">
        <v>158</v>
      </c>
      <c r="T12" s="149" t="s">
        <v>159</v>
      </c>
      <c r="U12" s="254" t="s">
        <v>176</v>
      </c>
      <c r="V12" s="149" t="s">
        <v>160</v>
      </c>
      <c r="W12" s="149" t="s">
        <v>161</v>
      </c>
      <c r="X12" s="149" t="s">
        <v>162</v>
      </c>
      <c r="Y12" s="149" t="s">
        <v>170</v>
      </c>
      <c r="Z12" s="254" t="s">
        <v>177</v>
      </c>
      <c r="AA12" s="776" t="s">
        <v>171</v>
      </c>
      <c r="AB12" s="777"/>
      <c r="AC12" s="86"/>
      <c r="AD12" s="86"/>
      <c r="AE12" s="141"/>
      <c r="AF12" s="87"/>
      <c r="AG12" s="79"/>
    </row>
    <row r="13" spans="1:33" s="104" customFormat="1" ht="36" customHeight="1">
      <c r="A13" s="129" t="s">
        <v>32</v>
      </c>
      <c r="B13" s="309"/>
      <c r="C13" s="130"/>
      <c r="D13" s="229" t="s">
        <v>375</v>
      </c>
      <c r="E13" s="310"/>
      <c r="F13" s="311"/>
      <c r="G13" s="312" t="s">
        <v>246</v>
      </c>
      <c r="H13" s="313">
        <v>1</v>
      </c>
      <c r="I13" s="131">
        <v>4960000</v>
      </c>
      <c r="J13" s="237"/>
      <c r="K13" s="131"/>
      <c r="L13" s="131">
        <f>ROUND(I13+K13,0)</f>
        <v>4960000</v>
      </c>
      <c r="M13" s="131"/>
      <c r="N13" s="131">
        <f>L13/24*M13</f>
        <v>0</v>
      </c>
      <c r="O13" s="131"/>
      <c r="P13" s="131">
        <f>L13-N13+O13</f>
        <v>4960000</v>
      </c>
      <c r="Q13" s="131">
        <f>L13*8%</f>
        <v>396800</v>
      </c>
      <c r="R13" s="132">
        <f>L13*1.5%</f>
        <v>74400</v>
      </c>
      <c r="S13" s="131">
        <f>L13*1%</f>
        <v>49600</v>
      </c>
      <c r="T13" s="132"/>
      <c r="U13" s="132">
        <f>SUM(Q13:T13)</f>
        <v>520800</v>
      </c>
      <c r="V13" s="132"/>
      <c r="W13" s="314"/>
      <c r="X13" s="314"/>
      <c r="Y13" s="314"/>
      <c r="Z13" s="131">
        <f>P13-U13+W13+Y13</f>
        <v>4439200</v>
      </c>
      <c r="AA13" s="133"/>
      <c r="AB13" s="315"/>
      <c r="AF13" s="105"/>
    </row>
    <row r="14" spans="1:33" ht="22.5" customHeight="1">
      <c r="A14" s="88"/>
      <c r="B14" s="754" t="s">
        <v>11</v>
      </c>
      <c r="C14" s="755"/>
      <c r="D14" s="161"/>
      <c r="E14" s="161"/>
      <c r="F14" s="82"/>
      <c r="G14" s="82"/>
      <c r="H14" s="89">
        <v>2</v>
      </c>
      <c r="I14" s="80">
        <f>SUM(I13:I13)</f>
        <v>4960000</v>
      </c>
      <c r="J14" s="80">
        <f>SUM(J13:J13)</f>
        <v>0</v>
      </c>
      <c r="K14" s="80">
        <f>SUM(K13:K13)</f>
        <v>0</v>
      </c>
      <c r="L14" s="80">
        <f>SUM(L13:L13)</f>
        <v>4960000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4960000</v>
      </c>
      <c r="Q14" s="80">
        <f t="shared" si="0"/>
        <v>396800</v>
      </c>
      <c r="R14" s="80">
        <f t="shared" si="0"/>
        <v>74400</v>
      </c>
      <c r="S14" s="80">
        <f t="shared" si="0"/>
        <v>49600</v>
      </c>
      <c r="T14" s="80">
        <f t="shared" si="0"/>
        <v>0</v>
      </c>
      <c r="U14" s="80">
        <f t="shared" si="0"/>
        <v>520800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4439200</v>
      </c>
      <c r="AA14" s="90"/>
      <c r="AB14" s="91"/>
      <c r="AC14" s="42"/>
      <c r="AD14" s="42"/>
      <c r="AE14" s="42"/>
      <c r="AF14" s="58"/>
      <c r="AG14" s="42"/>
    </row>
    <row r="15" spans="1:33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</row>
    <row r="16" spans="1:33">
      <c r="A16" s="5"/>
      <c r="B16" s="756" t="s">
        <v>12</v>
      </c>
      <c r="C16" s="756"/>
      <c r="D16" s="17" t="s">
        <v>484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</row>
    <row r="17" spans="1:34" ht="7.5" customHeight="1">
      <c r="A17" s="5"/>
      <c r="B17" s="756"/>
      <c r="C17" s="756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757"/>
      <c r="AB17" s="757"/>
    </row>
    <row r="18" spans="1:34" ht="15.75" customHeight="1">
      <c r="A18" s="5"/>
      <c r="B18" s="743"/>
      <c r="C18" s="743"/>
      <c r="D18" s="7"/>
      <c r="E18" s="7"/>
      <c r="F18" s="207"/>
      <c r="G18" s="5"/>
      <c r="H18" s="5"/>
      <c r="S18" s="758" t="s">
        <v>483</v>
      </c>
      <c r="T18" s="758"/>
      <c r="U18" s="758"/>
      <c r="V18" s="758"/>
      <c r="W18" s="758"/>
      <c r="X18" s="758"/>
      <c r="Y18" s="758"/>
      <c r="Z18" s="758"/>
      <c r="AA18" s="758"/>
      <c r="AB18" s="758"/>
    </row>
    <row r="19" spans="1:34" ht="15.75" customHeight="1">
      <c r="A19" s="694"/>
      <c r="B19" s="694"/>
      <c r="C19" s="694"/>
      <c r="D19" s="7"/>
      <c r="E19" s="7"/>
      <c r="F19" s="207"/>
      <c r="G19" s="694"/>
      <c r="H19" s="694"/>
      <c r="I19" s="696"/>
      <c r="J19" s="695"/>
      <c r="K19" s="696"/>
      <c r="L19" s="696"/>
      <c r="M19" s="696"/>
      <c r="N19" s="696"/>
      <c r="O19" s="696"/>
      <c r="P19" s="696"/>
      <c r="Q19" s="696"/>
      <c r="R19" s="696"/>
      <c r="S19" s="761" t="s">
        <v>475</v>
      </c>
      <c r="T19" s="761"/>
      <c r="U19" s="761"/>
      <c r="V19" s="761"/>
      <c r="W19" s="761"/>
      <c r="X19" s="761"/>
      <c r="Y19" s="761"/>
      <c r="Z19" s="761"/>
      <c r="AA19" s="761"/>
      <c r="AB19" s="761"/>
    </row>
    <row r="20" spans="1:34" ht="15.75" customHeight="1">
      <c r="A20" s="747" t="s">
        <v>13</v>
      </c>
      <c r="B20" s="747"/>
      <c r="C20" s="747"/>
      <c r="D20" s="747"/>
      <c r="E20" s="747"/>
      <c r="F20" s="747"/>
      <c r="G20" s="747"/>
      <c r="H20" s="747"/>
      <c r="I20" s="747" t="s">
        <v>182</v>
      </c>
      <c r="J20" s="747"/>
      <c r="K20" s="747"/>
      <c r="L20" s="747"/>
      <c r="M20" s="747"/>
      <c r="N20" s="747"/>
      <c r="O20" s="747"/>
      <c r="P20" s="747"/>
      <c r="Q20" s="747"/>
      <c r="R20" s="747"/>
      <c r="S20" s="761" t="s">
        <v>476</v>
      </c>
      <c r="T20" s="761"/>
      <c r="U20" s="761"/>
      <c r="V20" s="761"/>
      <c r="W20" s="761"/>
      <c r="X20" s="761"/>
      <c r="Y20" s="761"/>
      <c r="Z20" s="761"/>
      <c r="AA20" s="761"/>
      <c r="AB20" s="761"/>
    </row>
    <row r="21" spans="1:34" ht="15.75" customHeight="1">
      <c r="A21" s="5"/>
      <c r="B21" s="745"/>
      <c r="C21" s="745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70"/>
      <c r="R21" s="4"/>
      <c r="S21" s="4"/>
      <c r="T21" s="4"/>
      <c r="U21" s="4"/>
      <c r="V21" s="4"/>
      <c r="AA21" s="745"/>
      <c r="AB21" s="745"/>
    </row>
    <row r="22" spans="1:34" ht="15.75" customHeight="1">
      <c r="A22" s="5"/>
      <c r="B22" s="743"/>
      <c r="C22" s="743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75"/>
      <c r="AD22" s="75"/>
      <c r="AE22" s="75"/>
      <c r="AF22" s="75"/>
      <c r="AG22" s="75"/>
      <c r="AH22" s="75"/>
    </row>
    <row r="23" spans="1:34" ht="15.75" customHeight="1">
      <c r="A23" s="5"/>
      <c r="C23" s="5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B23" s="75"/>
      <c r="AC23" s="75"/>
      <c r="AD23" s="75"/>
      <c r="AE23" s="75"/>
      <c r="AF23" s="75"/>
      <c r="AG23" s="75"/>
      <c r="AH23" s="75"/>
    </row>
    <row r="24" spans="1:34">
      <c r="A24" s="5"/>
      <c r="B24" s="743"/>
      <c r="C24" s="743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745"/>
      <c r="AB24" s="745"/>
    </row>
    <row r="25" spans="1:34" ht="15.75" customHeight="1">
      <c r="A25" s="5"/>
      <c r="B25" s="743"/>
      <c r="C25" s="743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745"/>
      <c r="AB25" s="745"/>
    </row>
    <row r="26" spans="1:34" ht="15.75" customHeight="1">
      <c r="A26" s="5"/>
      <c r="B26" s="743"/>
      <c r="C26" s="743"/>
      <c r="D26" s="7"/>
      <c r="E26" s="7"/>
      <c r="F26" s="207"/>
      <c r="G26" s="5"/>
      <c r="H26" s="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AA26" s="745"/>
      <c r="AB26" s="745"/>
    </row>
    <row r="27" spans="1:34" ht="15.75" customHeight="1">
      <c r="A27" s="747" t="s">
        <v>225</v>
      </c>
      <c r="B27" s="747"/>
      <c r="C27" s="747"/>
      <c r="D27" s="747"/>
      <c r="E27" s="747"/>
      <c r="F27" s="747"/>
      <c r="G27" s="747"/>
      <c r="H27" s="747"/>
      <c r="I27" s="747" t="s">
        <v>122</v>
      </c>
      <c r="J27" s="747"/>
      <c r="K27" s="747"/>
      <c r="L27" s="747"/>
      <c r="M27" s="747"/>
      <c r="N27" s="747"/>
      <c r="O27" s="747"/>
      <c r="P27" s="747"/>
      <c r="Q27" s="747"/>
      <c r="R27" s="747"/>
      <c r="S27" s="747" t="s">
        <v>477</v>
      </c>
      <c r="T27" s="747"/>
      <c r="U27" s="747"/>
      <c r="V27" s="747"/>
      <c r="W27" s="747"/>
      <c r="X27" s="747"/>
      <c r="Y27" s="747"/>
      <c r="Z27" s="747"/>
      <c r="AA27" s="747"/>
      <c r="AB27" s="747"/>
    </row>
    <row r="28" spans="1:34">
      <c r="A28" s="61"/>
      <c r="B28" s="63"/>
      <c r="C28" s="62"/>
      <c r="D28" s="164"/>
      <c r="E28" s="164"/>
      <c r="F28" s="208"/>
      <c r="G28" s="63"/>
      <c r="H28" s="63"/>
      <c r="I28" s="63"/>
      <c r="J28" s="51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749"/>
      <c r="AB28" s="749"/>
    </row>
    <row r="29" spans="1:34">
      <c r="B29" s="30"/>
      <c r="C29" s="19"/>
      <c r="G29" s="30"/>
      <c r="H29" s="30"/>
      <c r="AA29" s="744"/>
      <c r="AB29" s="744"/>
    </row>
    <row r="30" spans="1:34">
      <c r="A30" s="5"/>
      <c r="B30" s="743"/>
      <c r="C30" s="743"/>
      <c r="AA30" s="744"/>
      <c r="AB30" s="744"/>
    </row>
    <row r="31" spans="1:34">
      <c r="A31" s="5"/>
      <c r="B31" s="743"/>
      <c r="C31" s="743"/>
      <c r="AA31" s="744"/>
      <c r="AB31" s="744"/>
    </row>
    <row r="32" spans="1:34">
      <c r="A32" s="5"/>
      <c r="B32" s="743"/>
      <c r="C32" s="743"/>
      <c r="AA32" s="744"/>
      <c r="AB32" s="744"/>
    </row>
    <row r="33" spans="1:28">
      <c r="A33" s="5"/>
      <c r="B33" s="743"/>
      <c r="C33" s="743"/>
      <c r="AA33" s="744"/>
      <c r="AB33" s="744"/>
    </row>
    <row r="34" spans="1:28">
      <c r="A34" s="5"/>
      <c r="B34" s="743"/>
      <c r="C34" s="743"/>
      <c r="AA34" s="744"/>
      <c r="AB34" s="744"/>
    </row>
    <row r="35" spans="1:28">
      <c r="A35" s="5"/>
      <c r="B35" s="743"/>
      <c r="C35" s="743"/>
      <c r="AA35" s="744"/>
      <c r="AB35" s="744"/>
    </row>
    <row r="36" spans="1:28">
      <c r="A36" s="5"/>
      <c r="B36" s="743"/>
      <c r="C36" s="743"/>
      <c r="AA36" s="744"/>
      <c r="AB36" s="744"/>
    </row>
    <row r="37" spans="1:28">
      <c r="A37" s="5"/>
      <c r="B37" s="743"/>
      <c r="C37" s="743"/>
      <c r="AA37" s="744"/>
      <c r="AB37" s="744"/>
    </row>
    <row r="38" spans="1:28">
      <c r="A38" s="5"/>
      <c r="B38" s="743"/>
      <c r="C38" s="743"/>
      <c r="AA38" s="744"/>
      <c r="AB38" s="744"/>
    </row>
    <row r="39" spans="1:28">
      <c r="A39" s="5"/>
      <c r="B39" s="743"/>
      <c r="C39" s="743"/>
      <c r="AA39" s="744"/>
      <c r="AB39" s="744"/>
    </row>
    <row r="40" spans="1:28">
      <c r="A40" s="5"/>
      <c r="B40" s="743"/>
      <c r="C40" s="743"/>
      <c r="AA40" s="744"/>
      <c r="AB40" s="744"/>
    </row>
    <row r="41" spans="1:28">
      <c r="A41" s="5"/>
      <c r="B41" s="743"/>
      <c r="C41" s="743"/>
      <c r="AA41" s="744"/>
      <c r="AB41" s="744"/>
    </row>
    <row r="42" spans="1:28">
      <c r="A42" s="5"/>
      <c r="B42" s="743"/>
      <c r="C42" s="743"/>
      <c r="AA42" s="744"/>
      <c r="AB42" s="744"/>
    </row>
    <row r="43" spans="1:28">
      <c r="A43" s="5"/>
      <c r="B43" s="743"/>
      <c r="C43" s="743"/>
      <c r="AA43" s="744"/>
      <c r="AB43" s="744"/>
    </row>
    <row r="44" spans="1:28">
      <c r="A44" s="5"/>
      <c r="B44" s="743"/>
      <c r="C44" s="743"/>
      <c r="AA44" s="744"/>
      <c r="AB44" s="744"/>
    </row>
    <row r="45" spans="1:28">
      <c r="A45" s="5"/>
      <c r="B45" s="743"/>
      <c r="C45" s="743"/>
      <c r="AA45" s="744"/>
      <c r="AB45" s="744"/>
    </row>
    <row r="46" spans="1:28">
      <c r="A46" s="5"/>
      <c r="B46" s="743"/>
      <c r="C46" s="743"/>
      <c r="AA46" s="744"/>
      <c r="AB46" s="744"/>
    </row>
  </sheetData>
  <mergeCells count="91">
    <mergeCell ref="AC3:AD3"/>
    <mergeCell ref="A4:AB4"/>
    <mergeCell ref="A5:AB5"/>
    <mergeCell ref="A1:H1"/>
    <mergeCell ref="A2:H2"/>
    <mergeCell ref="C3:D3"/>
    <mergeCell ref="Q3:Z3"/>
    <mergeCell ref="AA3:AB3"/>
    <mergeCell ref="D6:H6"/>
    <mergeCell ref="D7:H7"/>
    <mergeCell ref="D8:H8"/>
    <mergeCell ref="K10:K11"/>
    <mergeCell ref="G10:G11"/>
    <mergeCell ref="H10:H11"/>
    <mergeCell ref="I10:I11"/>
    <mergeCell ref="J10:J11"/>
    <mergeCell ref="D10:D11"/>
    <mergeCell ref="E10:E11"/>
    <mergeCell ref="F10:F11"/>
    <mergeCell ref="AE10:AE11"/>
    <mergeCell ref="AA12:AB12"/>
    <mergeCell ref="N10:N11"/>
    <mergeCell ref="O10:O11"/>
    <mergeCell ref="P10:P11"/>
    <mergeCell ref="Q10:U10"/>
    <mergeCell ref="V10:W10"/>
    <mergeCell ref="X10:Y10"/>
    <mergeCell ref="Z10:Z11"/>
    <mergeCell ref="AA10:AB11"/>
    <mergeCell ref="L10:L11"/>
    <mergeCell ref="M10:M11"/>
    <mergeCell ref="B21:C21"/>
    <mergeCell ref="AA21:AB21"/>
    <mergeCell ref="S19:AB19"/>
    <mergeCell ref="B16:C16"/>
    <mergeCell ref="B17:C17"/>
    <mergeCell ref="AA17:AB17"/>
    <mergeCell ref="B18:C18"/>
    <mergeCell ref="S18:AB18"/>
    <mergeCell ref="A20:H20"/>
    <mergeCell ref="I20:R20"/>
    <mergeCell ref="S20:AB20"/>
    <mergeCell ref="B14:C14"/>
    <mergeCell ref="A10:A11"/>
    <mergeCell ref="B10:C11"/>
    <mergeCell ref="B30:C30"/>
    <mergeCell ref="AA30:AB30"/>
    <mergeCell ref="B22:C22"/>
    <mergeCell ref="B24:C24"/>
    <mergeCell ref="AA24:AB24"/>
    <mergeCell ref="B25:C25"/>
    <mergeCell ref="AA25:AB25"/>
    <mergeCell ref="B26:C26"/>
    <mergeCell ref="AA26:AB26"/>
    <mergeCell ref="A27:H27"/>
    <mergeCell ref="I27:R27"/>
    <mergeCell ref="S27:AB27"/>
    <mergeCell ref="AA28:AB28"/>
    <mergeCell ref="AA29:AB29"/>
    <mergeCell ref="B31:C31"/>
    <mergeCell ref="AA31:AB31"/>
    <mergeCell ref="B32:C32"/>
    <mergeCell ref="AA32:AB32"/>
    <mergeCell ref="B33:C33"/>
    <mergeCell ref="AA33:AB33"/>
    <mergeCell ref="B34:C34"/>
    <mergeCell ref="AA34:AB34"/>
    <mergeCell ref="B35:C35"/>
    <mergeCell ref="AA35:AB35"/>
    <mergeCell ref="B36:C36"/>
    <mergeCell ref="AA36:AB36"/>
    <mergeCell ref="B37:C37"/>
    <mergeCell ref="AA37:AB37"/>
    <mergeCell ref="B38:C38"/>
    <mergeCell ref="AA38:AB38"/>
    <mergeCell ref="B39:C39"/>
    <mergeCell ref="AA39:AB39"/>
    <mergeCell ref="B40:C40"/>
    <mergeCell ref="AA40:AB40"/>
    <mergeCell ref="B41:C41"/>
    <mergeCell ref="AA41:AB41"/>
    <mergeCell ref="B42:C42"/>
    <mergeCell ref="AA42:AB42"/>
    <mergeCell ref="B43:C43"/>
    <mergeCell ref="AA43:AB43"/>
    <mergeCell ref="B46:C46"/>
    <mergeCell ref="AA46:AB46"/>
    <mergeCell ref="B44:C44"/>
    <mergeCell ref="AA44:AB44"/>
    <mergeCell ref="B45:C45"/>
    <mergeCell ref="AA45:AB4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2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2" customWidth="1"/>
    <col min="12" max="12" width="13.125" style="273" customWidth="1"/>
  </cols>
  <sheetData>
    <row r="1" spans="1:15">
      <c r="A1" s="745" t="s">
        <v>78</v>
      </c>
      <c r="B1" s="745"/>
      <c r="C1" s="745"/>
      <c r="D1" s="745"/>
      <c r="E1" s="745"/>
      <c r="F1" s="747" t="s">
        <v>295</v>
      </c>
      <c r="G1" s="747"/>
      <c r="H1" s="747"/>
      <c r="I1" s="747"/>
      <c r="J1" s="747"/>
      <c r="K1" s="747"/>
      <c r="L1" s="270"/>
    </row>
    <row r="2" spans="1:15">
      <c r="A2" s="747" t="s">
        <v>185</v>
      </c>
      <c r="B2" s="747"/>
      <c r="C2" s="747"/>
      <c r="D2" s="747"/>
      <c r="E2" s="747"/>
      <c r="F2" s="818" t="s">
        <v>0</v>
      </c>
      <c r="G2" s="818"/>
      <c r="H2" s="818"/>
      <c r="I2" s="818"/>
      <c r="J2" s="818"/>
      <c r="K2" s="818"/>
      <c r="L2" s="271"/>
    </row>
    <row r="3" spans="1:15" ht="24" customHeight="1"/>
    <row r="4" spans="1:15" ht="18.75">
      <c r="A4" s="791" t="s">
        <v>296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274"/>
    </row>
    <row r="5" spans="1:15" ht="18.75">
      <c r="A5" s="791" t="s">
        <v>341</v>
      </c>
      <c r="B5" s="791"/>
      <c r="C5" s="791"/>
      <c r="D5" s="791"/>
      <c r="E5" s="791"/>
      <c r="F5" s="791"/>
      <c r="G5" s="791"/>
      <c r="H5" s="791"/>
      <c r="I5" s="791"/>
      <c r="J5" s="791"/>
      <c r="K5" s="791"/>
      <c r="L5" s="274"/>
    </row>
    <row r="6" spans="1:15" ht="41.25" customHeight="1">
      <c r="A6" s="835" t="s">
        <v>338</v>
      </c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274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837"/>
      <c r="I10" s="837"/>
      <c r="J10" s="837"/>
      <c r="K10" s="837"/>
      <c r="L10" s="275"/>
    </row>
    <row r="11" spans="1:15" hidden="1">
      <c r="A11" s="9"/>
      <c r="O11">
        <f>1.5*540000</f>
        <v>810000</v>
      </c>
    </row>
    <row r="12" spans="1:15" s="38" customFormat="1" ht="22.5" customHeight="1">
      <c r="A12" s="817" t="s">
        <v>2</v>
      </c>
      <c r="B12" s="838" t="s">
        <v>20</v>
      </c>
      <c r="C12" s="839" t="s">
        <v>21</v>
      </c>
      <c r="D12" s="840" t="s">
        <v>62</v>
      </c>
      <c r="E12" s="842" t="s">
        <v>4</v>
      </c>
      <c r="F12" s="842" t="s">
        <v>298</v>
      </c>
      <c r="G12" s="845" t="s">
        <v>299</v>
      </c>
      <c r="H12" s="842" t="s">
        <v>179</v>
      </c>
      <c r="I12" s="842" t="s">
        <v>15</v>
      </c>
      <c r="J12" s="817" t="s">
        <v>5</v>
      </c>
      <c r="K12" s="817"/>
      <c r="L12" s="277"/>
      <c r="M12" s="843"/>
    </row>
    <row r="13" spans="1:15" s="38" customFormat="1" ht="29.25" customHeight="1">
      <c r="A13" s="817"/>
      <c r="B13" s="838"/>
      <c r="C13" s="839"/>
      <c r="D13" s="841"/>
      <c r="E13" s="842"/>
      <c r="F13" s="842"/>
      <c r="G13" s="846"/>
      <c r="H13" s="842"/>
      <c r="I13" s="842"/>
      <c r="J13" s="817"/>
      <c r="K13" s="817"/>
      <c r="L13" s="277"/>
      <c r="M13" s="843"/>
    </row>
    <row r="14" spans="1:15" s="289" customFormat="1" ht="53.25" customHeight="1">
      <c r="A14" s="278" t="s">
        <v>32</v>
      </c>
      <c r="B14" s="279"/>
      <c r="C14" s="280"/>
      <c r="D14" s="281"/>
      <c r="E14" s="282" t="s">
        <v>316</v>
      </c>
      <c r="F14" s="283"/>
      <c r="G14" s="283">
        <v>250000</v>
      </c>
      <c r="H14" s="284">
        <f>F14*G14</f>
        <v>0</v>
      </c>
      <c r="I14" s="285"/>
      <c r="J14" s="286"/>
      <c r="K14" s="335" t="s">
        <v>339</v>
      </c>
      <c r="L14" s="287"/>
      <c r="M14" s="288"/>
    </row>
    <row r="15" spans="1:15" s="308" customFormat="1" ht="22.5" customHeight="1">
      <c r="A15" s="269"/>
      <c r="B15" s="817" t="s">
        <v>11</v>
      </c>
      <c r="C15" s="817"/>
      <c r="D15" s="269"/>
      <c r="E15" s="303"/>
      <c r="F15" s="304">
        <f>SUM(F14:F14)</f>
        <v>0</v>
      </c>
      <c r="G15" s="304">
        <f>SUM(G14:G14)</f>
        <v>250000</v>
      </c>
      <c r="H15" s="305">
        <f>SUM(H14:H14)</f>
        <v>0</v>
      </c>
      <c r="I15" s="269"/>
      <c r="J15" s="276"/>
      <c r="K15" s="306"/>
      <c r="L15" s="307"/>
    </row>
    <row r="16" spans="1:15" ht="5.25" customHeight="1">
      <c r="A16" s="290"/>
      <c r="B16" s="290"/>
      <c r="C16" s="290"/>
      <c r="D16" s="290"/>
      <c r="E16" s="291"/>
      <c r="F16" s="9"/>
      <c r="G16" s="9"/>
      <c r="H16" s="13"/>
      <c r="I16" s="13"/>
      <c r="J16" s="9"/>
      <c r="K16" s="10"/>
      <c r="L16" s="292"/>
      <c r="M16" s="2"/>
    </row>
    <row r="17" spans="1:13" ht="13.5" customHeight="1">
      <c r="A17" s="290"/>
      <c r="B17" s="293"/>
      <c r="C17" s="290"/>
      <c r="D17" s="290"/>
      <c r="E17" s="291"/>
      <c r="F17" s="9"/>
      <c r="G17" s="9"/>
      <c r="H17" s="13"/>
      <c r="I17" s="13"/>
      <c r="J17" s="9"/>
      <c r="K17" s="10"/>
      <c r="L17" s="292"/>
      <c r="M17" s="2"/>
    </row>
    <row r="18" spans="1:13">
      <c r="A18" s="5"/>
      <c r="B18" s="17" t="s">
        <v>342</v>
      </c>
      <c r="C18" s="17"/>
      <c r="D18" s="17"/>
      <c r="E18" s="157"/>
      <c r="F18" s="17"/>
      <c r="G18" s="17"/>
      <c r="H18" s="70"/>
      <c r="I18" s="4"/>
      <c r="J18" s="8"/>
      <c r="K18" s="157"/>
      <c r="L18" s="294"/>
      <c r="M18" s="268"/>
    </row>
    <row r="19" spans="1:13">
      <c r="A19" s="5"/>
      <c r="B19" s="12" t="s">
        <v>180</v>
      </c>
      <c r="C19" s="12"/>
      <c r="D19" s="12"/>
      <c r="E19" s="157"/>
      <c r="F19" s="8"/>
      <c r="G19" s="8"/>
      <c r="H19" s="4"/>
      <c r="I19" s="4"/>
      <c r="J19" s="8"/>
      <c r="K19" s="157"/>
      <c r="L19" s="294"/>
      <c r="M19" s="5"/>
    </row>
    <row r="20" spans="1:13" s="14" customFormat="1">
      <c r="E20" s="33"/>
      <c r="F20" s="830" t="s">
        <v>340</v>
      </c>
      <c r="G20" s="830"/>
      <c r="H20" s="830"/>
      <c r="I20" s="830"/>
      <c r="J20" s="830"/>
      <c r="K20" s="830"/>
      <c r="L20" s="295"/>
    </row>
    <row r="21" spans="1:13" s="14" customFormat="1">
      <c r="A21" s="812" t="s">
        <v>13</v>
      </c>
      <c r="B21" s="812"/>
      <c r="C21" s="812"/>
      <c r="D21" s="9"/>
      <c r="E21" s="812" t="s">
        <v>182</v>
      </c>
      <c r="F21" s="812"/>
      <c r="G21" s="9"/>
      <c r="H21" s="812" t="s">
        <v>80</v>
      </c>
      <c r="I21" s="812"/>
      <c r="J21" s="812"/>
      <c r="K21" s="812"/>
      <c r="L21" s="296"/>
      <c r="M21" s="158"/>
    </row>
    <row r="22" spans="1:13" s="14" customFormat="1">
      <c r="A22" s="13"/>
      <c r="B22" s="13"/>
      <c r="C22" s="13"/>
      <c r="D22" s="13"/>
      <c r="E22" s="297"/>
      <c r="F22" s="13"/>
      <c r="G22" s="13"/>
      <c r="H22" s="13"/>
      <c r="I22" s="13"/>
      <c r="J22" s="13"/>
      <c r="K22" s="297"/>
      <c r="L22" s="298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299"/>
    </row>
    <row r="24" spans="1:13" s="14" customFormat="1">
      <c r="E24" s="33"/>
      <c r="F24" s="13"/>
      <c r="G24" s="13"/>
      <c r="H24" s="13"/>
      <c r="I24" s="13"/>
      <c r="J24" s="13"/>
      <c r="K24" s="33"/>
      <c r="L24" s="299"/>
    </row>
    <row r="25" spans="1:13" s="14" customFormat="1">
      <c r="E25" s="33"/>
      <c r="F25" s="13"/>
      <c r="G25" s="13"/>
      <c r="H25" s="13"/>
      <c r="I25" s="13"/>
      <c r="J25" s="13"/>
      <c r="K25" s="33"/>
      <c r="L25" s="299"/>
    </row>
    <row r="26" spans="1:13" s="14" customFormat="1">
      <c r="E26" s="33"/>
      <c r="F26" s="13"/>
      <c r="G26" s="13"/>
      <c r="H26" s="13"/>
      <c r="I26" s="13"/>
      <c r="J26" s="13"/>
      <c r="K26" s="33"/>
      <c r="L26" s="299"/>
    </row>
    <row r="27" spans="1:13" s="14" customFormat="1">
      <c r="A27" s="812" t="s">
        <v>297</v>
      </c>
      <c r="B27" s="812"/>
      <c r="C27" s="812"/>
      <c r="D27" s="9"/>
      <c r="E27" s="812" t="s">
        <v>122</v>
      </c>
      <c r="F27" s="812"/>
      <c r="G27" s="9"/>
      <c r="H27" s="812" t="s">
        <v>119</v>
      </c>
      <c r="I27" s="812"/>
      <c r="J27" s="812"/>
      <c r="K27" s="812"/>
      <c r="L27" s="296"/>
      <c r="M27" s="158"/>
    </row>
    <row r="28" spans="1:13">
      <c r="A28" s="844" t="str">
        <f ca="1">CELL("filename")</f>
        <v xml:space="preserve">E:\DULIEUMAYCU\Quynh chung\Quynh Exel\2025\Luong\Tu co\[Luong T09-2025 (TC)..xlsx]CN </v>
      </c>
      <c r="B28" s="844"/>
      <c r="C28" s="844"/>
      <c r="D28" s="844"/>
      <c r="E28" s="844"/>
      <c r="F28" s="844"/>
      <c r="G28" s="6"/>
      <c r="H28" s="300"/>
      <c r="I28" s="300"/>
      <c r="J28" s="300"/>
      <c r="K28" s="301"/>
      <c r="L28" s="302"/>
      <c r="M28" s="6"/>
    </row>
  </sheetData>
  <mergeCells count="28">
    <mergeCell ref="A27:C27"/>
    <mergeCell ref="E27:F27"/>
    <mergeCell ref="H27:K27"/>
    <mergeCell ref="A28:F28"/>
    <mergeCell ref="G12:G13"/>
    <mergeCell ref="J12:K13"/>
    <mergeCell ref="M12:M13"/>
    <mergeCell ref="B15:C15"/>
    <mergeCell ref="F20:K20"/>
    <mergeCell ref="A21:C21"/>
    <mergeCell ref="E21:F21"/>
    <mergeCell ref="H21:K21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A5:K5"/>
    <mergeCell ref="A1:E1"/>
    <mergeCell ref="F1:K1"/>
    <mergeCell ref="A2:E2"/>
    <mergeCell ref="F2:K2"/>
    <mergeCell ref="A4:K4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CN  (2)</vt:lpstr>
      <vt:lpstr>GDQP</vt:lpstr>
      <vt:lpstr>CN  (3)</vt:lpstr>
      <vt:lpstr>ND 111</vt:lpstr>
      <vt:lpstr>Y tế</vt:lpstr>
      <vt:lpstr>CN </vt:lpstr>
      <vt:lpstr>BĐC T05-25</vt:lpstr>
      <vt:lpstr>BHXH</vt:lpstr>
      <vt:lpstr>Thu viec CN</vt:lpstr>
      <vt:lpstr>Moi</vt:lpstr>
      <vt:lpstr>Sheet1</vt:lpstr>
      <vt:lpstr>'BĐC T05-25'!Print_Titles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2025-09-03T02:08:07Z</cp:lastPrinted>
  <dcterms:created xsi:type="dcterms:W3CDTF">2008-02-09T21:26:41Z</dcterms:created>
  <dcterms:modified xsi:type="dcterms:W3CDTF">2025-09-03T02:09:59Z</dcterms:modified>
</cp:coreProperties>
</file>