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B9F3D90E-CD0C-42C2-B7B5-9424D118EE93}" xr6:coauthVersionLast="45" xr6:coauthVersionMax="45" xr10:uidLastSave="{00000000-0000-0000-0000-000000000000}"/>
  <bookViews>
    <workbookView xWindow="-120" yWindow="615" windowWidth="20730" windowHeight="10425" firstSheet="7" activeTab="17" xr2:uid="{00000000-000D-0000-FFFF-FFFF00000000}"/>
  </bookViews>
  <sheets>
    <sheet name="bt1" sheetId="17" r:id="rId1"/>
    <sheet name="bt2" sheetId="16" r:id="rId2"/>
    <sheet name="bt3" sheetId="15" r:id="rId3"/>
    <sheet name="bt4" sheetId="14" r:id="rId4"/>
    <sheet name="bt5" sheetId="12" r:id="rId5"/>
    <sheet name="bt7" sheetId="13" r:id="rId6"/>
    <sheet name="bt8" sheetId="10" r:id="rId7"/>
    <sheet name="bt9" sheetId="11" r:id="rId8"/>
    <sheet name="bt10" sheetId="18" r:id="rId9"/>
    <sheet name="bt11" sheetId="1" r:id="rId10"/>
    <sheet name="bt12" sheetId="2" r:id="rId11"/>
    <sheet name="bt13" sheetId="3" r:id="rId12"/>
    <sheet name="bt14" sheetId="4" r:id="rId13"/>
    <sheet name="bt15" sheetId="5" r:id="rId14"/>
    <sheet name="bt16" sheetId="6" r:id="rId15"/>
    <sheet name="bt17" sheetId="7" r:id="rId16"/>
    <sheet name="bt18" sheetId="8" r:id="rId17"/>
    <sheet name="Sheet19" sheetId="9" r:id="rId18"/>
    <sheet name="Sheet1" sheetId="19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3" l="1"/>
  <c r="E3" i="13"/>
  <c r="D3" i="13"/>
  <c r="C3" i="13"/>
  <c r="B3" i="13"/>
  <c r="F2" i="12"/>
  <c r="E2" i="12"/>
  <c r="D2" i="12"/>
  <c r="C2" i="12"/>
  <c r="E4" i="15" l="1"/>
  <c r="E5" i="16"/>
  <c r="D5" i="16"/>
  <c r="F4" i="6" l="1"/>
  <c r="F5" i="6"/>
  <c r="F8" i="6"/>
  <c r="F9" i="6"/>
  <c r="G4" i="6"/>
  <c r="G5" i="6"/>
  <c r="G6" i="6"/>
  <c r="G7" i="6"/>
  <c r="G8" i="6"/>
  <c r="G9" i="6"/>
  <c r="G10" i="6"/>
  <c r="G11" i="6"/>
  <c r="G3" i="6"/>
  <c r="F3" i="6"/>
  <c r="E4" i="6"/>
  <c r="E5" i="6"/>
  <c r="E6" i="6"/>
  <c r="F6" i="6" s="1"/>
  <c r="E7" i="6"/>
  <c r="F7" i="6" s="1"/>
  <c r="E8" i="6"/>
  <c r="E9" i="6"/>
  <c r="E10" i="6"/>
  <c r="F10" i="6" s="1"/>
  <c r="E11" i="6"/>
  <c r="F11" i="6" s="1"/>
  <c r="E3" i="6"/>
  <c r="C3" i="6"/>
  <c r="C4" i="6"/>
  <c r="C5" i="6"/>
  <c r="B22" i="6" s="1"/>
  <c r="C6" i="6"/>
  <c r="C7" i="6"/>
  <c r="C8" i="6"/>
  <c r="C9" i="6"/>
  <c r="B24" i="6" s="1"/>
  <c r="C10" i="6"/>
  <c r="B23" i="6" s="1"/>
  <c r="C11" i="6"/>
  <c r="G12" i="5"/>
  <c r="G5" i="5"/>
  <c r="G6" i="5"/>
  <c r="G3" i="5"/>
  <c r="F4" i="5"/>
  <c r="G4" i="5" s="1"/>
  <c r="F5" i="5"/>
  <c r="F6" i="5"/>
  <c r="F7" i="5"/>
  <c r="G7" i="5" s="1"/>
  <c r="F8" i="5"/>
  <c r="G8" i="5" s="1"/>
  <c r="F3" i="5"/>
  <c r="D4" i="5"/>
  <c r="D5" i="5"/>
  <c r="D6" i="5"/>
  <c r="D7" i="5"/>
  <c r="D8" i="5"/>
  <c r="D3" i="5"/>
  <c r="G4" i="1"/>
  <c r="G5" i="1"/>
  <c r="G6" i="1"/>
  <c r="G7" i="1"/>
  <c r="G8" i="1"/>
  <c r="G3" i="1"/>
  <c r="E4" i="1"/>
  <c r="E5" i="1"/>
  <c r="E6" i="1"/>
  <c r="E7" i="1"/>
  <c r="E8" i="1"/>
  <c r="E3" i="1"/>
  <c r="D3" i="1"/>
  <c r="D4" i="1"/>
  <c r="D5" i="1"/>
  <c r="D6" i="1"/>
  <c r="D7" i="1"/>
  <c r="D8" i="1"/>
  <c r="G13" i="5" l="1"/>
  <c r="C21" i="6"/>
  <c r="G14" i="5"/>
  <c r="B21" i="6"/>
  <c r="G6" i="13"/>
  <c r="G7" i="13"/>
  <c r="G10" i="13"/>
  <c r="F4" i="13"/>
  <c r="G4" i="13" s="1"/>
  <c r="F5" i="13"/>
  <c r="F6" i="13"/>
  <c r="F7" i="13"/>
  <c r="F8" i="13"/>
  <c r="G8" i="13" s="1"/>
  <c r="F9" i="13"/>
  <c r="F10" i="13"/>
  <c r="E4" i="13"/>
  <c r="E5" i="13"/>
  <c r="G5" i="13" s="1"/>
  <c r="E6" i="13"/>
  <c r="E7" i="13"/>
  <c r="E8" i="13"/>
  <c r="E9" i="13"/>
  <c r="G9" i="13" s="1"/>
  <c r="E10" i="13"/>
  <c r="D4" i="13"/>
  <c r="D5" i="13"/>
  <c r="D6" i="13"/>
  <c r="D7" i="13"/>
  <c r="D8" i="13"/>
  <c r="D9" i="13"/>
  <c r="D10" i="13"/>
  <c r="C4" i="13"/>
  <c r="C5" i="13"/>
  <c r="C6" i="13"/>
  <c r="C7" i="13"/>
  <c r="C8" i="13"/>
  <c r="C9" i="13"/>
  <c r="C10" i="13"/>
  <c r="B4" i="13"/>
  <c r="B5" i="13"/>
  <c r="B6" i="13"/>
  <c r="B7" i="13"/>
  <c r="B8" i="13"/>
  <c r="B9" i="13"/>
  <c r="B10" i="13"/>
  <c r="F3" i="12"/>
  <c r="F4" i="12"/>
  <c r="F5" i="12"/>
  <c r="F6" i="12"/>
  <c r="F7" i="12"/>
  <c r="E3" i="12"/>
  <c r="E4" i="12"/>
  <c r="E5" i="12"/>
  <c r="E6" i="12"/>
  <c r="E7" i="12"/>
  <c r="D3" i="12"/>
  <c r="D4" i="12"/>
  <c r="D5" i="12"/>
  <c r="D6" i="12"/>
  <c r="D7" i="12"/>
  <c r="C3" i="12"/>
  <c r="C4" i="12"/>
  <c r="C5" i="12"/>
  <c r="C6" i="12"/>
  <c r="C7" i="12"/>
  <c r="E9" i="17" l="1"/>
  <c r="G9" i="17" s="1"/>
  <c r="H9" i="17" s="1"/>
  <c r="E8" i="17"/>
  <c r="G8" i="17" s="1"/>
  <c r="H8" i="17" s="1"/>
  <c r="E7" i="17"/>
  <c r="G7" i="17" s="1"/>
  <c r="H7" i="17" s="1"/>
  <c r="E6" i="17"/>
  <c r="G6" i="17" s="1"/>
  <c r="H6" i="17" s="1"/>
  <c r="E5" i="17"/>
  <c r="G5" i="17" s="1"/>
  <c r="H5" i="17" s="1"/>
  <c r="E4" i="17"/>
  <c r="G4" i="17" s="1"/>
  <c r="H4" i="17" s="1"/>
  <c r="F9" i="15"/>
  <c r="G9" i="15" s="1"/>
  <c r="H9" i="15" s="1"/>
  <c r="E9" i="15"/>
  <c r="G8" i="15"/>
  <c r="H8" i="15" s="1"/>
  <c r="F8" i="15"/>
  <c r="E8" i="15"/>
  <c r="F7" i="15"/>
  <c r="G7" i="15" s="1"/>
  <c r="H7" i="15" s="1"/>
  <c r="E7" i="15"/>
  <c r="F6" i="15"/>
  <c r="G6" i="15" s="1"/>
  <c r="H6" i="15" s="1"/>
  <c r="E6" i="15"/>
  <c r="F5" i="15"/>
  <c r="G5" i="15" s="1"/>
  <c r="H5" i="15" s="1"/>
  <c r="E5" i="15"/>
  <c r="G4" i="15"/>
  <c r="H4" i="15" s="1"/>
  <c r="F4" i="15"/>
  <c r="H10" i="14"/>
  <c r="E10" i="14"/>
  <c r="F10" i="14" s="1"/>
  <c r="I10" i="14" s="1"/>
  <c r="H9" i="14"/>
  <c r="E9" i="14"/>
  <c r="F9" i="14" s="1"/>
  <c r="H8" i="14"/>
  <c r="E8" i="14"/>
  <c r="F8" i="14" s="1"/>
  <c r="I8" i="14" s="1"/>
  <c r="H7" i="14"/>
  <c r="E7" i="14"/>
  <c r="F7" i="14" s="1"/>
  <c r="H6" i="14"/>
  <c r="E6" i="14"/>
  <c r="F6" i="14" s="1"/>
  <c r="I6" i="14" s="1"/>
  <c r="H5" i="14"/>
  <c r="E5" i="14"/>
  <c r="F5" i="14" s="1"/>
  <c r="I5" i="14" l="1"/>
  <c r="I7" i="14"/>
  <c r="I9" i="14"/>
  <c r="H8" i="11"/>
  <c r="H5" i="11"/>
  <c r="F7" i="11"/>
  <c r="F8" i="11"/>
  <c r="F5" i="11"/>
  <c r="E6" i="11"/>
  <c r="F6" i="11" s="1"/>
  <c r="E7" i="11"/>
  <c r="I7" i="11" s="1"/>
  <c r="E8" i="11"/>
  <c r="H9" i="11" s="1"/>
  <c r="E9" i="11"/>
  <c r="F9" i="11" s="1"/>
  <c r="E10" i="11"/>
  <c r="F10" i="11" s="1"/>
  <c r="E5" i="11"/>
  <c r="I5" i="11" s="1"/>
  <c r="G10" i="11" l="1"/>
  <c r="G6" i="11"/>
  <c r="I10" i="11"/>
  <c r="I6" i="11"/>
  <c r="H7" i="11"/>
  <c r="G8" i="11"/>
  <c r="H10" i="11"/>
  <c r="H6" i="11"/>
  <c r="I8" i="11"/>
  <c r="G9" i="11"/>
  <c r="I9" i="11"/>
  <c r="G5" i="11"/>
  <c r="G7" i="11"/>
  <c r="H15" i="9"/>
  <c r="G15" i="9"/>
  <c r="H14" i="9"/>
  <c r="G14" i="9"/>
</calcChain>
</file>

<file path=xl/sharedStrings.xml><?xml version="1.0" encoding="utf-8"?>
<sst xmlns="http://schemas.openxmlformats.org/spreadsheetml/2006/main" count="465" uniqueCount="298">
  <si>
    <t>Bảng lương công nhân</t>
  </si>
  <si>
    <t>STT</t>
  </si>
  <si>
    <t>HỌ TÊN</t>
  </si>
  <si>
    <t>MÃ ĐƠN VỊ</t>
  </si>
  <si>
    <t>TÊN ĐƠN VỊ</t>
  </si>
  <si>
    <t>TRỢ CẤP ĐỘC HẠI</t>
  </si>
  <si>
    <t>HỆ SỐ LƯƠNG</t>
  </si>
  <si>
    <t>LƯƠNG</t>
  </si>
  <si>
    <t>TỔNG LƯƠNG</t>
  </si>
  <si>
    <t>Lê Anh</t>
  </si>
  <si>
    <t>PX1</t>
  </si>
  <si>
    <t>Lê Minh</t>
  </si>
  <si>
    <t>PX2</t>
  </si>
  <si>
    <t>Trần Nam</t>
  </si>
  <si>
    <t>PX3</t>
  </si>
  <si>
    <t>Võ Thanh</t>
  </si>
  <si>
    <t>PX4</t>
  </si>
  <si>
    <t>Đinh tuấn</t>
  </si>
  <si>
    <t>Vũ Bảo</t>
  </si>
  <si>
    <t>MỨC LƯƠNG</t>
  </si>
  <si>
    <t>XƯỞNG 1</t>
  </si>
  <si>
    <t>XƯỞNG 2</t>
  </si>
  <si>
    <t>XƯỞNG 3</t>
  </si>
  <si>
    <t>XƯỞNG HÓA</t>
  </si>
  <si>
    <t>BẢNG CHI TIẾT NHẬP HÀNG HÓA</t>
  </si>
  <si>
    <t>Lô Hàng</t>
  </si>
  <si>
    <t>TÊN HÀNG</t>
  </si>
  <si>
    <t>SỐ LƯỢNG</t>
  </si>
  <si>
    <t>NGÀY NHẬP</t>
  </si>
  <si>
    <t>ĐƠN GIÁ</t>
  </si>
  <si>
    <t>THÀNH TIỀN</t>
  </si>
  <si>
    <t>1501-010-L100</t>
  </si>
  <si>
    <t>1501-011-S500</t>
  </si>
  <si>
    <t>2001-22-L100</t>
  </si>
  <si>
    <t>2001-23-S500</t>
  </si>
  <si>
    <t>2001-49-L300</t>
  </si>
  <si>
    <t>2001-50-L500</t>
  </si>
  <si>
    <t>DANH MỤC HÀNG HÓA</t>
  </si>
  <si>
    <t>MODEL</t>
  </si>
  <si>
    <t>L100</t>
  </si>
  <si>
    <t>S500</t>
  </si>
  <si>
    <t>L300</t>
  </si>
  <si>
    <t>L500</t>
  </si>
  <si>
    <t>LAPTOP SONY</t>
  </si>
  <si>
    <t>DELL</t>
  </si>
  <si>
    <t>IBM</t>
  </si>
  <si>
    <t>MAC</t>
  </si>
  <si>
    <t>BẢNG LƯƠNG NHÂN VIÊN</t>
  </si>
  <si>
    <t>ĐƠN VỊ</t>
  </si>
  <si>
    <t>LOẠI KHEN THƯỞNG</t>
  </si>
  <si>
    <t>TIỀN KHEN THƯỞNG</t>
  </si>
  <si>
    <t>TIỀN LƯƠNG</t>
  </si>
  <si>
    <t>ANH</t>
  </si>
  <si>
    <t>KT</t>
  </si>
  <si>
    <t>A</t>
  </si>
  <si>
    <t>MINH</t>
  </si>
  <si>
    <t>B</t>
  </si>
  <si>
    <t>NAM</t>
  </si>
  <si>
    <t>SX</t>
  </si>
  <si>
    <t>THANH</t>
  </si>
  <si>
    <t>C</t>
  </si>
  <si>
    <t>TUẤN</t>
  </si>
  <si>
    <t>VŨ</t>
  </si>
  <si>
    <t>THỐNG KÊ</t>
  </si>
  <si>
    <t>SỐ NV</t>
  </si>
  <si>
    <t>TỔNG TIỀN KT</t>
  </si>
  <si>
    <t>BẢNG KÊ BÁN HÀNG HÓA</t>
  </si>
  <si>
    <t>Mặt hàng</t>
  </si>
  <si>
    <t>NGÀY BÁN</t>
  </si>
  <si>
    <t>SỐ TIỀN</t>
  </si>
  <si>
    <t>NHÀ SX</t>
  </si>
  <si>
    <t>K900i</t>
  </si>
  <si>
    <t>ERICSSON</t>
  </si>
  <si>
    <t>S100</t>
  </si>
  <si>
    <t>SAMSUNG</t>
  </si>
  <si>
    <t>N6150</t>
  </si>
  <si>
    <t>NOKIA</t>
  </si>
  <si>
    <t>N7250</t>
  </si>
  <si>
    <t>Adapter</t>
  </si>
  <si>
    <t>THỐNG KÊ BÁN HÀNG</t>
  </si>
  <si>
    <t>TỔNG SỐ LƯỢNG BÁN CỦA K900i</t>
  </si>
  <si>
    <t>Tính tổng số lượng theo nhà sản xuất</t>
  </si>
  <si>
    <t>KẾT QUẢ TUYỂN SINH</t>
  </si>
  <si>
    <t>SỐ BÁO DANH</t>
  </si>
  <si>
    <t>KHỐI THI</t>
  </si>
  <si>
    <t>ĐIỂM THI</t>
  </si>
  <si>
    <t>ĐIỂM ƯU TIÊN</t>
  </si>
  <si>
    <t>KẾT QUẢ</t>
  </si>
  <si>
    <t>A-205-1</t>
  </si>
  <si>
    <t>A-150-2</t>
  </si>
  <si>
    <t>B-270-3</t>
  </si>
  <si>
    <t>B-333-1</t>
  </si>
  <si>
    <t>B-909-2</t>
  </si>
  <si>
    <t>C-805-1</t>
  </si>
  <si>
    <t>DANH MỤC KHỐI THI</t>
  </si>
  <si>
    <t>MÃ KHỐI 
THI</t>
  </si>
  <si>
    <t>ĐIỂM CHUẨN</t>
  </si>
  <si>
    <t>THỐNG KÊ KẾT QUẢ</t>
  </si>
  <si>
    <t>KHỐI A</t>
  </si>
  <si>
    <t>ĐIỂM CAO NHẤT</t>
  </si>
  <si>
    <t>KHỐI B</t>
  </si>
  <si>
    <t>TỔNG SỐ ĐẬU</t>
  </si>
  <si>
    <t>KHỐI C</t>
  </si>
  <si>
    <t>TỔNG SỐ RỚT</t>
  </si>
  <si>
    <t>BÁO CÁO BÁN HÀNG TRẢ GÓP</t>
  </si>
  <si>
    <t>MÃ SỐ</t>
  </si>
  <si>
    <t>TỀN HÀNG</t>
  </si>
  <si>
    <t>GÓP MỖI THÁNG</t>
  </si>
  <si>
    <t>TL29</t>
  </si>
  <si>
    <t>MT112</t>
  </si>
  <si>
    <t>ML29</t>
  </si>
  <si>
    <t>TV16</t>
  </si>
  <si>
    <t>MT212</t>
  </si>
  <si>
    <t>ML16</t>
  </si>
  <si>
    <t>TV23</t>
  </si>
  <si>
    <t>TL16</t>
  </si>
  <si>
    <t>BẢNG ĐƠN GIÁ</t>
  </si>
  <si>
    <t>MÃ HÀNG</t>
  </si>
  <si>
    <t>LOẠI 1</t>
  </si>
  <si>
    <t>LOẠI 2</t>
  </si>
  <si>
    <t>MT</t>
  </si>
  <si>
    <t>MÁY TÍNH</t>
  </si>
  <si>
    <t>ML</t>
  </si>
  <si>
    <t>MÁY LẠNH</t>
  </si>
  <si>
    <t>TL</t>
  </si>
  <si>
    <t>TỦ LẠNH</t>
  </si>
  <si>
    <t>TV</t>
  </si>
  <si>
    <t>TI VI</t>
  </si>
  <si>
    <t>SỐ HÀNG ĐÃ BÁN</t>
  </si>
  <si>
    <t>TỔNG GÓP MỖI THÁNG</t>
  </si>
  <si>
    <t>BẢNG KÊ XUẤT BÁN</t>
  </si>
  <si>
    <t>SẢN PHẨM</t>
  </si>
  <si>
    <t>NHÀ SẢN XUẤT</t>
  </si>
  <si>
    <t>THÁNG</t>
  </si>
  <si>
    <t>SL BÁN</t>
  </si>
  <si>
    <t>TT BÁN</t>
  </si>
  <si>
    <t>MÀN HÌNH 17"</t>
  </si>
  <si>
    <t>VIEWSONIC</t>
  </si>
  <si>
    <t>MÀN HÌNH 14"</t>
  </si>
  <si>
    <t>LG</t>
  </si>
  <si>
    <t>MÀN HÌNH 15"</t>
  </si>
  <si>
    <t>BẢNG TỔNG HỢP</t>
  </si>
  <si>
    <t>TỔNG SL BÁN</t>
  </si>
  <si>
    <t>TỔNG TT BÁN</t>
  </si>
  <si>
    <t>MÀN HÌNH 15</t>
  </si>
  <si>
    <t>QUI CÁNH</t>
  </si>
  <si>
    <t>15"</t>
  </si>
  <si>
    <t>17"</t>
  </si>
  <si>
    <t>TÌNH HÌNH BÁN HÀNG</t>
  </si>
  <si>
    <t>KHÁCH HÀNG</t>
  </si>
  <si>
    <t xml:space="preserve"> KHUYẾN MÃI</t>
  </si>
  <si>
    <t>TVS</t>
  </si>
  <si>
    <t>NGUYỄN VĂN BÌNH</t>
  </si>
  <si>
    <t>MGL</t>
  </si>
  <si>
    <t>TRẦN THỊ MAI</t>
  </si>
  <si>
    <t>TVL</t>
  </si>
  <si>
    <t>BÙI VĂN TÍ</t>
  </si>
  <si>
    <t>MLL</t>
  </si>
  <si>
    <t>HUỲNH TẤN ĐẠT</t>
  </si>
  <si>
    <t>TLS</t>
  </si>
  <si>
    <t>MAI VĂN KHÔI</t>
  </si>
  <si>
    <t>TLL</t>
  </si>
  <si>
    <t>NGÔ THỊ MIÊN</t>
  </si>
  <si>
    <t>MGS</t>
  </si>
  <si>
    <t>TRẦN BÍCH NGỌC</t>
  </si>
  <si>
    <t>HỒ TIẾN HÙNG</t>
  </si>
  <si>
    <t>BÁN ĐƠN GIÁ</t>
  </si>
  <si>
    <t>BẢNG THỐNG KÊ</t>
  </si>
  <si>
    <t>2 KÝ TỰ ĐẦU</t>
  </si>
  <si>
    <t>SỈ(S)</t>
  </si>
  <si>
    <t>LẺ(L)</t>
  </si>
  <si>
    <t>MÁY GIẶT</t>
  </si>
  <si>
    <t>TV PROJECTION 61AA19</t>
  </si>
  <si>
    <t>TỬ LẠNH</t>
  </si>
  <si>
    <t>TỦ LẠNH GR-É80DB</t>
  </si>
  <si>
    <t>MG</t>
  </si>
  <si>
    <t>stt</t>
  </si>
  <si>
    <t>họ tên</t>
  </si>
  <si>
    <t>chức vụ</t>
  </si>
  <si>
    <t>số con</t>
  </si>
  <si>
    <t>loại khen thưởng</t>
  </si>
  <si>
    <t>hệ số lương</t>
  </si>
  <si>
    <t>phụ cấp</t>
  </si>
  <si>
    <t>hệ số chức vụ</t>
  </si>
  <si>
    <t xml:space="preserve">tiền khen thưởng </t>
  </si>
  <si>
    <t>tiền lương</t>
  </si>
  <si>
    <t>mức lương cơ bản</t>
  </si>
  <si>
    <t>Anh</t>
  </si>
  <si>
    <t>Minh</t>
  </si>
  <si>
    <t>Nam</t>
  </si>
  <si>
    <t>Thanh</t>
  </si>
  <si>
    <t xml:space="preserve">Tuấn </t>
  </si>
  <si>
    <t>Vũ</t>
  </si>
  <si>
    <t>TP</t>
  </si>
  <si>
    <t>PP</t>
  </si>
  <si>
    <t>NV</t>
  </si>
  <si>
    <t>kết quả học tập</t>
  </si>
  <si>
    <t>Năm 2008-2009</t>
  </si>
  <si>
    <t>Họ tên</t>
  </si>
  <si>
    <t xml:space="preserve">Điểm </t>
  </si>
  <si>
    <t>Kết quả</t>
  </si>
  <si>
    <t>Loại khen
 thưởng</t>
  </si>
  <si>
    <t>Học sinh 
xuất sắc</t>
  </si>
  <si>
    <t>HK1</t>
  </si>
  <si>
    <t>HK2</t>
  </si>
  <si>
    <t>TB</t>
  </si>
  <si>
    <t>Thi lại</t>
  </si>
  <si>
    <t>xếp loại</t>
  </si>
  <si>
    <t>Đinh Tuấn</t>
  </si>
  <si>
    <t>Mã xuất sứ</t>
  </si>
  <si>
    <t>Ngày nhâp</t>
  </si>
  <si>
    <t>Model</t>
  </si>
  <si>
    <t>Số Serial</t>
  </si>
  <si>
    <t>IND-1501-010-L100</t>
  </si>
  <si>
    <t>IND-1501-010-S500</t>
  </si>
  <si>
    <t>TLD-2001-22-L100</t>
  </si>
  <si>
    <t>TLD-2001-23-S500</t>
  </si>
  <si>
    <t>TLD-2001-49-L300</t>
  </si>
  <si>
    <t>TLD-2001-50-L500</t>
  </si>
  <si>
    <t xml:space="preserve">Bảng theo dõi hàng hóa </t>
  </si>
  <si>
    <t xml:space="preserve">Lô hàng </t>
  </si>
  <si>
    <t xml:space="preserve">Mã hàng </t>
  </si>
  <si>
    <t>Mã NSX</t>
  </si>
  <si>
    <t>Tháng Năm</t>
  </si>
  <si>
    <t>Đơn giá (USD)</t>
  </si>
  <si>
    <t>Số lượng</t>
  </si>
  <si>
    <t xml:space="preserve">Thành tiền </t>
  </si>
  <si>
    <t>TV09SN200100</t>
  </si>
  <si>
    <t>ML08PN50010</t>
  </si>
  <si>
    <t>TL07TB35035</t>
  </si>
  <si>
    <t>MG09SY400500</t>
  </si>
  <si>
    <t>TV07PN250200</t>
  </si>
  <si>
    <t>VD08SN120150</t>
  </si>
  <si>
    <t>TL08EL50010</t>
  </si>
  <si>
    <t>TL07SP30050</t>
  </si>
  <si>
    <t>Bảng kê mua bán hàng hóa</t>
  </si>
  <si>
    <t>Tháng1/2009</t>
  </si>
  <si>
    <t>Mua</t>
  </si>
  <si>
    <t xml:space="preserve">Bán </t>
  </si>
  <si>
    <t>Tiền chênh lệch</t>
  </si>
  <si>
    <t>Đơn giá USD</t>
  </si>
  <si>
    <t>Tiền USD</t>
  </si>
  <si>
    <t>Đơn giá VND</t>
  </si>
  <si>
    <t>Tiền VND</t>
  </si>
  <si>
    <t>K600i</t>
  </si>
  <si>
    <t>Theo dõi bảo hành sản phẩm của khách hàng</t>
  </si>
  <si>
    <t xml:space="preserve">Sản phẩm </t>
  </si>
  <si>
    <t xml:space="preserve">Ngày mua </t>
  </si>
  <si>
    <t>Số năm bảo hành</t>
  </si>
  <si>
    <t>Ngày hết hạn</t>
  </si>
  <si>
    <t xml:space="preserve">Thời gian bảo dưỡng </t>
  </si>
  <si>
    <t>Số ngày</t>
  </si>
  <si>
    <t>Đợt 1</t>
  </si>
  <si>
    <t xml:space="preserve">Đợt 2 </t>
  </si>
  <si>
    <t xml:space="preserve">Điện thoại </t>
  </si>
  <si>
    <t xml:space="preserve">Bếp ga </t>
  </si>
  <si>
    <t>Tủ lạnh</t>
  </si>
  <si>
    <t>Bình điện</t>
  </si>
  <si>
    <t>Bàn ủi</t>
  </si>
  <si>
    <t xml:space="preserve">Máy giặt </t>
  </si>
  <si>
    <t xml:space="preserve">Bảng chi tiết thanh toán thuê phòng </t>
  </si>
  <si>
    <t xml:space="preserve">Tên khách </t>
  </si>
  <si>
    <t xml:space="preserve">Số ngày thuê </t>
  </si>
  <si>
    <t xml:space="preserve">Qui đổi </t>
  </si>
  <si>
    <t xml:space="preserve">Số tiền thuê </t>
  </si>
  <si>
    <t>Tổng tiền</t>
  </si>
  <si>
    <t xml:space="preserve">Số tuần </t>
  </si>
  <si>
    <t xml:space="preserve">Số ngày </t>
  </si>
  <si>
    <t xml:space="preserve">Tuần </t>
  </si>
  <si>
    <t xml:space="preserve">Ngày </t>
  </si>
  <si>
    <t>Bảng theo dõi tiền phạt cước phí thuê kho</t>
  </si>
  <si>
    <t>Tháng 1/2009</t>
  </si>
  <si>
    <t xml:space="preserve">Lô Hàng </t>
  </si>
  <si>
    <t>Ngày nhập</t>
  </si>
  <si>
    <t xml:space="preserve">Số ngày xuất kho </t>
  </si>
  <si>
    <t xml:space="preserve">Ngày hết hạn </t>
  </si>
  <si>
    <t xml:space="preserve">Ngày xuất </t>
  </si>
  <si>
    <t xml:space="preserve">Số ngày vượt </t>
  </si>
  <si>
    <t>Số tiền thuê kho</t>
  </si>
  <si>
    <t>N0109-1</t>
  </si>
  <si>
    <t>N0109-2</t>
  </si>
  <si>
    <t>N0109-3</t>
  </si>
  <si>
    <t>N0109-4</t>
  </si>
  <si>
    <t>N0109-5</t>
  </si>
  <si>
    <t>N0109-6</t>
  </si>
  <si>
    <t xml:space="preserve">Báo cáo kết quả học tập </t>
  </si>
  <si>
    <t>Năm học 2008-2009</t>
  </si>
  <si>
    <t xml:space="preserve">HỌ VÀ TÊN </t>
  </si>
  <si>
    <t>ĐIỂM TB</t>
  </si>
  <si>
    <t>KHEN THƯỞNG</t>
  </si>
  <si>
    <t xml:space="preserve">SỐ TIỀN </t>
  </si>
  <si>
    <t>HỌC SINH</t>
  </si>
  <si>
    <t xml:space="preserve">LOẠI </t>
  </si>
  <si>
    <t xml:space="preserve">XUẤT SẮC </t>
  </si>
  <si>
    <t xml:space="preserve">Lê Anh </t>
  </si>
  <si>
    <t xml:space="preserve">Đinh Tuấn </t>
  </si>
  <si>
    <t xml:space="preserve">Bảng thống kê </t>
  </si>
  <si>
    <t>tháng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</si>
</sst>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đồng&quot;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 s New Roman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14" fontId="7" fillId="0" borderId="2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4" fillId="0" borderId="2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5" fillId="0" borderId="0" xfId="0" applyFont="1"/>
    <xf numFmtId="0" fontId="5" fillId="0" borderId="2" xfId="0" applyFont="1" applyBorder="1"/>
    <xf numFmtId="0" fontId="5" fillId="0" borderId="0" xfId="0" applyFont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1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14" fontId="5" fillId="0" borderId="2" xfId="0" applyNumberFormat="1" applyFont="1" applyBorder="1" applyAlignment="1">
      <alignment vertical="center"/>
    </xf>
    <xf numFmtId="0" fontId="5" fillId="0" borderId="0" xfId="0" applyFont="1" applyBorder="1"/>
    <xf numFmtId="0" fontId="8" fillId="0" borderId="0" xfId="0" applyFont="1"/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164" fontId="8" fillId="0" borderId="0" xfId="0" applyNumberFormat="1" applyFont="1"/>
    <xf numFmtId="0" fontId="0" fillId="0" borderId="2" xfId="0" applyBorder="1"/>
    <xf numFmtId="0" fontId="11" fillId="2" borderId="2" xfId="0" applyFont="1" applyFill="1" applyBorder="1"/>
    <xf numFmtId="0" fontId="11" fillId="0" borderId="2" xfId="0" applyFont="1" applyBorder="1"/>
    <xf numFmtId="0" fontId="10" fillId="3" borderId="2" xfId="0" applyFont="1" applyFill="1" applyBorder="1"/>
    <xf numFmtId="0" fontId="11" fillId="4" borderId="2" xfId="0" applyFont="1" applyFill="1" applyBorder="1"/>
    <xf numFmtId="0" fontId="13" fillId="2" borderId="2" xfId="0" applyFont="1" applyFill="1" applyBorder="1"/>
    <xf numFmtId="0" fontId="13" fillId="2" borderId="2" xfId="0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right"/>
    </xf>
    <xf numFmtId="3" fontId="0" fillId="0" borderId="2" xfId="0" applyNumberFormat="1" applyBorder="1" applyAlignment="1">
      <alignment horizontal="right"/>
    </xf>
    <xf numFmtId="0" fontId="0" fillId="0" borderId="2" xfId="0" applyNumberFormat="1" applyBorder="1"/>
    <xf numFmtId="2" fontId="0" fillId="0" borderId="2" xfId="0" applyNumberFormat="1" applyBorder="1"/>
    <xf numFmtId="3" fontId="0" fillId="0" borderId="2" xfId="0" applyNumberFormat="1" applyBorder="1"/>
    <xf numFmtId="0" fontId="9" fillId="5" borderId="0" xfId="0" applyFont="1" applyFill="1" applyBorder="1" applyAlignment="1">
      <alignment vertical="center"/>
    </xf>
    <xf numFmtId="0" fontId="14" fillId="2" borderId="2" xfId="0" applyFont="1" applyFill="1" applyBorder="1" applyAlignment="1">
      <alignment vertical="center"/>
    </xf>
    <xf numFmtId="0" fontId="14" fillId="2" borderId="2" xfId="0" applyFont="1" applyFill="1" applyBorder="1" applyAlignment="1">
      <alignment horizontal="center" vertical="center"/>
    </xf>
    <xf numFmtId="14" fontId="0" fillId="0" borderId="2" xfId="0" applyNumberFormat="1" applyBorder="1"/>
    <xf numFmtId="0" fontId="0" fillId="0" borderId="4" xfId="0" applyBorder="1"/>
    <xf numFmtId="14" fontId="1" fillId="5" borderId="2" xfId="0" applyNumberFormat="1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0" fontId="1" fillId="0" borderId="0" xfId="0" applyFont="1"/>
    <xf numFmtId="0" fontId="0" fillId="0" borderId="0" xfId="0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5" fillId="0" borderId="2" xfId="0" applyFont="1" applyBorder="1"/>
    <xf numFmtId="0" fontId="14" fillId="2" borderId="2" xfId="0" applyFont="1" applyFill="1" applyBorder="1"/>
    <xf numFmtId="0" fontId="13" fillId="2" borderId="17" xfId="0" applyFont="1" applyFill="1" applyBorder="1" applyAlignment="1">
      <alignment vertical="center"/>
    </xf>
    <xf numFmtId="0" fontId="0" fillId="0" borderId="17" xfId="0" applyBorder="1"/>
    <xf numFmtId="3" fontId="0" fillId="0" borderId="17" xfId="0" applyNumberFormat="1" applyBorder="1"/>
    <xf numFmtId="0" fontId="15" fillId="2" borderId="1" xfId="0" applyFont="1" applyFill="1" applyBorder="1" applyAlignment="1">
      <alignment horizontal="center"/>
    </xf>
    <xf numFmtId="0" fontId="15" fillId="2" borderId="12" xfId="0" applyFont="1" applyFill="1" applyBorder="1" applyAlignment="1">
      <alignment horizontal="center"/>
    </xf>
    <xf numFmtId="0" fontId="15" fillId="2" borderId="4" xfId="0" applyFont="1" applyFill="1" applyBorder="1" applyAlignment="1">
      <alignment horizontal="center"/>
    </xf>
    <xf numFmtId="0" fontId="15" fillId="2" borderId="6" xfId="0" applyFont="1" applyFill="1" applyBorder="1" applyAlignment="1">
      <alignment horizontal="center"/>
    </xf>
    <xf numFmtId="0" fontId="15" fillId="2" borderId="5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11" fillId="2" borderId="7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4" fillId="2" borderId="7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3" fillId="2" borderId="7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13" fillId="2" borderId="16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mp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mp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tmp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tmp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tmp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tmp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tmp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tmp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tmp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tmp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66675</xdr:rowOff>
    </xdr:from>
    <xdr:to>
      <xdr:col>7</xdr:col>
      <xdr:colOff>810520</xdr:colOff>
      <xdr:row>19</xdr:row>
      <xdr:rowOff>104993</xdr:rowOff>
    </xdr:to>
    <xdr:pic>
      <xdr:nvPicPr>
        <xdr:cNvPr id="2" name="Picture 1" descr="Screen Clippi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62175"/>
          <a:ext cx="6411220" cy="1562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7</xdr:col>
      <xdr:colOff>181750</xdr:colOff>
      <xdr:row>18</xdr:row>
      <xdr:rowOff>162160</xdr:rowOff>
    </xdr:to>
    <xdr:pic>
      <xdr:nvPicPr>
        <xdr:cNvPr id="2" name="Picture 1" descr="Screen Clippi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"/>
          <a:ext cx="5553850" cy="16861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114300</xdr:rowOff>
    </xdr:from>
    <xdr:to>
      <xdr:col>8</xdr:col>
      <xdr:colOff>324871</xdr:colOff>
      <xdr:row>30</xdr:row>
      <xdr:rowOff>76726</xdr:rowOff>
    </xdr:to>
    <xdr:pic>
      <xdr:nvPicPr>
        <xdr:cNvPr id="2" name="Picture 1" descr="Screen Clippi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09800"/>
          <a:ext cx="7316221" cy="37724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133350</xdr:rowOff>
    </xdr:from>
    <xdr:to>
      <xdr:col>7</xdr:col>
      <xdr:colOff>448458</xdr:colOff>
      <xdr:row>18</xdr:row>
      <xdr:rowOff>171641</xdr:rowOff>
    </xdr:to>
    <xdr:pic>
      <xdr:nvPicPr>
        <xdr:cNvPr id="2" name="Picture 1" descr="Screen Clippi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28850"/>
          <a:ext cx="5611008" cy="137179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152400</xdr:rowOff>
    </xdr:from>
    <xdr:to>
      <xdr:col>12</xdr:col>
      <xdr:colOff>448992</xdr:colOff>
      <xdr:row>21</xdr:row>
      <xdr:rowOff>324</xdr:rowOff>
    </xdr:to>
    <xdr:pic>
      <xdr:nvPicPr>
        <xdr:cNvPr id="2" name="Picture 1" descr="Screen Clippi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76400"/>
          <a:ext cx="9440592" cy="23244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47625</xdr:rowOff>
    </xdr:from>
    <xdr:to>
      <xdr:col>11</xdr:col>
      <xdr:colOff>305938</xdr:colOff>
      <xdr:row>24</xdr:row>
      <xdr:rowOff>86023</xdr:rowOff>
    </xdr:to>
    <xdr:pic>
      <xdr:nvPicPr>
        <xdr:cNvPr id="2" name="Picture 1" descr="Screen Clippi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24125"/>
          <a:ext cx="8154538" cy="213389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38100</xdr:rowOff>
    </xdr:from>
    <xdr:to>
      <xdr:col>10</xdr:col>
      <xdr:colOff>86989</xdr:colOff>
      <xdr:row>17</xdr:row>
      <xdr:rowOff>162147</xdr:rowOff>
    </xdr:to>
    <xdr:pic>
      <xdr:nvPicPr>
        <xdr:cNvPr id="2" name="Picture 1" descr="Screen Clippi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33600"/>
          <a:ext cx="9059539" cy="159089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85725</xdr:rowOff>
    </xdr:from>
    <xdr:to>
      <xdr:col>14</xdr:col>
      <xdr:colOff>410874</xdr:colOff>
      <xdr:row>28</xdr:row>
      <xdr:rowOff>171914</xdr:rowOff>
    </xdr:to>
    <xdr:pic>
      <xdr:nvPicPr>
        <xdr:cNvPr id="2" name="Picture 1" descr="Screen Clippi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81225"/>
          <a:ext cx="9307224" cy="332468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</xdr:row>
      <xdr:rowOff>19050</xdr:rowOff>
    </xdr:from>
    <xdr:to>
      <xdr:col>7</xdr:col>
      <xdr:colOff>1106251</xdr:colOff>
      <xdr:row>24</xdr:row>
      <xdr:rowOff>38342</xdr:rowOff>
    </xdr:to>
    <xdr:pic>
      <xdr:nvPicPr>
        <xdr:cNvPr id="2" name="Picture 1" descr="Screen Clippi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14850"/>
          <a:ext cx="9678751" cy="173379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161924</xdr:rowOff>
    </xdr:from>
    <xdr:to>
      <xdr:col>8</xdr:col>
      <xdr:colOff>390525</xdr:colOff>
      <xdr:row>26</xdr:row>
      <xdr:rowOff>154703</xdr:rowOff>
    </xdr:to>
    <xdr:pic>
      <xdr:nvPicPr>
        <xdr:cNvPr id="2" name="Picture 1" descr="Screen Clippi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19549"/>
          <a:ext cx="8963025" cy="227877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104775</xdr:rowOff>
    </xdr:from>
    <xdr:to>
      <xdr:col>10</xdr:col>
      <xdr:colOff>67933</xdr:colOff>
      <xdr:row>32</xdr:row>
      <xdr:rowOff>95727</xdr:rowOff>
    </xdr:to>
    <xdr:pic>
      <xdr:nvPicPr>
        <xdr:cNvPr id="2" name="Picture 1" descr="Screen Clippi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43450"/>
          <a:ext cx="9011908" cy="341995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114300</xdr:rowOff>
    </xdr:from>
    <xdr:to>
      <xdr:col>7</xdr:col>
      <xdr:colOff>125101</xdr:colOff>
      <xdr:row>42</xdr:row>
      <xdr:rowOff>463</xdr:rowOff>
    </xdr:to>
    <xdr:pic>
      <xdr:nvPicPr>
        <xdr:cNvPr id="2" name="Picture 1" descr="Screen Clippi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848475"/>
          <a:ext cx="9145276" cy="33151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opLeftCell="A7" workbookViewId="0">
      <selection activeCell="E7" sqref="E7"/>
    </sheetView>
  </sheetViews>
  <sheetFormatPr defaultRowHeight="15"/>
  <cols>
    <col min="3" max="3" width="10.7109375" customWidth="1"/>
    <col min="4" max="4" width="15.7109375" customWidth="1"/>
    <col min="5" max="5" width="14.5703125" customWidth="1"/>
    <col min="6" max="6" width="10.85546875" customWidth="1"/>
    <col min="7" max="7" width="13.85546875" customWidth="1"/>
    <col min="8" max="8" width="15.7109375" customWidth="1"/>
  </cols>
  <sheetData>
    <row r="1" spans="1:8">
      <c r="A1" s="76" t="s">
        <v>270</v>
      </c>
      <c r="B1" s="76"/>
      <c r="C1" s="76"/>
      <c r="D1" s="76"/>
      <c r="E1" s="76"/>
      <c r="F1" s="76"/>
      <c r="G1" s="76"/>
      <c r="H1" s="77"/>
    </row>
    <row r="2" spans="1:8">
      <c r="A2" s="78" t="s">
        <v>271</v>
      </c>
      <c r="B2" s="79"/>
      <c r="C2" s="79"/>
      <c r="D2" s="79"/>
      <c r="E2" s="79"/>
      <c r="F2" s="79"/>
      <c r="G2" s="79"/>
      <c r="H2" s="80"/>
    </row>
    <row r="3" spans="1:8">
      <c r="A3" s="72" t="s">
        <v>1</v>
      </c>
      <c r="B3" s="72" t="s">
        <v>272</v>
      </c>
      <c r="C3" s="72" t="s">
        <v>273</v>
      </c>
      <c r="D3" s="62" t="s">
        <v>274</v>
      </c>
      <c r="E3" s="72" t="s">
        <v>275</v>
      </c>
      <c r="F3" s="72" t="s">
        <v>276</v>
      </c>
      <c r="G3" s="72" t="s">
        <v>277</v>
      </c>
      <c r="H3" s="72" t="s">
        <v>278</v>
      </c>
    </row>
    <row r="4" spans="1:8">
      <c r="A4" s="49">
        <v>1</v>
      </c>
      <c r="B4" s="49" t="s">
        <v>279</v>
      </c>
      <c r="C4" s="64">
        <v>39828</v>
      </c>
      <c r="D4" s="49">
        <v>2</v>
      </c>
      <c r="E4" s="64">
        <f>C4+D4</f>
        <v>39830</v>
      </c>
      <c r="F4" s="64">
        <v>39830</v>
      </c>
      <c r="G4" s="49">
        <f>F4-E4</f>
        <v>0</v>
      </c>
      <c r="H4" s="49">
        <f>(D4*100000)+(G4*150000)</f>
        <v>200000</v>
      </c>
    </row>
    <row r="5" spans="1:8">
      <c r="A5" s="49">
        <v>2</v>
      </c>
      <c r="B5" s="49" t="s">
        <v>280</v>
      </c>
      <c r="C5" s="64">
        <v>39845</v>
      </c>
      <c r="D5" s="49">
        <v>5</v>
      </c>
      <c r="E5" s="64">
        <f>C5+D5</f>
        <v>39850</v>
      </c>
      <c r="F5" s="64">
        <v>39852</v>
      </c>
      <c r="G5" s="49">
        <f>F5-E5</f>
        <v>2</v>
      </c>
      <c r="H5" s="49">
        <f t="shared" ref="H5:H9" si="0">(D5*100000)+(G5*150000)</f>
        <v>800000</v>
      </c>
    </row>
    <row r="6" spans="1:8">
      <c r="A6" s="49">
        <v>3</v>
      </c>
      <c r="B6" s="49" t="s">
        <v>281</v>
      </c>
      <c r="C6" s="64">
        <v>39849</v>
      </c>
      <c r="D6" s="49">
        <v>10</v>
      </c>
      <c r="E6" s="64">
        <f t="shared" ref="E6:E9" si="1">C6+D6</f>
        <v>39859</v>
      </c>
      <c r="F6" s="64">
        <v>39864</v>
      </c>
      <c r="G6" s="49">
        <f t="shared" ref="G6:G9" si="2">F6-E6</f>
        <v>5</v>
      </c>
      <c r="H6" s="49">
        <f t="shared" si="0"/>
        <v>1750000</v>
      </c>
    </row>
    <row r="7" spans="1:8">
      <c r="A7" s="49">
        <v>4</v>
      </c>
      <c r="B7" s="49" t="s">
        <v>282</v>
      </c>
      <c r="C7" s="64">
        <v>39854</v>
      </c>
      <c r="D7" s="49">
        <v>1</v>
      </c>
      <c r="E7" s="64">
        <f t="shared" si="1"/>
        <v>39855</v>
      </c>
      <c r="F7" s="64">
        <v>39855</v>
      </c>
      <c r="G7" s="49">
        <f t="shared" si="2"/>
        <v>0</v>
      </c>
      <c r="H7" s="49">
        <f t="shared" si="0"/>
        <v>100000</v>
      </c>
    </row>
    <row r="8" spans="1:8">
      <c r="A8" s="49">
        <v>5</v>
      </c>
      <c r="B8" s="49" t="s">
        <v>283</v>
      </c>
      <c r="C8" s="64">
        <v>39854</v>
      </c>
      <c r="D8" s="49">
        <v>5</v>
      </c>
      <c r="E8" s="64">
        <f t="shared" si="1"/>
        <v>39859</v>
      </c>
      <c r="F8" s="64">
        <v>39859</v>
      </c>
      <c r="G8" s="49">
        <f t="shared" si="2"/>
        <v>0</v>
      </c>
      <c r="H8" s="49">
        <f t="shared" si="0"/>
        <v>500000</v>
      </c>
    </row>
    <row r="9" spans="1:8">
      <c r="A9" s="49">
        <v>6</v>
      </c>
      <c r="B9" s="49" t="s">
        <v>284</v>
      </c>
      <c r="C9" s="64">
        <v>39862</v>
      </c>
      <c r="D9" s="49">
        <v>1</v>
      </c>
      <c r="E9" s="64">
        <f t="shared" si="1"/>
        <v>39863</v>
      </c>
      <c r="F9" s="64">
        <v>39864</v>
      </c>
      <c r="G9" s="49">
        <f t="shared" si="2"/>
        <v>1</v>
      </c>
      <c r="H9" s="49">
        <f t="shared" si="0"/>
        <v>250000</v>
      </c>
    </row>
  </sheetData>
  <mergeCells count="2">
    <mergeCell ref="A1:H1"/>
    <mergeCell ref="A2:H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"/>
  <sheetViews>
    <sheetView workbookViewId="0">
      <selection activeCell="E5" sqref="E5"/>
    </sheetView>
  </sheetViews>
  <sheetFormatPr defaultRowHeight="15"/>
  <cols>
    <col min="2" max="2" width="12.7109375" customWidth="1"/>
    <col min="3" max="3" width="13" customWidth="1"/>
    <col min="4" max="4" width="11" customWidth="1"/>
    <col min="6" max="6" width="14.28515625" customWidth="1"/>
    <col min="7" max="7" width="11.28515625" customWidth="1"/>
    <col min="8" max="8" width="10.140625" customWidth="1"/>
  </cols>
  <sheetData>
    <row r="1" spans="1:8">
      <c r="A1" s="81" t="s">
        <v>260</v>
      </c>
      <c r="B1" s="82"/>
      <c r="C1" s="82"/>
      <c r="D1" s="82"/>
      <c r="E1" s="82"/>
      <c r="F1" s="82"/>
      <c r="G1" s="82"/>
      <c r="H1" s="83"/>
    </row>
    <row r="2" spans="1:8">
      <c r="A2" s="81" t="s">
        <v>236</v>
      </c>
      <c r="B2" s="82"/>
      <c r="C2" s="82"/>
      <c r="D2" s="82"/>
      <c r="E2" s="82"/>
      <c r="F2" s="82"/>
      <c r="G2" s="82"/>
      <c r="H2" s="83"/>
    </row>
    <row r="3" spans="1:8">
      <c r="A3" s="84" t="s">
        <v>1</v>
      </c>
      <c r="B3" s="84" t="s">
        <v>261</v>
      </c>
      <c r="C3" s="84" t="s">
        <v>262</v>
      </c>
      <c r="D3" s="81" t="s">
        <v>263</v>
      </c>
      <c r="E3" s="83"/>
      <c r="F3" s="81" t="s">
        <v>264</v>
      </c>
      <c r="G3" s="83"/>
      <c r="H3" s="84" t="s">
        <v>265</v>
      </c>
    </row>
    <row r="4" spans="1:8">
      <c r="A4" s="85"/>
      <c r="B4" s="85"/>
      <c r="C4" s="85"/>
      <c r="D4" s="70" t="s">
        <v>266</v>
      </c>
      <c r="E4" s="70" t="s">
        <v>267</v>
      </c>
      <c r="F4" s="70" t="s">
        <v>268</v>
      </c>
      <c r="G4" s="70" t="s">
        <v>269</v>
      </c>
      <c r="H4" s="85"/>
    </row>
    <row r="5" spans="1:8">
      <c r="A5" s="71">
        <v>1</v>
      </c>
      <c r="B5" s="71" t="s">
        <v>9</v>
      </c>
      <c r="C5" s="71">
        <v>10</v>
      </c>
      <c r="D5" s="71">
        <f>INT(C5/7)</f>
        <v>1</v>
      </c>
      <c r="E5" s="71">
        <f>MOD(C5,7)</f>
        <v>3</v>
      </c>
      <c r="F5" s="71"/>
      <c r="G5" s="71"/>
      <c r="H5" s="71"/>
    </row>
    <row r="6" spans="1:8">
      <c r="A6" s="71">
        <v>2</v>
      </c>
      <c r="B6" s="71" t="s">
        <v>11</v>
      </c>
      <c r="C6" s="71">
        <v>5</v>
      </c>
      <c r="D6" s="71"/>
      <c r="E6" s="71"/>
      <c r="F6" s="71"/>
      <c r="G6" s="71"/>
      <c r="H6" s="71"/>
    </row>
    <row r="7" spans="1:8">
      <c r="A7" s="71">
        <v>3</v>
      </c>
      <c r="B7" s="71" t="s">
        <v>13</v>
      </c>
      <c r="C7" s="71">
        <v>2</v>
      </c>
      <c r="D7" s="71"/>
      <c r="E7" s="71"/>
      <c r="F7" s="71"/>
      <c r="G7" s="71"/>
      <c r="H7" s="71"/>
    </row>
    <row r="8" spans="1:8">
      <c r="A8" s="71">
        <v>4</v>
      </c>
      <c r="B8" s="71" t="s">
        <v>15</v>
      </c>
      <c r="C8" s="71">
        <v>1</v>
      </c>
      <c r="D8" s="71"/>
      <c r="E8" s="71"/>
      <c r="F8" s="71"/>
      <c r="G8" s="71"/>
      <c r="H8" s="71"/>
    </row>
  </sheetData>
  <mergeCells count="8">
    <mergeCell ref="A1:H1"/>
    <mergeCell ref="A2:H2"/>
    <mergeCell ref="A3:A4"/>
    <mergeCell ref="B3:B4"/>
    <mergeCell ref="C3:C4"/>
    <mergeCell ref="D3:E3"/>
    <mergeCell ref="F3:G3"/>
    <mergeCell ref="H3:H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0"/>
  <sheetViews>
    <sheetView topLeftCell="A13" workbookViewId="0">
      <selection activeCell="E4" sqref="E4"/>
    </sheetView>
  </sheetViews>
  <sheetFormatPr defaultRowHeight="15"/>
  <cols>
    <col min="2" max="2" width="10.7109375" customWidth="1"/>
    <col min="3" max="3" width="11.140625" customWidth="1"/>
    <col min="4" max="4" width="16" customWidth="1"/>
    <col min="5" max="5" width="17.28515625" customWidth="1"/>
    <col min="6" max="6" width="10.42578125" customWidth="1"/>
    <col min="7" max="7" width="17.42578125" customWidth="1"/>
    <col min="8" max="8" width="12.7109375" customWidth="1"/>
    <col min="9" max="9" width="10.7109375" bestFit="1" customWidth="1"/>
  </cols>
  <sheetData>
    <row r="1" spans="1:15">
      <c r="A1" s="86" t="s">
        <v>245</v>
      </c>
      <c r="B1" s="87"/>
      <c r="C1" s="87"/>
      <c r="D1" s="87"/>
      <c r="E1" s="88"/>
      <c r="F1" s="88"/>
      <c r="G1" s="88"/>
      <c r="H1" s="88"/>
      <c r="I1" s="89"/>
    </row>
    <row r="2" spans="1:15" ht="30" customHeight="1">
      <c r="A2" s="90" t="s">
        <v>1</v>
      </c>
      <c r="B2" s="90" t="s">
        <v>246</v>
      </c>
      <c r="C2" s="90" t="s">
        <v>247</v>
      </c>
      <c r="D2" s="92" t="s">
        <v>248</v>
      </c>
      <c r="E2" s="90" t="s">
        <v>249</v>
      </c>
      <c r="F2" s="94" t="s">
        <v>250</v>
      </c>
      <c r="G2" s="95"/>
      <c r="H2" s="96"/>
      <c r="I2" s="61"/>
    </row>
    <row r="3" spans="1:15">
      <c r="A3" s="91"/>
      <c r="B3" s="91"/>
      <c r="C3" s="91"/>
      <c r="D3" s="93"/>
      <c r="E3" s="91"/>
      <c r="F3" s="62" t="s">
        <v>251</v>
      </c>
      <c r="G3" s="63" t="s">
        <v>252</v>
      </c>
      <c r="H3" s="63" t="s">
        <v>253</v>
      </c>
    </row>
    <row r="4" spans="1:15">
      <c r="A4" s="49">
        <v>1</v>
      </c>
      <c r="B4" s="49" t="s">
        <v>254</v>
      </c>
      <c r="C4" s="64">
        <v>39600</v>
      </c>
      <c r="D4" s="65">
        <v>1</v>
      </c>
      <c r="E4" s="66">
        <f>DATE(YEAR(C4)+D4,MONTH(C4),DAY(C4))</f>
        <v>39965</v>
      </c>
      <c r="F4" s="67">
        <f>90*D4</f>
        <v>90</v>
      </c>
      <c r="G4" s="66">
        <f>C4+F4</f>
        <v>39690</v>
      </c>
      <c r="H4" s="66">
        <f>G4+F4*2</f>
        <v>39870</v>
      </c>
    </row>
    <row r="5" spans="1:15">
      <c r="A5" s="49">
        <v>2</v>
      </c>
      <c r="B5" s="49" t="s">
        <v>255</v>
      </c>
      <c r="C5" s="64">
        <v>39600</v>
      </c>
      <c r="D5" s="65">
        <v>2</v>
      </c>
      <c r="E5" s="66">
        <f t="shared" ref="E5:E9" si="0">DATE(YEAR(C5)+D5,MONTH(C5),DAY(C5))</f>
        <v>40330</v>
      </c>
      <c r="F5" s="67">
        <f t="shared" ref="F5:F9" si="1">90*D5</f>
        <v>180</v>
      </c>
      <c r="G5" s="66">
        <f t="shared" ref="G5:G9" si="2">C5+F5</f>
        <v>39780</v>
      </c>
      <c r="H5" s="66">
        <f t="shared" ref="H5:H9" si="3">G5+F5*2</f>
        <v>40140</v>
      </c>
    </row>
    <row r="6" spans="1:15">
      <c r="A6" s="49">
        <v>3</v>
      </c>
      <c r="B6" s="49" t="s">
        <v>256</v>
      </c>
      <c r="C6" s="64">
        <v>39722</v>
      </c>
      <c r="D6" s="65">
        <v>2</v>
      </c>
      <c r="E6" s="66">
        <f t="shared" si="0"/>
        <v>40452</v>
      </c>
      <c r="F6" s="67">
        <f t="shared" si="1"/>
        <v>180</v>
      </c>
      <c r="G6" s="66">
        <f t="shared" si="2"/>
        <v>39902</v>
      </c>
      <c r="H6" s="66">
        <f t="shared" si="3"/>
        <v>40262</v>
      </c>
      <c r="O6" s="68"/>
    </row>
    <row r="7" spans="1:15">
      <c r="A7" s="49">
        <v>4</v>
      </c>
      <c r="B7" s="49" t="s">
        <v>257</v>
      </c>
      <c r="C7" s="64">
        <v>39783</v>
      </c>
      <c r="D7" s="65">
        <v>1</v>
      </c>
      <c r="E7" s="66">
        <f t="shared" si="0"/>
        <v>40148</v>
      </c>
      <c r="F7" s="67">
        <f t="shared" si="1"/>
        <v>90</v>
      </c>
      <c r="G7" s="66">
        <f t="shared" si="2"/>
        <v>39873</v>
      </c>
      <c r="H7" s="66">
        <f t="shared" si="3"/>
        <v>40053</v>
      </c>
    </row>
    <row r="8" spans="1:15">
      <c r="A8" s="49">
        <v>5</v>
      </c>
      <c r="B8" s="49" t="s">
        <v>258</v>
      </c>
      <c r="C8" s="64">
        <v>39814</v>
      </c>
      <c r="D8" s="65">
        <v>1</v>
      </c>
      <c r="E8" s="66">
        <f t="shared" si="0"/>
        <v>40179</v>
      </c>
      <c r="F8" s="67">
        <f t="shared" si="1"/>
        <v>90</v>
      </c>
      <c r="G8" s="66">
        <f t="shared" si="2"/>
        <v>39904</v>
      </c>
      <c r="H8" s="66">
        <f t="shared" si="3"/>
        <v>40084</v>
      </c>
    </row>
    <row r="9" spans="1:15">
      <c r="A9" s="49">
        <v>6</v>
      </c>
      <c r="B9" s="49" t="s">
        <v>259</v>
      </c>
      <c r="C9" s="64">
        <v>39845</v>
      </c>
      <c r="D9" s="65">
        <v>3</v>
      </c>
      <c r="E9" s="66">
        <f t="shared" si="0"/>
        <v>40940</v>
      </c>
      <c r="F9" s="67">
        <f t="shared" si="1"/>
        <v>270</v>
      </c>
      <c r="G9" s="66">
        <f t="shared" si="2"/>
        <v>40115</v>
      </c>
      <c r="H9" s="66">
        <f t="shared" si="3"/>
        <v>40655</v>
      </c>
    </row>
    <row r="10" spans="1:15">
      <c r="E10" s="61"/>
      <c r="F10" s="61"/>
      <c r="G10" s="61"/>
      <c r="H10" s="61"/>
      <c r="I10" s="69"/>
    </row>
  </sheetData>
  <mergeCells count="7">
    <mergeCell ref="A1:I1"/>
    <mergeCell ref="A2:A3"/>
    <mergeCell ref="B2:B3"/>
    <mergeCell ref="C2:C3"/>
    <mergeCell ref="D2:D3"/>
    <mergeCell ref="E2:E3"/>
    <mergeCell ref="F2:H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1"/>
  <sheetViews>
    <sheetView workbookViewId="0">
      <selection activeCell="I16" sqref="I16"/>
    </sheetView>
  </sheetViews>
  <sheetFormatPr defaultRowHeight="15"/>
  <cols>
    <col min="4" max="5" width="12.140625" customWidth="1"/>
    <col min="6" max="7" width="12.85546875" customWidth="1"/>
    <col min="8" max="8" width="11.5703125" customWidth="1"/>
    <col min="9" max="9" width="15" customWidth="1"/>
  </cols>
  <sheetData>
    <row r="1" spans="1:9">
      <c r="A1" s="81" t="s">
        <v>235</v>
      </c>
      <c r="B1" s="82"/>
      <c r="C1" s="82"/>
      <c r="D1" s="82"/>
      <c r="E1" s="82"/>
      <c r="F1" s="82"/>
      <c r="G1" s="82"/>
      <c r="H1" s="82"/>
      <c r="I1" s="83"/>
    </row>
    <row r="2" spans="1:9">
      <c r="A2" s="81" t="s">
        <v>236</v>
      </c>
      <c r="B2" s="82"/>
      <c r="C2" s="82"/>
      <c r="D2" s="82"/>
      <c r="E2" s="82"/>
      <c r="F2" s="82"/>
      <c r="G2" s="82"/>
      <c r="H2" s="82"/>
      <c r="I2" s="83"/>
    </row>
    <row r="3" spans="1:9">
      <c r="A3" s="98" t="s">
        <v>1</v>
      </c>
      <c r="B3" s="98" t="s">
        <v>67</v>
      </c>
      <c r="C3" s="98" t="s">
        <v>225</v>
      </c>
      <c r="D3" s="100" t="s">
        <v>237</v>
      </c>
      <c r="E3" s="101"/>
      <c r="F3" s="102"/>
      <c r="G3" s="100" t="s">
        <v>238</v>
      </c>
      <c r="H3" s="102"/>
      <c r="I3" s="98" t="s">
        <v>239</v>
      </c>
    </row>
    <row r="4" spans="1:9">
      <c r="A4" s="99"/>
      <c r="B4" s="99"/>
      <c r="C4" s="99"/>
      <c r="D4" s="54" t="s">
        <v>240</v>
      </c>
      <c r="E4" s="54" t="s">
        <v>241</v>
      </c>
      <c r="F4" s="54" t="s">
        <v>242</v>
      </c>
      <c r="G4" s="55" t="s">
        <v>242</v>
      </c>
      <c r="H4" s="54" t="s">
        <v>243</v>
      </c>
      <c r="I4" s="99"/>
    </row>
    <row r="5" spans="1:9">
      <c r="A5" s="49">
        <v>1</v>
      </c>
      <c r="B5" s="49" t="s">
        <v>71</v>
      </c>
      <c r="C5" s="49">
        <v>10</v>
      </c>
      <c r="D5" s="56">
        <v>900</v>
      </c>
      <c r="E5" s="49">
        <f>C5*D5</f>
        <v>9000</v>
      </c>
      <c r="F5" s="49">
        <f>E5*22000</f>
        <v>198000000</v>
      </c>
      <c r="G5" s="57">
        <v>10500000</v>
      </c>
      <c r="H5" s="58">
        <f>C5*G5</f>
        <v>105000000</v>
      </c>
      <c r="I5" s="49">
        <f>H5-F5</f>
        <v>-93000000</v>
      </c>
    </row>
    <row r="6" spans="1:9">
      <c r="A6" s="49">
        <v>2</v>
      </c>
      <c r="B6" s="49" t="s">
        <v>73</v>
      </c>
      <c r="C6" s="49">
        <v>5</v>
      </c>
      <c r="D6" s="59">
        <v>205.5</v>
      </c>
      <c r="E6" s="49">
        <f t="shared" ref="E6:E10" si="0">C6*D6</f>
        <v>1027.5</v>
      </c>
      <c r="F6" s="49">
        <f t="shared" ref="F6:F10" si="1">E6*22000</f>
        <v>22605000</v>
      </c>
      <c r="G6" s="57">
        <v>4200000</v>
      </c>
      <c r="H6" s="58">
        <f t="shared" ref="H6:H10" si="2">C6*G6</f>
        <v>21000000</v>
      </c>
      <c r="I6" s="49">
        <f t="shared" ref="I6:I10" si="3">H6-F6</f>
        <v>-1605000</v>
      </c>
    </row>
    <row r="7" spans="1:9">
      <c r="A7" s="49">
        <v>3</v>
      </c>
      <c r="B7" s="49" t="s">
        <v>75</v>
      </c>
      <c r="C7" s="49">
        <v>12</v>
      </c>
      <c r="D7" s="59">
        <v>450</v>
      </c>
      <c r="E7" s="49">
        <f t="shared" si="0"/>
        <v>5400</v>
      </c>
      <c r="F7" s="49">
        <f t="shared" si="1"/>
        <v>118800000</v>
      </c>
      <c r="G7" s="57">
        <v>6500000</v>
      </c>
      <c r="H7" s="58">
        <f t="shared" si="2"/>
        <v>78000000</v>
      </c>
      <c r="I7" s="49">
        <f t="shared" si="3"/>
        <v>-40800000</v>
      </c>
    </row>
    <row r="8" spans="1:9">
      <c r="A8" s="49">
        <v>4</v>
      </c>
      <c r="B8" s="49" t="s">
        <v>77</v>
      </c>
      <c r="C8" s="49">
        <v>10</v>
      </c>
      <c r="D8" s="59">
        <v>400</v>
      </c>
      <c r="E8" s="49">
        <f t="shared" si="0"/>
        <v>4000</v>
      </c>
      <c r="F8" s="49">
        <f t="shared" si="1"/>
        <v>88000000</v>
      </c>
      <c r="G8" s="57">
        <v>8000000</v>
      </c>
      <c r="H8" s="58">
        <f t="shared" si="2"/>
        <v>80000000</v>
      </c>
      <c r="I8" s="49">
        <f t="shared" si="3"/>
        <v>-8000000</v>
      </c>
    </row>
    <row r="9" spans="1:9">
      <c r="A9" s="49">
        <v>5</v>
      </c>
      <c r="B9" s="49" t="s">
        <v>244</v>
      </c>
      <c r="C9" s="49">
        <v>20</v>
      </c>
      <c r="D9" s="59">
        <v>350</v>
      </c>
      <c r="E9" s="49">
        <f t="shared" si="0"/>
        <v>7000</v>
      </c>
      <c r="F9" s="49">
        <f t="shared" si="1"/>
        <v>154000000</v>
      </c>
      <c r="G9" s="57">
        <v>6000000</v>
      </c>
      <c r="H9" s="58">
        <f t="shared" si="2"/>
        <v>120000000</v>
      </c>
      <c r="I9" s="49">
        <f t="shared" si="3"/>
        <v>-34000000</v>
      </c>
    </row>
    <row r="10" spans="1:9">
      <c r="A10" s="49">
        <v>6</v>
      </c>
      <c r="B10" s="49" t="s">
        <v>78</v>
      </c>
      <c r="C10" s="49">
        <v>2</v>
      </c>
      <c r="D10" s="59">
        <v>3.12</v>
      </c>
      <c r="E10" s="49">
        <f t="shared" si="0"/>
        <v>6.24</v>
      </c>
      <c r="F10" s="49">
        <f t="shared" si="1"/>
        <v>137280</v>
      </c>
      <c r="G10" s="60">
        <v>50000</v>
      </c>
      <c r="H10" s="58">
        <f t="shared" si="2"/>
        <v>100000</v>
      </c>
      <c r="I10" s="49">
        <f t="shared" si="3"/>
        <v>-37280</v>
      </c>
    </row>
    <row r="11" spans="1:9">
      <c r="A11" s="97"/>
      <c r="B11" s="97"/>
      <c r="C11" s="97"/>
      <c r="D11" s="97"/>
      <c r="E11" s="97"/>
      <c r="F11" s="97"/>
      <c r="G11" s="97"/>
      <c r="H11" s="97"/>
      <c r="I11" s="97"/>
    </row>
  </sheetData>
  <mergeCells count="9">
    <mergeCell ref="A11:I11"/>
    <mergeCell ref="A1:I1"/>
    <mergeCell ref="A2:I2"/>
    <mergeCell ref="A3:A4"/>
    <mergeCell ref="B3:B4"/>
    <mergeCell ref="C3:C4"/>
    <mergeCell ref="D3:F3"/>
    <mergeCell ref="G3:H3"/>
    <mergeCell ref="I3:I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6"/>
  <sheetViews>
    <sheetView workbookViewId="0">
      <selection activeCell="F3" sqref="F3"/>
    </sheetView>
  </sheetViews>
  <sheetFormatPr defaultRowHeight="15"/>
  <cols>
    <col min="2" max="2" width="18.42578125" customWidth="1"/>
    <col min="3" max="3" width="14.7109375" customWidth="1"/>
    <col min="4" max="4" width="12.7109375" customWidth="1"/>
    <col min="5" max="5" width="15.85546875" customWidth="1"/>
  </cols>
  <sheetData>
    <row r="1" spans="1:6">
      <c r="A1" s="50" t="s">
        <v>1</v>
      </c>
      <c r="B1" s="50" t="s">
        <v>25</v>
      </c>
      <c r="C1" s="50" t="s">
        <v>209</v>
      </c>
      <c r="D1" s="50" t="s">
        <v>210</v>
      </c>
      <c r="E1" s="50" t="s">
        <v>211</v>
      </c>
      <c r="F1" s="50" t="s">
        <v>212</v>
      </c>
    </row>
    <row r="2" spans="1:6">
      <c r="A2" s="51">
        <v>1</v>
      </c>
      <c r="B2" s="51" t="s">
        <v>213</v>
      </c>
      <c r="C2" s="49" t="str">
        <f>LEFT(B2,2)</f>
        <v>IN</v>
      </c>
      <c r="D2" s="49" t="str">
        <f>MID(B2,5,2)&amp;"/"&amp;MID(B2,7,2)</f>
        <v>15/01</v>
      </c>
      <c r="E2" s="49" t="str">
        <f>RIGHT(B2,4)</f>
        <v>L100</v>
      </c>
      <c r="F2" s="49" t="str">
        <f>MID(B2,10,LEN(B2)-9)</f>
        <v>010-L100</v>
      </c>
    </row>
    <row r="3" spans="1:6">
      <c r="A3" s="51">
        <v>2</v>
      </c>
      <c r="B3" s="51" t="s">
        <v>214</v>
      </c>
      <c r="C3" s="49" t="str">
        <f t="shared" ref="C3:C7" si="0">LEFT(B3,2)</f>
        <v>IN</v>
      </c>
      <c r="D3" s="49" t="str">
        <f t="shared" ref="D3:D7" si="1">MID(B3,5,2)&amp;"/"&amp;MID(B3,7,2)</f>
        <v>15/01</v>
      </c>
      <c r="E3" s="49" t="str">
        <f t="shared" ref="E3:E7" si="2">RIGHT(B3,4)</f>
        <v>S500</v>
      </c>
      <c r="F3" s="49" t="str">
        <f t="shared" ref="F3:F7" si="3">MID(B3,10,LEN(B3)-9)</f>
        <v>010-S500</v>
      </c>
    </row>
    <row r="4" spans="1:6">
      <c r="A4" s="51">
        <v>3</v>
      </c>
      <c r="B4" s="51" t="s">
        <v>215</v>
      </c>
      <c r="C4" s="49" t="str">
        <f t="shared" si="0"/>
        <v>TL</v>
      </c>
      <c r="D4" s="49" t="str">
        <f t="shared" si="1"/>
        <v>20/01</v>
      </c>
      <c r="E4" s="49" t="str">
        <f t="shared" si="2"/>
        <v>L100</v>
      </c>
      <c r="F4" s="49" t="str">
        <f t="shared" si="3"/>
        <v>22-L100</v>
      </c>
    </row>
    <row r="5" spans="1:6">
      <c r="A5" s="51">
        <v>4</v>
      </c>
      <c r="B5" s="51" t="s">
        <v>216</v>
      </c>
      <c r="C5" s="49" t="str">
        <f t="shared" si="0"/>
        <v>TL</v>
      </c>
      <c r="D5" s="49" t="str">
        <f t="shared" si="1"/>
        <v>20/01</v>
      </c>
      <c r="E5" s="49" t="str">
        <f t="shared" si="2"/>
        <v>S500</v>
      </c>
      <c r="F5" s="49" t="str">
        <f t="shared" si="3"/>
        <v>23-S500</v>
      </c>
    </row>
    <row r="6" spans="1:6">
      <c r="A6" s="51">
        <v>5</v>
      </c>
      <c r="B6" s="51" t="s">
        <v>217</v>
      </c>
      <c r="C6" s="49" t="str">
        <f t="shared" si="0"/>
        <v>TL</v>
      </c>
      <c r="D6" s="49" t="str">
        <f t="shared" si="1"/>
        <v>20/01</v>
      </c>
      <c r="E6" s="49" t="str">
        <f t="shared" si="2"/>
        <v>L300</v>
      </c>
      <c r="F6" s="49" t="str">
        <f t="shared" si="3"/>
        <v>49-L300</v>
      </c>
    </row>
    <row r="7" spans="1:6">
      <c r="A7" s="51">
        <v>6</v>
      </c>
      <c r="B7" s="51" t="s">
        <v>218</v>
      </c>
      <c r="C7" s="49" t="str">
        <f t="shared" si="0"/>
        <v>TL</v>
      </c>
      <c r="D7" s="49" t="str">
        <f t="shared" si="1"/>
        <v>20/01</v>
      </c>
      <c r="E7" s="49" t="str">
        <f t="shared" si="2"/>
        <v>L500</v>
      </c>
      <c r="F7" s="49" t="str">
        <f t="shared" si="3"/>
        <v>50-L500</v>
      </c>
    </row>
    <row r="16" spans="1:6">
      <c r="E16" s="18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0"/>
  <sheetViews>
    <sheetView workbookViewId="0">
      <selection activeCell="G4" sqref="G4"/>
    </sheetView>
  </sheetViews>
  <sheetFormatPr defaultRowHeight="15"/>
  <cols>
    <col min="1" max="1" width="14" customWidth="1"/>
    <col min="4" max="4" width="11.42578125" customWidth="1"/>
    <col min="5" max="5" width="13.85546875" customWidth="1"/>
    <col min="6" max="6" width="12.5703125" customWidth="1"/>
    <col min="7" max="7" width="11" customWidth="1"/>
  </cols>
  <sheetData>
    <row r="1" spans="1:7">
      <c r="A1" s="103" t="s">
        <v>219</v>
      </c>
      <c r="B1" s="104"/>
      <c r="C1" s="104"/>
      <c r="D1" s="104"/>
      <c r="E1" s="104"/>
      <c r="F1" s="104"/>
      <c r="G1" s="105"/>
    </row>
    <row r="2" spans="1:7">
      <c r="A2" s="52" t="s">
        <v>220</v>
      </c>
      <c r="B2" s="52" t="s">
        <v>221</v>
      </c>
      <c r="C2" s="52" t="s">
        <v>222</v>
      </c>
      <c r="D2" s="52" t="s">
        <v>223</v>
      </c>
      <c r="E2" s="52" t="s">
        <v>224</v>
      </c>
      <c r="F2" s="52" t="s">
        <v>225</v>
      </c>
      <c r="G2" s="52" t="s">
        <v>226</v>
      </c>
    </row>
    <row r="3" spans="1:7">
      <c r="A3" s="51" t="s">
        <v>227</v>
      </c>
      <c r="B3" s="49" t="str">
        <f>LEFT(A3,2)</f>
        <v>TV</v>
      </c>
      <c r="C3" s="49" t="str">
        <f>MID(A3,5,2)</f>
        <v>SN</v>
      </c>
      <c r="D3" s="49" t="str">
        <f>MID(A3,3,2)&amp;"/"&amp;"2013"</f>
        <v>09/2013</v>
      </c>
      <c r="E3" s="49" t="str">
        <f>MID(A3,7,3)</f>
        <v>200</v>
      </c>
      <c r="F3" s="49" t="str">
        <f>MID(A3,10,LEN(A3)-9)</f>
        <v>100</v>
      </c>
      <c r="G3" s="49"/>
    </row>
    <row r="4" spans="1:7">
      <c r="A4" s="53" t="s">
        <v>228</v>
      </c>
      <c r="B4" s="49" t="str">
        <f t="shared" ref="B4:B10" si="0">LEFT(A4,2)</f>
        <v>ML</v>
      </c>
      <c r="C4" s="49" t="str">
        <f t="shared" ref="C4:C10" si="1">MID(A4,5,2)</f>
        <v>PN</v>
      </c>
      <c r="D4" s="49" t="str">
        <f t="shared" ref="D4:D10" si="2">MID(A4,3,2)&amp;"/"&amp;"2013"</f>
        <v>08/2013</v>
      </c>
      <c r="E4" s="49" t="str">
        <f t="shared" ref="E4:E10" si="3">MID(A4,7,3)</f>
        <v>500</v>
      </c>
      <c r="F4" s="49" t="str">
        <f t="shared" ref="F4:F10" si="4">MID(A4,10,LEN(A4)-9)</f>
        <v>10</v>
      </c>
      <c r="G4" s="49">
        <f t="shared" ref="G4:G10" si="5">F4*E4*20100</f>
        <v>100500000</v>
      </c>
    </row>
    <row r="5" spans="1:7">
      <c r="A5" s="51" t="s">
        <v>229</v>
      </c>
      <c r="B5" s="49" t="str">
        <f t="shared" si="0"/>
        <v>TL</v>
      </c>
      <c r="C5" s="49" t="str">
        <f t="shared" si="1"/>
        <v>TB</v>
      </c>
      <c r="D5" s="49" t="str">
        <f t="shared" si="2"/>
        <v>07/2013</v>
      </c>
      <c r="E5" s="49" t="str">
        <f t="shared" si="3"/>
        <v>350</v>
      </c>
      <c r="F5" s="49" t="str">
        <f t="shared" si="4"/>
        <v>35</v>
      </c>
      <c r="G5" s="49">
        <f t="shared" si="5"/>
        <v>246225000</v>
      </c>
    </row>
    <row r="6" spans="1:7">
      <c r="A6" s="53" t="s">
        <v>230</v>
      </c>
      <c r="B6" s="49" t="str">
        <f t="shared" si="0"/>
        <v>MG</v>
      </c>
      <c r="C6" s="49" t="str">
        <f t="shared" si="1"/>
        <v>SY</v>
      </c>
      <c r="D6" s="49" t="str">
        <f t="shared" si="2"/>
        <v>09/2013</v>
      </c>
      <c r="E6" s="49" t="str">
        <f t="shared" si="3"/>
        <v>400</v>
      </c>
      <c r="F6" s="49" t="str">
        <f t="shared" si="4"/>
        <v>500</v>
      </c>
      <c r="G6" s="49">
        <f t="shared" si="5"/>
        <v>4020000000</v>
      </c>
    </row>
    <row r="7" spans="1:7">
      <c r="A7" s="51" t="s">
        <v>231</v>
      </c>
      <c r="B7" s="49" t="str">
        <f t="shared" si="0"/>
        <v>TV</v>
      </c>
      <c r="C7" s="49" t="str">
        <f t="shared" si="1"/>
        <v>PN</v>
      </c>
      <c r="D7" s="49" t="str">
        <f t="shared" si="2"/>
        <v>07/2013</v>
      </c>
      <c r="E7" s="49" t="str">
        <f t="shared" si="3"/>
        <v>250</v>
      </c>
      <c r="F7" s="49" t="str">
        <f t="shared" si="4"/>
        <v>200</v>
      </c>
      <c r="G7" s="49">
        <f t="shared" si="5"/>
        <v>1005000000</v>
      </c>
    </row>
    <row r="8" spans="1:7">
      <c r="A8" s="53" t="s">
        <v>232</v>
      </c>
      <c r="B8" s="49" t="str">
        <f t="shared" si="0"/>
        <v>VD</v>
      </c>
      <c r="C8" s="49" t="str">
        <f t="shared" si="1"/>
        <v>SN</v>
      </c>
      <c r="D8" s="49" t="str">
        <f t="shared" si="2"/>
        <v>08/2013</v>
      </c>
      <c r="E8" s="49" t="str">
        <f t="shared" si="3"/>
        <v>120</v>
      </c>
      <c r="F8" s="49" t="str">
        <f t="shared" si="4"/>
        <v>150</v>
      </c>
      <c r="G8" s="49">
        <f t="shared" si="5"/>
        <v>361800000</v>
      </c>
    </row>
    <row r="9" spans="1:7">
      <c r="A9" s="51" t="s">
        <v>233</v>
      </c>
      <c r="B9" s="49" t="str">
        <f t="shared" si="0"/>
        <v>TL</v>
      </c>
      <c r="C9" s="49" t="str">
        <f t="shared" si="1"/>
        <v>EL</v>
      </c>
      <c r="D9" s="49" t="str">
        <f t="shared" si="2"/>
        <v>08/2013</v>
      </c>
      <c r="E9" s="49" t="str">
        <f t="shared" si="3"/>
        <v>500</v>
      </c>
      <c r="F9" s="49" t="str">
        <f t="shared" si="4"/>
        <v>10</v>
      </c>
      <c r="G9" s="49">
        <f t="shared" si="5"/>
        <v>100500000</v>
      </c>
    </row>
    <row r="10" spans="1:7">
      <c r="A10" s="53" t="s">
        <v>234</v>
      </c>
      <c r="B10" s="49" t="str">
        <f t="shared" si="0"/>
        <v>TL</v>
      </c>
      <c r="C10" s="49" t="str">
        <f t="shared" si="1"/>
        <v>SP</v>
      </c>
      <c r="D10" s="49" t="str">
        <f t="shared" si="2"/>
        <v>07/2013</v>
      </c>
      <c r="E10" s="49" t="str">
        <f t="shared" si="3"/>
        <v>300</v>
      </c>
      <c r="F10" s="49" t="str">
        <f t="shared" si="4"/>
        <v>50</v>
      </c>
      <c r="G10" s="49">
        <f t="shared" si="5"/>
        <v>301500000</v>
      </c>
    </row>
  </sheetData>
  <mergeCells count="1">
    <mergeCell ref="A1:G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8"/>
  <sheetViews>
    <sheetView workbookViewId="0">
      <selection activeCell="I5" sqref="I5"/>
    </sheetView>
  </sheetViews>
  <sheetFormatPr defaultRowHeight="16.5"/>
  <cols>
    <col min="1" max="2" width="9.140625" style="45"/>
    <col min="3" max="3" width="11.28515625" style="45" customWidth="1"/>
    <col min="4" max="4" width="9.140625" style="45"/>
    <col min="5" max="5" width="19.140625" style="45" bestFit="1" customWidth="1"/>
    <col min="6" max="6" width="14" style="45" bestFit="1" customWidth="1"/>
    <col min="7" max="7" width="14.5703125" style="45" customWidth="1"/>
    <col min="8" max="8" width="16.28515625" style="45" bestFit="1" customWidth="1"/>
    <col min="9" max="9" width="20" style="45" bestFit="1" customWidth="1"/>
    <col min="10" max="10" width="11.85546875" style="45" bestFit="1" customWidth="1"/>
    <col min="11" max="16384" width="9.140625" style="45"/>
  </cols>
  <sheetData>
    <row r="1" spans="1:10">
      <c r="A1" s="106" t="s">
        <v>186</v>
      </c>
      <c r="B1" s="106"/>
      <c r="C1" s="106"/>
      <c r="D1" s="106"/>
      <c r="E1" s="106"/>
      <c r="F1" s="106"/>
      <c r="G1" s="106"/>
      <c r="H1" s="48">
        <v>350000</v>
      </c>
    </row>
    <row r="2" spans="1:10">
      <c r="A2" s="46" t="s">
        <v>176</v>
      </c>
      <c r="B2" s="46" t="s">
        <v>177</v>
      </c>
      <c r="C2" s="46" t="s">
        <v>178</v>
      </c>
      <c r="D2" s="46" t="s">
        <v>179</v>
      </c>
      <c r="E2" s="46" t="s">
        <v>180</v>
      </c>
      <c r="F2" s="46" t="s">
        <v>181</v>
      </c>
      <c r="G2" s="46" t="s">
        <v>182</v>
      </c>
      <c r="H2" s="46" t="s">
        <v>183</v>
      </c>
      <c r="I2" s="46" t="s">
        <v>184</v>
      </c>
      <c r="J2" s="46" t="s">
        <v>185</v>
      </c>
    </row>
    <row r="3" spans="1:10">
      <c r="A3" s="46">
        <v>1</v>
      </c>
      <c r="B3" s="46" t="s">
        <v>187</v>
      </c>
      <c r="C3" s="46" t="s">
        <v>193</v>
      </c>
      <c r="D3" s="46">
        <v>1</v>
      </c>
      <c r="E3" s="47" t="s">
        <v>54</v>
      </c>
      <c r="F3" s="46">
        <v>4</v>
      </c>
      <c r="G3" s="46"/>
      <c r="H3" s="46"/>
      <c r="I3" s="46"/>
      <c r="J3" s="46"/>
    </row>
    <row r="4" spans="1:10">
      <c r="A4" s="46">
        <v>2</v>
      </c>
      <c r="B4" s="46" t="s">
        <v>188</v>
      </c>
      <c r="C4" s="46" t="s">
        <v>194</v>
      </c>
      <c r="D4" s="46"/>
      <c r="E4" s="47" t="s">
        <v>56</v>
      </c>
      <c r="F4" s="46">
        <v>3</v>
      </c>
      <c r="G4" s="46"/>
      <c r="H4" s="46"/>
      <c r="I4" s="46"/>
      <c r="J4" s="46"/>
    </row>
    <row r="5" spans="1:10">
      <c r="A5" s="46">
        <v>3</v>
      </c>
      <c r="B5" s="46" t="s">
        <v>189</v>
      </c>
      <c r="C5" s="46" t="s">
        <v>195</v>
      </c>
      <c r="D5" s="46">
        <v>2</v>
      </c>
      <c r="E5" s="47" t="s">
        <v>54</v>
      </c>
      <c r="F5" s="46">
        <v>2</v>
      </c>
      <c r="G5" s="46"/>
      <c r="H5" s="46"/>
      <c r="I5" s="46"/>
      <c r="J5" s="46"/>
    </row>
    <row r="6" spans="1:10">
      <c r="A6" s="46">
        <v>4</v>
      </c>
      <c r="B6" s="46" t="s">
        <v>190</v>
      </c>
      <c r="C6" s="46" t="s">
        <v>195</v>
      </c>
      <c r="D6" s="46">
        <v>3</v>
      </c>
      <c r="E6" s="47" t="s">
        <v>60</v>
      </c>
      <c r="F6" s="46">
        <v>3</v>
      </c>
      <c r="G6" s="46"/>
      <c r="H6" s="46"/>
      <c r="I6" s="46"/>
      <c r="J6" s="46"/>
    </row>
    <row r="7" spans="1:10">
      <c r="A7" s="46">
        <v>5</v>
      </c>
      <c r="B7" s="46" t="s">
        <v>191</v>
      </c>
      <c r="C7" s="46" t="s">
        <v>194</v>
      </c>
      <c r="D7" s="46"/>
      <c r="E7" s="47" t="s">
        <v>60</v>
      </c>
      <c r="F7" s="46">
        <v>2</v>
      </c>
      <c r="G7" s="46"/>
      <c r="H7" s="46"/>
      <c r="I7" s="46"/>
      <c r="J7" s="46"/>
    </row>
    <row r="8" spans="1:10">
      <c r="A8" s="46">
        <v>6</v>
      </c>
      <c r="B8" s="46" t="s">
        <v>192</v>
      </c>
      <c r="C8" s="46" t="s">
        <v>195</v>
      </c>
      <c r="D8" s="46"/>
      <c r="E8" s="47" t="s">
        <v>54</v>
      </c>
      <c r="F8" s="46">
        <v>2</v>
      </c>
      <c r="G8" s="46"/>
      <c r="H8" s="46"/>
      <c r="I8" s="46"/>
      <c r="J8" s="46"/>
    </row>
  </sheetData>
  <mergeCells count="1">
    <mergeCell ref="A1:G1"/>
  </mergeCells>
  <pageMargins left="0.7" right="0.7" top="0.75" bottom="0.75" header="0.3" footer="0.3"/>
  <pageSetup orientation="portrait" horizontalDpi="4294967295" verticalDpi="4294967295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0"/>
  <sheetViews>
    <sheetView workbookViewId="0">
      <selection sqref="A1:I1"/>
    </sheetView>
  </sheetViews>
  <sheetFormatPr defaultRowHeight="15"/>
  <cols>
    <col min="2" max="2" width="14.5703125" customWidth="1"/>
  </cols>
  <sheetData>
    <row r="1" spans="1:9">
      <c r="A1" s="107" t="s">
        <v>196</v>
      </c>
      <c r="B1" s="107"/>
      <c r="C1" s="107"/>
      <c r="D1" s="107"/>
      <c r="E1" s="107"/>
      <c r="F1" s="107"/>
      <c r="G1" s="107"/>
      <c r="H1" s="107"/>
      <c r="I1" s="107"/>
    </row>
    <row r="2" spans="1:9">
      <c r="A2" s="107" t="s">
        <v>197</v>
      </c>
      <c r="B2" s="107"/>
      <c r="C2" s="107"/>
      <c r="D2" s="107"/>
      <c r="E2" s="107"/>
      <c r="F2" s="107"/>
      <c r="G2" s="107"/>
      <c r="H2" s="107"/>
      <c r="I2" s="107"/>
    </row>
    <row r="3" spans="1:9">
      <c r="A3" s="108" t="s">
        <v>176</v>
      </c>
      <c r="B3" s="108" t="s">
        <v>198</v>
      </c>
      <c r="C3" s="110" t="s">
        <v>199</v>
      </c>
      <c r="D3" s="111"/>
      <c r="E3" s="112"/>
      <c r="F3" s="110" t="s">
        <v>200</v>
      </c>
      <c r="G3" s="112"/>
      <c r="H3" s="113" t="s">
        <v>201</v>
      </c>
      <c r="I3" s="113" t="s">
        <v>202</v>
      </c>
    </row>
    <row r="4" spans="1:9">
      <c r="A4" s="109"/>
      <c r="B4" s="109"/>
      <c r="C4" s="49" t="s">
        <v>203</v>
      </c>
      <c r="D4" s="49" t="s">
        <v>204</v>
      </c>
      <c r="E4" s="49" t="s">
        <v>205</v>
      </c>
      <c r="F4" s="49" t="s">
        <v>206</v>
      </c>
      <c r="G4" s="49" t="s">
        <v>207</v>
      </c>
      <c r="H4" s="109"/>
      <c r="I4" s="109"/>
    </row>
    <row r="5" spans="1:9">
      <c r="A5" s="49">
        <v>1</v>
      </c>
      <c r="B5" s="49" t="s">
        <v>9</v>
      </c>
      <c r="C5" s="49">
        <v>8.5</v>
      </c>
      <c r="D5" s="49">
        <v>10</v>
      </c>
      <c r="E5" s="49">
        <f>(D5*2+C5)/3</f>
        <v>9.5</v>
      </c>
      <c r="F5" s="49" t="str">
        <f>IF(E5&lt;=4,"X","")</f>
        <v/>
      </c>
      <c r="G5" s="49" t="str">
        <f>IF(E5&gt;=9,"giỏi",IF(E5&gt;=7,"khá",IF(E5&gt;=5,"TB","yếu")))</f>
        <v>giỏi</v>
      </c>
      <c r="H5" s="49" t="str">
        <f>IF(E4&gt;8,"A",IF(E5&gt;=7,"B",""))</f>
        <v>A</v>
      </c>
      <c r="I5" s="49" t="str">
        <f>IF(AND(E5&gt;=9.5,C5&gt;=9,D5&gt;=9),"X","")</f>
        <v/>
      </c>
    </row>
    <row r="6" spans="1:9">
      <c r="A6" s="49">
        <v>2</v>
      </c>
      <c r="B6" s="49" t="s">
        <v>11</v>
      </c>
      <c r="C6" s="49">
        <v>6</v>
      </c>
      <c r="D6" s="49">
        <v>7</v>
      </c>
      <c r="E6" s="49">
        <f t="shared" ref="E6:E10" si="0">(D6*2+C6)/3</f>
        <v>6.666666666666667</v>
      </c>
      <c r="F6" s="49" t="str">
        <f t="shared" ref="F6:F10" si="1">IF(E6&lt;=4,"X","")</f>
        <v/>
      </c>
      <c r="G6" s="49" t="str">
        <f t="shared" ref="G6:G10" si="2">IF(E6&gt;=9,"giỏi",IF(E6&gt;=7,"khá",IF(E6&gt;=5,"TB","yếu")))</f>
        <v>TB</v>
      </c>
      <c r="H6" s="49" t="str">
        <f t="shared" ref="H6:H10" si="3">IF(E5&gt;8,"A",IF(E6&gt;=7,"B",""))</f>
        <v>A</v>
      </c>
      <c r="I6" s="49" t="str">
        <f t="shared" ref="I6:I10" si="4">IF(AND(E6&gt;=9.5,C6&gt;=9,D6&gt;=9),"X","")</f>
        <v/>
      </c>
    </row>
    <row r="7" spans="1:9">
      <c r="A7" s="49">
        <v>3</v>
      </c>
      <c r="B7" s="49" t="s">
        <v>13</v>
      </c>
      <c r="C7" s="49">
        <v>3</v>
      </c>
      <c r="D7" s="49">
        <v>4</v>
      </c>
      <c r="E7" s="49">
        <f t="shared" si="0"/>
        <v>3.6666666666666665</v>
      </c>
      <c r="F7" s="49" t="str">
        <f t="shared" si="1"/>
        <v>X</v>
      </c>
      <c r="G7" s="49" t="str">
        <f t="shared" si="2"/>
        <v>yếu</v>
      </c>
      <c r="H7" s="49" t="str">
        <f t="shared" si="3"/>
        <v/>
      </c>
      <c r="I7" s="49" t="str">
        <f t="shared" si="4"/>
        <v/>
      </c>
    </row>
    <row r="8" spans="1:9">
      <c r="A8" s="49">
        <v>4</v>
      </c>
      <c r="B8" s="49" t="s">
        <v>15</v>
      </c>
      <c r="C8" s="49">
        <v>9</v>
      </c>
      <c r="D8" s="49">
        <v>10</v>
      </c>
      <c r="E8" s="49">
        <f t="shared" si="0"/>
        <v>9.6666666666666661</v>
      </c>
      <c r="F8" s="49" t="str">
        <f t="shared" si="1"/>
        <v/>
      </c>
      <c r="G8" s="49" t="str">
        <f t="shared" si="2"/>
        <v>giỏi</v>
      </c>
      <c r="H8" s="49" t="str">
        <f t="shared" si="3"/>
        <v>B</v>
      </c>
      <c r="I8" s="49" t="str">
        <f t="shared" si="4"/>
        <v>X</v>
      </c>
    </row>
    <row r="9" spans="1:9">
      <c r="A9" s="49">
        <v>5</v>
      </c>
      <c r="B9" s="49" t="s">
        <v>208</v>
      </c>
      <c r="C9" s="49">
        <v>4</v>
      </c>
      <c r="D9" s="49">
        <v>6</v>
      </c>
      <c r="E9" s="49">
        <f t="shared" si="0"/>
        <v>5.333333333333333</v>
      </c>
      <c r="F9" s="49" t="str">
        <f t="shared" si="1"/>
        <v/>
      </c>
      <c r="G9" s="49" t="str">
        <f t="shared" si="2"/>
        <v>TB</v>
      </c>
      <c r="H9" s="49" t="str">
        <f t="shared" si="3"/>
        <v>A</v>
      </c>
      <c r="I9" s="49" t="str">
        <f t="shared" si="4"/>
        <v/>
      </c>
    </row>
    <row r="10" spans="1:9">
      <c r="A10" s="49">
        <v>6</v>
      </c>
      <c r="B10" s="49" t="s">
        <v>18</v>
      </c>
      <c r="C10" s="49">
        <v>8</v>
      </c>
      <c r="D10" s="49">
        <v>8</v>
      </c>
      <c r="E10" s="49">
        <f t="shared" si="0"/>
        <v>8</v>
      </c>
      <c r="F10" s="49" t="str">
        <f t="shared" si="1"/>
        <v/>
      </c>
      <c r="G10" s="49" t="str">
        <f t="shared" si="2"/>
        <v>khá</v>
      </c>
      <c r="H10" s="49" t="str">
        <f t="shared" si="3"/>
        <v>B</v>
      </c>
      <c r="I10" s="49" t="str">
        <f t="shared" si="4"/>
        <v/>
      </c>
    </row>
  </sheetData>
  <mergeCells count="8">
    <mergeCell ref="A1:I1"/>
    <mergeCell ref="A2:I2"/>
    <mergeCell ref="A3:A4"/>
    <mergeCell ref="B3:B4"/>
    <mergeCell ref="C3:E3"/>
    <mergeCell ref="F3:G3"/>
    <mergeCell ref="H3:H4"/>
    <mergeCell ref="I3:I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9"/>
  <sheetViews>
    <sheetView workbookViewId="0">
      <selection activeCell="G29" sqref="G29"/>
    </sheetView>
  </sheetViews>
  <sheetFormatPr defaultRowHeight="15"/>
  <cols>
    <col min="2" max="3" width="11.5703125" customWidth="1"/>
    <col min="4" max="4" width="13.85546875" customWidth="1"/>
    <col min="6" max="6" width="10.5703125" customWidth="1"/>
  </cols>
  <sheetData>
    <row r="1" spans="1:6">
      <c r="A1" s="114" t="s">
        <v>285</v>
      </c>
      <c r="B1" s="119"/>
      <c r="C1" s="119"/>
      <c r="D1" s="119"/>
      <c r="E1" s="119"/>
      <c r="F1" s="115"/>
    </row>
    <row r="2" spans="1:6">
      <c r="A2" s="114" t="s">
        <v>286</v>
      </c>
      <c r="B2" s="119"/>
      <c r="C2" s="119"/>
      <c r="D2" s="119"/>
      <c r="E2" s="119"/>
      <c r="F2" s="115"/>
    </row>
    <row r="3" spans="1:6">
      <c r="A3" s="120" t="s">
        <v>1</v>
      </c>
      <c r="B3" s="120" t="s">
        <v>287</v>
      </c>
      <c r="C3" s="120" t="s">
        <v>288</v>
      </c>
      <c r="D3" s="73" t="s">
        <v>289</v>
      </c>
      <c r="E3" s="120" t="s">
        <v>290</v>
      </c>
      <c r="F3" s="73" t="s">
        <v>291</v>
      </c>
    </row>
    <row r="4" spans="1:6">
      <c r="A4" s="121"/>
      <c r="B4" s="121"/>
      <c r="C4" s="121"/>
      <c r="D4" s="73" t="s">
        <v>292</v>
      </c>
      <c r="E4" s="121"/>
      <c r="F4" s="73" t="s">
        <v>293</v>
      </c>
    </row>
    <row r="5" spans="1:6">
      <c r="A5" s="74">
        <v>1</v>
      </c>
      <c r="B5" s="49" t="s">
        <v>294</v>
      </c>
      <c r="C5" s="74">
        <v>9.5</v>
      </c>
      <c r="D5" s="74" t="s">
        <v>54</v>
      </c>
      <c r="E5" s="75">
        <v>500000</v>
      </c>
      <c r="F5" s="74"/>
    </row>
    <row r="6" spans="1:6">
      <c r="A6" s="74">
        <v>2</v>
      </c>
      <c r="B6" s="49" t="s">
        <v>11</v>
      </c>
      <c r="C6" s="74">
        <v>6</v>
      </c>
      <c r="D6" s="74"/>
      <c r="E6" s="74"/>
      <c r="F6" s="74"/>
    </row>
    <row r="7" spans="1:6">
      <c r="A7" s="74">
        <v>3</v>
      </c>
      <c r="B7" s="49" t="s">
        <v>13</v>
      </c>
      <c r="C7" s="74">
        <v>7.5</v>
      </c>
      <c r="D7" s="74" t="s">
        <v>56</v>
      </c>
      <c r="E7" s="75">
        <v>300000</v>
      </c>
      <c r="F7" s="74"/>
    </row>
    <row r="8" spans="1:6">
      <c r="A8" s="74">
        <v>4</v>
      </c>
      <c r="B8" s="49" t="s">
        <v>15</v>
      </c>
      <c r="C8" s="74">
        <v>9</v>
      </c>
      <c r="D8" s="74" t="s">
        <v>54</v>
      </c>
      <c r="E8" s="75">
        <v>500000</v>
      </c>
      <c r="F8" s="74"/>
    </row>
    <row r="9" spans="1:6">
      <c r="A9" s="74">
        <v>5</v>
      </c>
      <c r="B9" s="49" t="s">
        <v>295</v>
      </c>
      <c r="C9" s="74">
        <v>5</v>
      </c>
      <c r="D9" s="74"/>
      <c r="E9" s="74"/>
      <c r="F9" s="74"/>
    </row>
    <row r="10" spans="1:6">
      <c r="A10" s="74">
        <v>6</v>
      </c>
      <c r="B10" s="49" t="s">
        <v>18</v>
      </c>
      <c r="C10" s="74">
        <v>8</v>
      </c>
      <c r="D10" s="74" t="s">
        <v>56</v>
      </c>
      <c r="E10" s="75">
        <v>300000</v>
      </c>
      <c r="F10" s="74"/>
    </row>
    <row r="12" spans="1:6">
      <c r="C12" s="116" t="s">
        <v>296</v>
      </c>
      <c r="D12" s="117"/>
      <c r="E12" s="118"/>
    </row>
    <row r="13" spans="1:6">
      <c r="C13" s="114"/>
      <c r="D13" s="115"/>
      <c r="E13" s="74"/>
    </row>
    <row r="14" spans="1:6">
      <c r="C14" s="114"/>
      <c r="D14" s="115"/>
      <c r="E14" s="74"/>
    </row>
    <row r="15" spans="1:6">
      <c r="C15" s="114"/>
      <c r="D15" s="115"/>
      <c r="E15" s="74"/>
    </row>
    <row r="16" spans="1:6">
      <c r="C16" s="114"/>
      <c r="D16" s="115"/>
      <c r="E16" s="74"/>
    </row>
    <row r="17" spans="3:5">
      <c r="C17" s="114"/>
      <c r="D17" s="115"/>
      <c r="E17" s="74"/>
    </row>
    <row r="18" spans="3:5">
      <c r="C18" s="114"/>
      <c r="D18" s="115"/>
      <c r="E18" s="74"/>
    </row>
    <row r="19" spans="3:5">
      <c r="C19" s="114"/>
      <c r="D19" s="115"/>
      <c r="E19" s="74"/>
    </row>
  </sheetData>
  <mergeCells count="14">
    <mergeCell ref="A1:F1"/>
    <mergeCell ref="A2:F2"/>
    <mergeCell ref="A3:A4"/>
    <mergeCell ref="B3:B4"/>
    <mergeCell ref="C3:C4"/>
    <mergeCell ref="E3:E4"/>
    <mergeCell ref="C18:D18"/>
    <mergeCell ref="C19:D19"/>
    <mergeCell ref="C12:E12"/>
    <mergeCell ref="C13:D13"/>
    <mergeCell ref="C14:D14"/>
    <mergeCell ref="C15:D15"/>
    <mergeCell ref="C16:D16"/>
    <mergeCell ref="C17:D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5"/>
  <sheetViews>
    <sheetView topLeftCell="A13" workbookViewId="0">
      <selection activeCell="H3" sqref="H3"/>
    </sheetView>
  </sheetViews>
  <sheetFormatPr defaultRowHeight="15"/>
  <cols>
    <col min="1" max="1" width="13.7109375" bestFit="1" customWidth="1"/>
    <col min="2" max="2" width="17.85546875" bestFit="1" customWidth="1"/>
    <col min="3" max="3" width="21.5703125" bestFit="1" customWidth="1"/>
    <col min="4" max="4" width="19.140625" customWidth="1"/>
    <col min="5" max="5" width="23.28515625" customWidth="1"/>
    <col min="6" max="6" width="18.85546875" customWidth="1"/>
    <col min="7" max="7" width="14.140625" customWidth="1"/>
    <col min="8" max="8" width="16.7109375" bestFit="1" customWidth="1"/>
  </cols>
  <sheetData>
    <row r="1" spans="1:8" ht="45" customHeight="1">
      <c r="A1" s="122" t="s">
        <v>0</v>
      </c>
      <c r="B1" s="122"/>
      <c r="C1" s="122"/>
      <c r="D1" s="122"/>
      <c r="E1" s="122"/>
      <c r="F1" s="122"/>
      <c r="G1" s="122"/>
      <c r="H1" s="122"/>
    </row>
    <row r="2" spans="1:8" ht="30" customHeight="1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ht="24.75" customHeight="1">
      <c r="A3" s="3">
        <v>1</v>
      </c>
      <c r="B3" s="4" t="s">
        <v>9</v>
      </c>
      <c r="C3" s="3" t="s">
        <v>10</v>
      </c>
      <c r="D3" s="4" t="str">
        <f>VLOOKUP(C3,$A$12:$D$15,2,0)</f>
        <v>XƯỞNG 1</v>
      </c>
      <c r="E3" s="4">
        <f>VLOOKUP(C3,$A$12:$D$15,3,0)</f>
        <v>200000</v>
      </c>
      <c r="F3" s="3">
        <v>2</v>
      </c>
      <c r="G3" s="4">
        <f>F3*VLOOKUP(C3,$A$12:$D$15,4,0)</f>
        <v>1000000</v>
      </c>
      <c r="H3" s="3"/>
    </row>
    <row r="4" spans="1:8" ht="24.75" customHeight="1">
      <c r="A4" s="3">
        <v>2</v>
      </c>
      <c r="B4" s="4" t="s">
        <v>11</v>
      </c>
      <c r="C4" s="3" t="s">
        <v>12</v>
      </c>
      <c r="D4" s="4" t="str">
        <f t="shared" ref="D4:D8" si="0">VLOOKUP(C4,$A$12:$D$15,2,0)</f>
        <v>XƯỞNG 2</v>
      </c>
      <c r="E4" s="4">
        <f t="shared" ref="E4:E8" si="1">VLOOKUP(C4,$A$12:$D$15,3,0)</f>
        <v>300000</v>
      </c>
      <c r="F4" s="3">
        <v>3</v>
      </c>
      <c r="G4" s="4">
        <f t="shared" ref="G4:G8" si="2">F4*VLOOKUP(C4,$A$12:$D$15,4,0)</f>
        <v>1500000</v>
      </c>
      <c r="H4" s="3"/>
    </row>
    <row r="5" spans="1:8" ht="24.75" customHeight="1">
      <c r="A5" s="3">
        <v>3</v>
      </c>
      <c r="B5" s="4" t="s">
        <v>13</v>
      </c>
      <c r="C5" s="3" t="s">
        <v>14</v>
      </c>
      <c r="D5" s="4" t="str">
        <f t="shared" si="0"/>
        <v>XƯỞNG 3</v>
      </c>
      <c r="E5" s="4">
        <f t="shared" si="1"/>
        <v>0</v>
      </c>
      <c r="F5" s="3">
        <v>1.5</v>
      </c>
      <c r="G5" s="4">
        <f t="shared" si="2"/>
        <v>525000</v>
      </c>
      <c r="H5" s="3"/>
    </row>
    <row r="6" spans="1:8" ht="24.75" customHeight="1">
      <c r="A6" s="3">
        <v>4</v>
      </c>
      <c r="B6" s="4" t="s">
        <v>15</v>
      </c>
      <c r="C6" s="3" t="s">
        <v>16</v>
      </c>
      <c r="D6" s="4" t="str">
        <f t="shared" si="0"/>
        <v>XƯỞNG HÓA</v>
      </c>
      <c r="E6" s="4">
        <f t="shared" si="1"/>
        <v>500000</v>
      </c>
      <c r="F6" s="3">
        <v>3</v>
      </c>
      <c r="G6" s="4">
        <f t="shared" si="2"/>
        <v>2400000</v>
      </c>
      <c r="H6" s="3"/>
    </row>
    <row r="7" spans="1:8" ht="24.75" customHeight="1">
      <c r="A7" s="3">
        <v>5</v>
      </c>
      <c r="B7" s="5" t="s">
        <v>17</v>
      </c>
      <c r="C7" s="3" t="s">
        <v>10</v>
      </c>
      <c r="D7" s="4" t="str">
        <f t="shared" si="0"/>
        <v>XƯỞNG 1</v>
      </c>
      <c r="E7" s="4">
        <f t="shared" si="1"/>
        <v>200000</v>
      </c>
      <c r="F7" s="6">
        <v>3</v>
      </c>
      <c r="G7" s="4">
        <f t="shared" si="2"/>
        <v>1500000</v>
      </c>
      <c r="H7" s="3"/>
    </row>
    <row r="8" spans="1:8" ht="24.75" customHeight="1">
      <c r="A8" s="3">
        <v>6</v>
      </c>
      <c r="B8" s="5" t="s">
        <v>18</v>
      </c>
      <c r="C8" s="3" t="s">
        <v>14</v>
      </c>
      <c r="D8" s="4" t="str">
        <f t="shared" si="0"/>
        <v>XƯỞNG 3</v>
      </c>
      <c r="E8" s="4">
        <f t="shared" si="1"/>
        <v>0</v>
      </c>
      <c r="F8" s="6">
        <v>2</v>
      </c>
      <c r="G8" s="4">
        <f t="shared" si="2"/>
        <v>700000</v>
      </c>
      <c r="H8" s="3"/>
    </row>
    <row r="9" spans="1:8" ht="24.75" customHeight="1">
      <c r="A9" s="7"/>
      <c r="B9" s="8"/>
      <c r="C9" s="8"/>
      <c r="D9" s="8"/>
      <c r="E9" s="8"/>
      <c r="F9" s="8"/>
      <c r="G9" s="8"/>
      <c r="H9" s="7"/>
    </row>
    <row r="11" spans="1:8" ht="15.75">
      <c r="A11" s="1" t="s">
        <v>3</v>
      </c>
      <c r="B11" s="1" t="s">
        <v>4</v>
      </c>
      <c r="C11" s="1" t="s">
        <v>5</v>
      </c>
      <c r="D11" s="1" t="s">
        <v>19</v>
      </c>
    </row>
    <row r="12" spans="1:8" ht="18.75">
      <c r="A12" s="4" t="s">
        <v>10</v>
      </c>
      <c r="B12" s="4" t="s">
        <v>20</v>
      </c>
      <c r="C12" s="4">
        <v>200000</v>
      </c>
      <c r="D12" s="4">
        <v>500000</v>
      </c>
    </row>
    <row r="13" spans="1:8" ht="18.75">
      <c r="A13" s="4" t="s">
        <v>12</v>
      </c>
      <c r="B13" s="4" t="s">
        <v>21</v>
      </c>
      <c r="C13" s="4">
        <v>300000</v>
      </c>
      <c r="D13" s="4">
        <v>500000</v>
      </c>
    </row>
    <row r="14" spans="1:8" ht="18.75">
      <c r="A14" s="4" t="s">
        <v>14</v>
      </c>
      <c r="B14" s="4" t="s">
        <v>22</v>
      </c>
      <c r="C14" s="4">
        <v>0</v>
      </c>
      <c r="D14" s="4">
        <v>350000</v>
      </c>
    </row>
    <row r="15" spans="1:8" ht="18.75">
      <c r="A15" s="4" t="s">
        <v>16</v>
      </c>
      <c r="B15" s="4" t="s">
        <v>23</v>
      </c>
      <c r="C15" s="4">
        <v>500000</v>
      </c>
      <c r="D15" s="4">
        <v>800000</v>
      </c>
    </row>
  </sheetData>
  <mergeCells count="1">
    <mergeCell ref="A1:H1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13"/>
  <sheetViews>
    <sheetView topLeftCell="A13" workbookViewId="0">
      <selection activeCell="F38" sqref="F38"/>
    </sheetView>
  </sheetViews>
  <sheetFormatPr defaultRowHeight="15"/>
  <cols>
    <col min="1" max="1" width="11.42578125" customWidth="1"/>
    <col min="2" max="2" width="20.85546875" customWidth="1"/>
    <col min="3" max="3" width="20.5703125" customWidth="1"/>
    <col min="4" max="6" width="17.140625" customWidth="1"/>
    <col min="7" max="7" width="15.140625" customWidth="1"/>
  </cols>
  <sheetData>
    <row r="1" spans="1:7" ht="29.25" customHeight="1">
      <c r="A1" s="123" t="s">
        <v>24</v>
      </c>
      <c r="B1" s="123"/>
      <c r="C1" s="123"/>
      <c r="D1" s="123"/>
      <c r="E1" s="123"/>
      <c r="F1" s="123"/>
      <c r="G1" s="123"/>
    </row>
    <row r="2" spans="1:7" ht="24.75" customHeight="1">
      <c r="A2" s="9" t="s">
        <v>1</v>
      </c>
      <c r="B2" s="9" t="s">
        <v>25</v>
      </c>
      <c r="C2" s="9" t="s">
        <v>26</v>
      </c>
      <c r="D2" s="10" t="s">
        <v>27</v>
      </c>
      <c r="E2" s="10" t="s">
        <v>28</v>
      </c>
      <c r="F2" s="10" t="s">
        <v>29</v>
      </c>
      <c r="G2" s="10" t="s">
        <v>30</v>
      </c>
    </row>
    <row r="3" spans="1:7" ht="23.25" customHeight="1">
      <c r="A3" s="11">
        <v>1</v>
      </c>
      <c r="B3" s="12" t="s">
        <v>31</v>
      </c>
      <c r="C3" s="13"/>
      <c r="D3" s="11">
        <v>10</v>
      </c>
      <c r="E3" s="11"/>
      <c r="F3" s="11"/>
      <c r="G3" s="14"/>
    </row>
    <row r="4" spans="1:7" ht="23.25" customHeight="1">
      <c r="A4" s="11">
        <v>2</v>
      </c>
      <c r="B4" s="12" t="s">
        <v>32</v>
      </c>
      <c r="C4" s="13"/>
      <c r="D4" s="11">
        <v>200</v>
      </c>
      <c r="E4" s="11"/>
      <c r="F4" s="11"/>
      <c r="G4" s="14"/>
    </row>
    <row r="5" spans="1:7" ht="23.25" customHeight="1">
      <c r="A5" s="11">
        <v>3</v>
      </c>
      <c r="B5" s="12" t="s">
        <v>33</v>
      </c>
      <c r="C5" s="13"/>
      <c r="D5" s="11">
        <v>50</v>
      </c>
      <c r="E5" s="11"/>
      <c r="F5" s="11"/>
      <c r="G5" s="14"/>
    </row>
    <row r="6" spans="1:7" ht="23.25" customHeight="1">
      <c r="A6" s="11">
        <v>4</v>
      </c>
      <c r="B6" s="12" t="s">
        <v>34</v>
      </c>
      <c r="C6" s="13"/>
      <c r="D6" s="11">
        <v>100</v>
      </c>
      <c r="E6" s="11"/>
      <c r="F6" s="11"/>
      <c r="G6" s="14"/>
    </row>
    <row r="7" spans="1:7" ht="23.25" customHeight="1">
      <c r="A7" s="11">
        <v>5</v>
      </c>
      <c r="B7" s="12" t="s">
        <v>35</v>
      </c>
      <c r="C7" s="13"/>
      <c r="D7" s="11">
        <v>200</v>
      </c>
      <c r="E7" s="11"/>
      <c r="F7" s="11"/>
      <c r="G7" s="14"/>
    </row>
    <row r="8" spans="1:7" ht="23.25" customHeight="1">
      <c r="A8" s="11">
        <v>6</v>
      </c>
      <c r="B8" s="12" t="s">
        <v>36</v>
      </c>
      <c r="C8" s="13"/>
      <c r="D8" s="11">
        <v>100</v>
      </c>
      <c r="E8" s="11"/>
      <c r="F8" s="11"/>
      <c r="G8" s="14"/>
    </row>
    <row r="10" spans="1:7" ht="21.75" customHeight="1">
      <c r="A10" s="124" t="s">
        <v>37</v>
      </c>
      <c r="B10" s="124"/>
      <c r="C10" s="124"/>
      <c r="D10" s="124"/>
    </row>
    <row r="11" spans="1:7" ht="19.5" customHeight="1">
      <c r="A11" s="6" t="s">
        <v>38</v>
      </c>
      <c r="B11" s="6" t="s">
        <v>39</v>
      </c>
      <c r="C11" s="6" t="s">
        <v>40</v>
      </c>
      <c r="D11" s="6" t="s">
        <v>41</v>
      </c>
      <c r="E11" s="15" t="s">
        <v>42</v>
      </c>
    </row>
    <row r="12" spans="1:7" ht="19.5" customHeight="1">
      <c r="A12" s="6" t="s">
        <v>26</v>
      </c>
      <c r="B12" s="6" t="s">
        <v>43</v>
      </c>
      <c r="C12" s="6" t="s">
        <v>44</v>
      </c>
      <c r="D12" s="6" t="s">
        <v>45</v>
      </c>
      <c r="E12" s="15" t="s">
        <v>46</v>
      </c>
    </row>
    <row r="13" spans="1:7" ht="19.5" customHeight="1">
      <c r="A13" s="6" t="s">
        <v>29</v>
      </c>
      <c r="B13" s="6">
        <v>1200</v>
      </c>
      <c r="C13" s="6">
        <v>800</v>
      </c>
      <c r="D13" s="6">
        <v>1000</v>
      </c>
      <c r="E13" s="15">
        <v>2500</v>
      </c>
    </row>
  </sheetData>
  <mergeCells count="2">
    <mergeCell ref="A1:G1"/>
    <mergeCell ref="A10:D10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3"/>
  <sheetViews>
    <sheetView topLeftCell="A7" workbookViewId="0">
      <selection activeCell="H26" sqref="H26"/>
    </sheetView>
  </sheetViews>
  <sheetFormatPr defaultRowHeight="15"/>
  <cols>
    <col min="2" max="2" width="15.5703125" customWidth="1"/>
    <col min="3" max="3" width="13.28515625" customWidth="1"/>
    <col min="4" max="4" width="17.85546875" customWidth="1"/>
    <col min="5" max="5" width="13.7109375" customWidth="1"/>
    <col min="6" max="6" width="15" customWidth="1"/>
  </cols>
  <sheetData>
    <row r="1" spans="1:6" ht="30" customHeight="1">
      <c r="A1" s="124" t="s">
        <v>47</v>
      </c>
      <c r="B1" s="124"/>
      <c r="C1" s="124"/>
      <c r="D1" s="124"/>
      <c r="E1" s="124"/>
      <c r="F1" s="124"/>
    </row>
    <row r="2" spans="1:6" ht="28.5">
      <c r="A2" s="9" t="s">
        <v>1</v>
      </c>
      <c r="B2" s="9" t="s">
        <v>2</v>
      </c>
      <c r="C2" s="9" t="s">
        <v>48</v>
      </c>
      <c r="D2" s="10" t="s">
        <v>49</v>
      </c>
      <c r="E2" s="10" t="s">
        <v>50</v>
      </c>
      <c r="F2" s="10" t="s">
        <v>51</v>
      </c>
    </row>
    <row r="3" spans="1:6" ht="24.75" customHeight="1">
      <c r="A3" s="11">
        <v>1</v>
      </c>
      <c r="B3" s="12" t="s">
        <v>52</v>
      </c>
      <c r="C3" s="13" t="s">
        <v>53</v>
      </c>
      <c r="D3" s="11" t="s">
        <v>54</v>
      </c>
      <c r="E3" s="11">
        <v>500000</v>
      </c>
      <c r="F3" s="11">
        <v>2100000</v>
      </c>
    </row>
    <row r="4" spans="1:6" ht="24.75" customHeight="1">
      <c r="A4" s="11">
        <v>2</v>
      </c>
      <c r="B4" s="12" t="s">
        <v>55</v>
      </c>
      <c r="C4" s="13" t="s">
        <v>53</v>
      </c>
      <c r="D4" s="11" t="s">
        <v>56</v>
      </c>
      <c r="E4" s="11">
        <v>300000</v>
      </c>
      <c r="F4" s="11">
        <v>1550000</v>
      </c>
    </row>
    <row r="5" spans="1:6" ht="24.75" customHeight="1">
      <c r="A5" s="11">
        <v>3</v>
      </c>
      <c r="B5" s="12" t="s">
        <v>57</v>
      </c>
      <c r="C5" s="13" t="s">
        <v>58</v>
      </c>
      <c r="D5" s="11" t="s">
        <v>54</v>
      </c>
      <c r="E5" s="11">
        <v>500000</v>
      </c>
      <c r="F5" s="11">
        <v>1400000</v>
      </c>
    </row>
    <row r="6" spans="1:6" ht="24.75" customHeight="1">
      <c r="A6" s="11">
        <v>4</v>
      </c>
      <c r="B6" s="12" t="s">
        <v>59</v>
      </c>
      <c r="C6" s="13" t="s">
        <v>58</v>
      </c>
      <c r="D6" s="11" t="s">
        <v>60</v>
      </c>
      <c r="E6" s="11">
        <v>200000</v>
      </c>
      <c r="F6" s="11">
        <v>1110000</v>
      </c>
    </row>
    <row r="7" spans="1:6" ht="24.75" customHeight="1">
      <c r="A7" s="11">
        <v>5</v>
      </c>
      <c r="B7" s="12" t="s">
        <v>61</v>
      </c>
      <c r="C7" s="13" t="s">
        <v>58</v>
      </c>
      <c r="D7" s="11" t="s">
        <v>60</v>
      </c>
      <c r="E7" s="11">
        <v>200000</v>
      </c>
      <c r="F7" s="11">
        <v>900000</v>
      </c>
    </row>
    <row r="8" spans="1:6" ht="24.75" customHeight="1">
      <c r="A8" s="11">
        <v>6</v>
      </c>
      <c r="B8" s="12" t="s">
        <v>62</v>
      </c>
      <c r="C8" s="13" t="s">
        <v>58</v>
      </c>
      <c r="D8" s="11" t="s">
        <v>54</v>
      </c>
      <c r="E8" s="11">
        <v>500000</v>
      </c>
      <c r="F8" s="11">
        <v>1400000</v>
      </c>
    </row>
    <row r="10" spans="1:6" ht="23.25" customHeight="1">
      <c r="C10" s="125" t="s">
        <v>63</v>
      </c>
      <c r="D10" s="125"/>
      <c r="E10" s="125"/>
      <c r="F10" s="125"/>
    </row>
    <row r="11" spans="1:6" ht="24" customHeight="1">
      <c r="C11" s="16" t="s">
        <v>48</v>
      </c>
      <c r="D11" s="16" t="s">
        <v>64</v>
      </c>
      <c r="E11" s="16" t="s">
        <v>65</v>
      </c>
      <c r="F11" s="16" t="s">
        <v>8</v>
      </c>
    </row>
    <row r="12" spans="1:6" ht="24" customHeight="1">
      <c r="C12" s="16" t="s">
        <v>53</v>
      </c>
      <c r="D12" s="17"/>
      <c r="E12" s="17"/>
      <c r="F12" s="17"/>
    </row>
    <row r="13" spans="1:6" ht="24" customHeight="1">
      <c r="C13" s="16" t="s">
        <v>58</v>
      </c>
      <c r="D13" s="17"/>
      <c r="E13" s="17"/>
      <c r="F13" s="17"/>
    </row>
  </sheetData>
  <mergeCells count="2">
    <mergeCell ref="A1:F1"/>
    <mergeCell ref="C10:F10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5"/>
  <sheetViews>
    <sheetView topLeftCell="A7" workbookViewId="0">
      <selection activeCell="G24" sqref="G24"/>
    </sheetView>
  </sheetViews>
  <sheetFormatPr defaultRowHeight="15"/>
  <cols>
    <col min="2" max="2" width="15.5703125" customWidth="1"/>
    <col min="3" max="3" width="21.5703125" customWidth="1"/>
    <col min="4" max="4" width="17.85546875" customWidth="1"/>
    <col min="5" max="5" width="13.7109375" customWidth="1"/>
    <col min="6" max="6" width="15" customWidth="1"/>
  </cols>
  <sheetData>
    <row r="1" spans="1:11" ht="30" customHeight="1">
      <c r="A1" s="124" t="s">
        <v>66</v>
      </c>
      <c r="B1" s="124"/>
      <c r="C1" s="124"/>
      <c r="D1" s="124"/>
      <c r="E1" s="124"/>
      <c r="F1" s="124"/>
    </row>
    <row r="2" spans="1:11">
      <c r="A2" s="9" t="s">
        <v>1</v>
      </c>
      <c r="B2" s="9" t="s">
        <v>67</v>
      </c>
      <c r="C2" s="9" t="s">
        <v>68</v>
      </c>
      <c r="D2" s="10" t="s">
        <v>27</v>
      </c>
      <c r="E2" s="10" t="s">
        <v>69</v>
      </c>
      <c r="F2" s="10" t="s">
        <v>70</v>
      </c>
    </row>
    <row r="3" spans="1:11" ht="24.75" customHeight="1">
      <c r="A3" s="11">
        <v>1</v>
      </c>
      <c r="B3" s="4" t="s">
        <v>71</v>
      </c>
      <c r="C3" s="13">
        <v>39083</v>
      </c>
      <c r="D3" s="3">
        <v>10</v>
      </c>
      <c r="E3" s="11">
        <v>10500000</v>
      </c>
      <c r="F3" s="11" t="s">
        <v>72</v>
      </c>
    </row>
    <row r="4" spans="1:11" ht="24.75" customHeight="1">
      <c r="A4" s="11">
        <v>2</v>
      </c>
      <c r="B4" s="4" t="s">
        <v>73</v>
      </c>
      <c r="C4" s="13">
        <v>39083</v>
      </c>
      <c r="D4" s="3">
        <v>5</v>
      </c>
      <c r="E4" s="11">
        <v>2100000</v>
      </c>
      <c r="F4" s="11" t="s">
        <v>74</v>
      </c>
      <c r="K4" s="18"/>
    </row>
    <row r="5" spans="1:11" ht="24.75" customHeight="1">
      <c r="A5" s="11">
        <v>3</v>
      </c>
      <c r="B5" s="4" t="s">
        <v>75</v>
      </c>
      <c r="C5" s="13">
        <v>39095</v>
      </c>
      <c r="D5" s="3">
        <v>12</v>
      </c>
      <c r="E5" s="11">
        <v>7800000</v>
      </c>
      <c r="F5" s="11" t="s">
        <v>76</v>
      </c>
      <c r="K5" s="128"/>
    </row>
    <row r="6" spans="1:11" ht="24.75" customHeight="1">
      <c r="A6" s="11">
        <v>4</v>
      </c>
      <c r="B6" s="4" t="s">
        <v>77</v>
      </c>
      <c r="C6" s="13">
        <v>39102</v>
      </c>
      <c r="D6" s="3">
        <v>10</v>
      </c>
      <c r="E6" s="11">
        <v>8000000</v>
      </c>
      <c r="F6" s="11" t="s">
        <v>76</v>
      </c>
      <c r="K6" s="128"/>
    </row>
    <row r="7" spans="1:11" ht="24.75" customHeight="1">
      <c r="A7" s="11">
        <v>5</v>
      </c>
      <c r="B7" s="19" t="s">
        <v>71</v>
      </c>
      <c r="C7" s="13">
        <v>39107</v>
      </c>
      <c r="D7" s="3">
        <v>20</v>
      </c>
      <c r="E7" s="11">
        <v>12200000</v>
      </c>
      <c r="F7" s="11" t="s">
        <v>72</v>
      </c>
      <c r="K7" s="20"/>
    </row>
    <row r="8" spans="1:11" ht="24.75" customHeight="1">
      <c r="A8" s="11">
        <v>6</v>
      </c>
      <c r="B8" s="19" t="s">
        <v>78</v>
      </c>
      <c r="C8" s="13">
        <v>39112</v>
      </c>
      <c r="D8" s="3">
        <v>2</v>
      </c>
      <c r="E8" s="11">
        <v>100000</v>
      </c>
      <c r="F8" s="11" t="s">
        <v>74</v>
      </c>
      <c r="K8" s="20"/>
    </row>
    <row r="9" spans="1:11" ht="18.75">
      <c r="K9" s="20"/>
    </row>
    <row r="10" spans="1:11" ht="23.25" customHeight="1">
      <c r="B10" s="125" t="s">
        <v>79</v>
      </c>
      <c r="C10" s="125"/>
      <c r="D10" s="125"/>
      <c r="E10" s="21"/>
      <c r="F10" s="21"/>
      <c r="K10" s="20"/>
    </row>
    <row r="11" spans="1:11" ht="27.75" customHeight="1">
      <c r="B11" s="129" t="s">
        <v>80</v>
      </c>
      <c r="C11" s="130"/>
      <c r="D11" s="1"/>
      <c r="E11" s="22"/>
      <c r="F11" s="22"/>
      <c r="K11" s="23"/>
    </row>
    <row r="12" spans="1:11" ht="27.75" customHeight="1">
      <c r="B12" s="131" t="s">
        <v>81</v>
      </c>
      <c r="C12" s="132"/>
      <c r="D12" s="133"/>
      <c r="E12" s="24"/>
      <c r="F12" s="24"/>
      <c r="K12" s="23"/>
    </row>
    <row r="13" spans="1:11" ht="27.75" customHeight="1">
      <c r="B13" s="25" t="s">
        <v>72</v>
      </c>
      <c r="C13" s="126"/>
      <c r="D13" s="127"/>
      <c r="E13" s="24"/>
      <c r="F13" s="24"/>
      <c r="K13" s="18"/>
    </row>
    <row r="14" spans="1:11" ht="27.75" customHeight="1">
      <c r="B14" s="25" t="s">
        <v>74</v>
      </c>
      <c r="C14" s="126"/>
      <c r="D14" s="127"/>
    </row>
    <row r="15" spans="1:11" ht="24" customHeight="1">
      <c r="B15" s="25" t="s">
        <v>76</v>
      </c>
      <c r="C15" s="126"/>
      <c r="D15" s="127"/>
    </row>
  </sheetData>
  <mergeCells count="8">
    <mergeCell ref="C14:D14"/>
    <mergeCell ref="C15:D15"/>
    <mergeCell ref="A1:F1"/>
    <mergeCell ref="K5:K6"/>
    <mergeCell ref="B10:D10"/>
    <mergeCell ref="B11:C11"/>
    <mergeCell ref="B12:D12"/>
    <mergeCell ref="C13:D13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14"/>
  <sheetViews>
    <sheetView workbookViewId="0">
      <selection activeCell="I8" sqref="I8"/>
    </sheetView>
  </sheetViews>
  <sheetFormatPr defaultRowHeight="15"/>
  <cols>
    <col min="2" max="2" width="15.5703125" customWidth="1"/>
    <col min="3" max="3" width="21.7109375" customWidth="1"/>
    <col min="4" max="4" width="17.85546875" customWidth="1"/>
    <col min="5" max="6" width="13.7109375" customWidth="1"/>
    <col min="7" max="7" width="15" customWidth="1"/>
  </cols>
  <sheetData>
    <row r="1" spans="1:7" ht="30" customHeight="1">
      <c r="A1" s="124" t="s">
        <v>82</v>
      </c>
      <c r="B1" s="124"/>
      <c r="C1" s="124"/>
      <c r="D1" s="124"/>
      <c r="E1" s="124"/>
      <c r="F1" s="124"/>
      <c r="G1" s="124"/>
    </row>
    <row r="2" spans="1:7" ht="28.5">
      <c r="A2" s="9" t="s">
        <v>1</v>
      </c>
      <c r="B2" s="9" t="s">
        <v>2</v>
      </c>
      <c r="C2" s="9" t="s">
        <v>83</v>
      </c>
      <c r="D2" s="10" t="s">
        <v>84</v>
      </c>
      <c r="E2" s="10" t="s">
        <v>85</v>
      </c>
      <c r="F2" s="10" t="s">
        <v>86</v>
      </c>
      <c r="G2" s="10" t="s">
        <v>87</v>
      </c>
    </row>
    <row r="3" spans="1:7" ht="24.75" customHeight="1">
      <c r="A3" s="11">
        <v>1</v>
      </c>
      <c r="B3" s="12" t="s">
        <v>52</v>
      </c>
      <c r="C3" s="13" t="s">
        <v>88</v>
      </c>
      <c r="D3" s="11" t="str">
        <f>VLOOKUP(LEFT(C3,1),$A$12:$C$14,2,0)</f>
        <v>KHỐI A</v>
      </c>
      <c r="E3" s="11">
        <v>25</v>
      </c>
      <c r="F3" s="11">
        <f>IF(RIGHT(C3,1)="1",0,IF(RIGHT(C3,1)="2",1,2))</f>
        <v>0</v>
      </c>
      <c r="G3" s="11" t="str">
        <f>IF((E3+F3)&gt;VLOOKUP(LEFT(C3,1),$A$12:$C$14,3,0), "đậu", "rớt")</f>
        <v>đậu</v>
      </c>
    </row>
    <row r="4" spans="1:7" ht="24.75" customHeight="1">
      <c r="A4" s="11">
        <v>2</v>
      </c>
      <c r="B4" s="12" t="s">
        <v>55</v>
      </c>
      <c r="C4" s="13" t="s">
        <v>89</v>
      </c>
      <c r="D4" s="11" t="str">
        <f t="shared" ref="D4:D8" si="0">VLOOKUP(LEFT(C4,1),$A$12:$C$14,2,0)</f>
        <v>KHỐI A</v>
      </c>
      <c r="E4" s="11">
        <v>18</v>
      </c>
      <c r="F4" s="11">
        <f t="shared" ref="F4:F8" si="1">IF(RIGHT(C4,1)="1",0,IF(RIGHT(C4,1)="2",1,2))</f>
        <v>1</v>
      </c>
      <c r="G4" s="11" t="str">
        <f t="shared" ref="G4:G8" si="2">IF((E4+F4)&gt;VLOOKUP(LEFT(C4,1),$A$12:$C$14,3,0), "đậu", "rớt")</f>
        <v>rớt</v>
      </c>
    </row>
    <row r="5" spans="1:7" ht="24.75" customHeight="1">
      <c r="A5" s="11">
        <v>3</v>
      </c>
      <c r="B5" s="12" t="s">
        <v>57</v>
      </c>
      <c r="C5" s="13" t="s">
        <v>90</v>
      </c>
      <c r="D5" s="11" t="str">
        <f t="shared" si="0"/>
        <v>KHỐI B</v>
      </c>
      <c r="E5" s="11">
        <v>20</v>
      </c>
      <c r="F5" s="11">
        <f t="shared" si="1"/>
        <v>2</v>
      </c>
      <c r="G5" s="11" t="str">
        <f t="shared" si="2"/>
        <v>rớt</v>
      </c>
    </row>
    <row r="6" spans="1:7" ht="24.75" customHeight="1">
      <c r="A6" s="11">
        <v>4</v>
      </c>
      <c r="B6" s="12" t="s">
        <v>59</v>
      </c>
      <c r="C6" s="13" t="s">
        <v>91</v>
      </c>
      <c r="D6" s="11" t="str">
        <f t="shared" si="0"/>
        <v>KHỐI B</v>
      </c>
      <c r="E6" s="11">
        <v>27</v>
      </c>
      <c r="F6" s="11">
        <f t="shared" si="1"/>
        <v>0</v>
      </c>
      <c r="G6" s="11" t="str">
        <f t="shared" si="2"/>
        <v>đậu</v>
      </c>
    </row>
    <row r="7" spans="1:7" ht="24.75" customHeight="1">
      <c r="A7" s="11">
        <v>5</v>
      </c>
      <c r="B7" s="12" t="s">
        <v>61</v>
      </c>
      <c r="C7" s="13" t="s">
        <v>92</v>
      </c>
      <c r="D7" s="11" t="str">
        <f t="shared" si="0"/>
        <v>KHỐI B</v>
      </c>
      <c r="E7" s="11">
        <v>22</v>
      </c>
      <c r="F7" s="11">
        <f t="shared" si="1"/>
        <v>1</v>
      </c>
      <c r="G7" s="11" t="str">
        <f t="shared" si="2"/>
        <v>đậu</v>
      </c>
    </row>
    <row r="8" spans="1:7" ht="24.75" customHeight="1">
      <c r="A8" s="11">
        <v>6</v>
      </c>
      <c r="B8" s="12" t="s">
        <v>62</v>
      </c>
      <c r="C8" s="13" t="s">
        <v>93</v>
      </c>
      <c r="D8" s="11" t="str">
        <f t="shared" si="0"/>
        <v>KHỐI C</v>
      </c>
      <c r="E8" s="11">
        <v>21</v>
      </c>
      <c r="F8" s="11">
        <f t="shared" si="1"/>
        <v>0</v>
      </c>
      <c r="G8" s="11" t="str">
        <f t="shared" si="2"/>
        <v>rớt</v>
      </c>
    </row>
    <row r="10" spans="1:7" ht="23.25" customHeight="1">
      <c r="A10" s="97" t="s">
        <v>94</v>
      </c>
      <c r="B10" s="97"/>
      <c r="C10" s="21"/>
      <c r="D10" s="21"/>
      <c r="E10" s="21"/>
      <c r="F10" s="21"/>
      <c r="G10" s="21"/>
    </row>
    <row r="11" spans="1:7" ht="48" customHeight="1">
      <c r="A11" s="26" t="s">
        <v>95</v>
      </c>
      <c r="B11" s="16" t="s">
        <v>84</v>
      </c>
      <c r="C11" s="16" t="s">
        <v>96</v>
      </c>
      <c r="D11" s="22"/>
      <c r="E11" s="136" t="s">
        <v>97</v>
      </c>
      <c r="F11" s="137"/>
      <c r="G11" s="138"/>
    </row>
    <row r="12" spans="1:7" ht="24" customHeight="1">
      <c r="A12" s="27" t="s">
        <v>54</v>
      </c>
      <c r="B12" s="27" t="s">
        <v>98</v>
      </c>
      <c r="C12" s="28">
        <v>20</v>
      </c>
      <c r="D12" s="24"/>
      <c r="E12" s="139" t="s">
        <v>99</v>
      </c>
      <c r="F12" s="140"/>
      <c r="G12" s="17">
        <f>MAX(E3:E8)</f>
        <v>27</v>
      </c>
    </row>
    <row r="13" spans="1:7" ht="24" customHeight="1">
      <c r="A13" s="27" t="s">
        <v>56</v>
      </c>
      <c r="B13" s="27" t="s">
        <v>100</v>
      </c>
      <c r="C13" s="28">
        <v>22</v>
      </c>
      <c r="D13" s="24"/>
      <c r="E13" s="139" t="s">
        <v>101</v>
      </c>
      <c r="F13" s="140"/>
      <c r="G13" s="17">
        <f>COUNTIF($G$3:$G$8,"đậu")</f>
        <v>3</v>
      </c>
    </row>
    <row r="14" spans="1:7" ht="24" customHeight="1">
      <c r="A14" s="27" t="s">
        <v>60</v>
      </c>
      <c r="B14" s="27" t="s">
        <v>102</v>
      </c>
      <c r="C14" s="28">
        <v>21</v>
      </c>
      <c r="E14" s="134" t="s">
        <v>103</v>
      </c>
      <c r="F14" s="135"/>
      <c r="G14" s="17">
        <f>COUNTIF($G$3:$G$8,"rớt")</f>
        <v>3</v>
      </c>
    </row>
  </sheetData>
  <mergeCells count="6">
    <mergeCell ref="E14:F14"/>
    <mergeCell ref="A1:G1"/>
    <mergeCell ref="A10:B10"/>
    <mergeCell ref="E11:G11"/>
    <mergeCell ref="E12:F12"/>
    <mergeCell ref="E13:F13"/>
  </mergeCells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24"/>
  <sheetViews>
    <sheetView workbookViewId="0">
      <selection activeCell="I5" sqref="I5"/>
    </sheetView>
  </sheetViews>
  <sheetFormatPr defaultRowHeight="15"/>
  <cols>
    <col min="1" max="1" width="14.5703125" customWidth="1"/>
    <col min="2" max="2" width="22.7109375" customWidth="1"/>
    <col min="3" max="3" width="29.140625" customWidth="1"/>
    <col min="4" max="4" width="20.7109375" customWidth="1"/>
    <col min="5" max="5" width="16.5703125" customWidth="1"/>
    <col min="6" max="6" width="22.42578125" customWidth="1"/>
  </cols>
  <sheetData>
    <row r="1" spans="1:7" ht="25.5" customHeight="1">
      <c r="A1" s="141" t="s">
        <v>104</v>
      </c>
      <c r="B1" s="141"/>
      <c r="C1" s="141"/>
      <c r="D1" s="141"/>
      <c r="E1" s="141"/>
      <c r="F1" s="141"/>
    </row>
    <row r="2" spans="1:7" ht="15.75">
      <c r="A2" s="1" t="s">
        <v>1</v>
      </c>
      <c r="B2" s="1" t="s">
        <v>105</v>
      </c>
      <c r="C2" s="1" t="s">
        <v>106</v>
      </c>
      <c r="D2" s="29" t="s">
        <v>68</v>
      </c>
      <c r="E2" s="29" t="s">
        <v>29</v>
      </c>
      <c r="F2" s="29" t="s">
        <v>107</v>
      </c>
      <c r="G2" s="42" t="s">
        <v>297</v>
      </c>
    </row>
    <row r="3" spans="1:7" ht="24.75" customHeight="1">
      <c r="A3" s="6">
        <v>1</v>
      </c>
      <c r="B3" s="25" t="s">
        <v>108</v>
      </c>
      <c r="C3" s="30" t="str">
        <f>VLOOKUP(LEFT(B3,2),$A$15:$D$18,2,0)</f>
        <v>TỦ LẠNH</v>
      </c>
      <c r="D3" s="31">
        <v>42763</v>
      </c>
      <c r="E3" s="32">
        <f>IF(MID(B3,3,1)="1",VLOOKUP(LEFT(B3,2),$A$15:$D$18,3,0),VLOOKUP(LEFT(B3,2),$A$15:$D$18,4,0))</f>
        <v>4500000</v>
      </c>
      <c r="F3" s="32">
        <f>E3*40%*(1+IF(MID(B3,4,LEN(B3)-3)*1&lt;9,1%,IF(MID(B3,4,LEN(B3)-3)*1&lt;=11,1.2%,1.5%)))</f>
        <v>1821600</v>
      </c>
      <c r="G3" s="49">
        <f>MONTH(D3)</f>
        <v>1</v>
      </c>
    </row>
    <row r="4" spans="1:7" ht="24.75" customHeight="1">
      <c r="A4" s="6">
        <v>2</v>
      </c>
      <c r="B4" s="25" t="s">
        <v>109</v>
      </c>
      <c r="C4" s="30" t="str">
        <f t="shared" ref="C4:C11" si="0">VLOOKUP(LEFT(B4,2),$A$15:$D$18,2,0)</f>
        <v>MÁY TÍNH</v>
      </c>
      <c r="D4" s="31">
        <v>42767</v>
      </c>
      <c r="E4" s="32">
        <f t="shared" ref="E4:E11" si="1">IF(MID(B4,3,1)="1",VLOOKUP(LEFT(B4,2),$A$15:$D$18,3,0),VLOOKUP(LEFT(B4,2),$A$15:$D$18,4,0))</f>
        <v>8600000</v>
      </c>
      <c r="F4" s="32">
        <f t="shared" ref="F4:F11" si="2">E4*40%*(1+IF(MID(B4,4,LEN(B4)-3)*1&lt;9,1%,IF(MID(B4,4,LEN(B4)-3)*1&lt;=11,1.2%,1.5%)))</f>
        <v>3491599.9999999995</v>
      </c>
      <c r="G4" s="49">
        <f t="shared" ref="G4:G11" si="3">MONTH(D4)</f>
        <v>2</v>
      </c>
    </row>
    <row r="5" spans="1:7" ht="24.75" customHeight="1">
      <c r="A5" s="6">
        <v>3</v>
      </c>
      <c r="B5" s="25" t="s">
        <v>110</v>
      </c>
      <c r="C5" s="30" t="str">
        <f t="shared" si="0"/>
        <v>MÁY LẠNH</v>
      </c>
      <c r="D5" s="31">
        <v>42767</v>
      </c>
      <c r="E5" s="32">
        <f t="shared" si="1"/>
        <v>5000000</v>
      </c>
      <c r="F5" s="32">
        <f t="shared" si="2"/>
        <v>2024000</v>
      </c>
      <c r="G5" s="49">
        <f t="shared" si="3"/>
        <v>2</v>
      </c>
    </row>
    <row r="6" spans="1:7" ht="24.75" customHeight="1">
      <c r="A6" s="6">
        <v>4</v>
      </c>
      <c r="B6" s="25" t="s">
        <v>111</v>
      </c>
      <c r="C6" s="30" t="str">
        <f t="shared" si="0"/>
        <v>TI VI</v>
      </c>
      <c r="D6" s="31">
        <v>42795</v>
      </c>
      <c r="E6" s="32">
        <f t="shared" si="1"/>
        <v>4800000</v>
      </c>
      <c r="F6" s="32">
        <f t="shared" si="2"/>
        <v>1939200</v>
      </c>
      <c r="G6" s="49">
        <f t="shared" si="3"/>
        <v>3</v>
      </c>
    </row>
    <row r="7" spans="1:7" ht="24.75" customHeight="1">
      <c r="A7" s="6">
        <v>5</v>
      </c>
      <c r="B7" s="25" t="s">
        <v>112</v>
      </c>
      <c r="C7" s="30" t="str">
        <f t="shared" si="0"/>
        <v>MÁY TÍNH</v>
      </c>
      <c r="D7" s="31">
        <v>42801</v>
      </c>
      <c r="E7" s="32">
        <f t="shared" si="1"/>
        <v>7200000</v>
      </c>
      <c r="F7" s="32">
        <f t="shared" si="2"/>
        <v>2923199.9999999995</v>
      </c>
      <c r="G7" s="49">
        <f t="shared" si="3"/>
        <v>3</v>
      </c>
    </row>
    <row r="8" spans="1:7" ht="24.75" customHeight="1">
      <c r="A8" s="6">
        <v>6</v>
      </c>
      <c r="B8" s="25" t="s">
        <v>113</v>
      </c>
      <c r="C8" s="30" t="str">
        <f t="shared" si="0"/>
        <v>MÁY LẠNH</v>
      </c>
      <c r="D8" s="31">
        <v>42780</v>
      </c>
      <c r="E8" s="32">
        <f t="shared" si="1"/>
        <v>5200000</v>
      </c>
      <c r="F8" s="32">
        <f t="shared" si="2"/>
        <v>2100800</v>
      </c>
      <c r="G8" s="49">
        <f t="shared" si="3"/>
        <v>2</v>
      </c>
    </row>
    <row r="9" spans="1:7" ht="24.75" customHeight="1">
      <c r="A9" s="6">
        <v>7</v>
      </c>
      <c r="B9" s="25" t="s">
        <v>114</v>
      </c>
      <c r="C9" s="30" t="str">
        <f t="shared" si="0"/>
        <v>TI VI</v>
      </c>
      <c r="D9" s="31">
        <v>42781</v>
      </c>
      <c r="E9" s="32">
        <f t="shared" si="1"/>
        <v>4300000</v>
      </c>
      <c r="F9" s="32">
        <f t="shared" si="2"/>
        <v>1737200</v>
      </c>
      <c r="G9" s="49">
        <f t="shared" si="3"/>
        <v>2</v>
      </c>
    </row>
    <row r="10" spans="1:7" ht="24.75" customHeight="1">
      <c r="A10" s="6">
        <v>8</v>
      </c>
      <c r="B10" s="25" t="s">
        <v>108</v>
      </c>
      <c r="C10" s="30" t="str">
        <f t="shared" si="0"/>
        <v>TỦ LẠNH</v>
      </c>
      <c r="D10" s="31">
        <v>42791</v>
      </c>
      <c r="E10" s="32">
        <f t="shared" si="1"/>
        <v>4500000</v>
      </c>
      <c r="F10" s="32">
        <f t="shared" si="2"/>
        <v>1821600</v>
      </c>
      <c r="G10" s="49">
        <f t="shared" si="3"/>
        <v>2</v>
      </c>
    </row>
    <row r="11" spans="1:7" ht="24.75" customHeight="1">
      <c r="A11" s="6">
        <v>9</v>
      </c>
      <c r="B11" s="25" t="s">
        <v>115</v>
      </c>
      <c r="C11" s="30" t="str">
        <f t="shared" si="0"/>
        <v>TỦ LẠNH</v>
      </c>
      <c r="D11" s="31">
        <v>42797</v>
      </c>
      <c r="E11" s="32">
        <f t="shared" si="1"/>
        <v>5300000</v>
      </c>
      <c r="F11" s="32">
        <f t="shared" si="2"/>
        <v>2141200</v>
      </c>
      <c r="G11" s="49">
        <f t="shared" si="3"/>
        <v>3</v>
      </c>
    </row>
    <row r="12" spans="1:7" ht="15.75">
      <c r="A12" s="33"/>
      <c r="B12" s="33"/>
      <c r="C12" s="33"/>
      <c r="D12" s="33"/>
      <c r="E12" s="33"/>
      <c r="F12" s="33"/>
    </row>
    <row r="13" spans="1:7" ht="15.75">
      <c r="A13" s="142" t="s">
        <v>116</v>
      </c>
      <c r="B13" s="142"/>
      <c r="C13" s="142"/>
      <c r="D13" s="142"/>
      <c r="E13" s="33"/>
      <c r="F13" s="33"/>
    </row>
    <row r="14" spans="1:7" ht="15.75">
      <c r="A14" s="29" t="s">
        <v>117</v>
      </c>
      <c r="B14" s="1" t="s">
        <v>26</v>
      </c>
      <c r="C14" s="1" t="s">
        <v>118</v>
      </c>
      <c r="D14" s="1" t="s">
        <v>119</v>
      </c>
      <c r="E14" s="33"/>
      <c r="F14" s="33"/>
    </row>
    <row r="15" spans="1:7" ht="24" customHeight="1">
      <c r="A15" s="25" t="s">
        <v>120</v>
      </c>
      <c r="B15" s="25" t="s">
        <v>121</v>
      </c>
      <c r="C15" s="6">
        <v>8600000</v>
      </c>
      <c r="D15" s="6">
        <v>7200000</v>
      </c>
      <c r="E15" s="33"/>
      <c r="F15" s="33"/>
    </row>
    <row r="16" spans="1:7" ht="24" customHeight="1">
      <c r="A16" s="25" t="s">
        <v>122</v>
      </c>
      <c r="B16" s="25" t="s">
        <v>123</v>
      </c>
      <c r="C16" s="6">
        <v>5200000</v>
      </c>
      <c r="D16" s="6">
        <v>5000000</v>
      </c>
      <c r="E16" s="33"/>
      <c r="F16" s="33"/>
    </row>
    <row r="17" spans="1:6" ht="24" customHeight="1">
      <c r="A17" s="25" t="s">
        <v>124</v>
      </c>
      <c r="B17" s="25" t="s">
        <v>125</v>
      </c>
      <c r="C17" s="6">
        <v>5300000</v>
      </c>
      <c r="D17" s="6">
        <v>4500000</v>
      </c>
      <c r="E17" s="33"/>
      <c r="F17" s="33"/>
    </row>
    <row r="18" spans="1:6" ht="15.75">
      <c r="A18" s="34" t="s">
        <v>126</v>
      </c>
      <c r="B18" s="34" t="s">
        <v>127</v>
      </c>
      <c r="C18" s="6">
        <v>4800000</v>
      </c>
      <c r="D18" s="6">
        <v>4300000</v>
      </c>
      <c r="E18" s="33"/>
      <c r="F18" s="33"/>
    </row>
    <row r="19" spans="1:6" ht="15.75">
      <c r="A19" s="143"/>
      <c r="B19" s="143"/>
      <c r="C19" s="35"/>
      <c r="D19" s="33"/>
      <c r="E19" s="33"/>
      <c r="F19" s="33"/>
    </row>
    <row r="20" spans="1:6" ht="15.75">
      <c r="A20" s="29" t="s">
        <v>26</v>
      </c>
      <c r="B20" s="1" t="s">
        <v>128</v>
      </c>
      <c r="C20" s="1" t="s">
        <v>129</v>
      </c>
      <c r="D20" s="33"/>
      <c r="E20" s="33"/>
      <c r="F20" s="33"/>
    </row>
    <row r="21" spans="1:6" ht="25.5" customHeight="1">
      <c r="A21" s="25" t="s">
        <v>121</v>
      </c>
      <c r="B21" s="6">
        <f>COUNTIF($C$3:$C$11,$C$4)</f>
        <v>2</v>
      </c>
      <c r="C21" s="32">
        <f>SUMIF($C$3:$C$11,$C$4,$F$3:$F$11)</f>
        <v>6414799.9999999991</v>
      </c>
      <c r="D21" s="33"/>
      <c r="E21" s="33"/>
      <c r="F21" s="33"/>
    </row>
    <row r="22" spans="1:6" ht="25.5" customHeight="1">
      <c r="A22" s="25" t="s">
        <v>123</v>
      </c>
      <c r="B22" s="6">
        <f>COUNTIF($C$3:$C$11,$C$5)</f>
        <v>2</v>
      </c>
      <c r="C22" s="32"/>
      <c r="D22" s="33"/>
      <c r="E22" s="33"/>
      <c r="F22" s="33"/>
    </row>
    <row r="23" spans="1:6" ht="25.5" customHeight="1">
      <c r="A23" s="25" t="s">
        <v>125</v>
      </c>
      <c r="B23" s="6">
        <f>COUNTIF($C$3:$C$11,$C$10)</f>
        <v>3</v>
      </c>
      <c r="C23" s="32"/>
      <c r="D23" s="33"/>
      <c r="E23" s="33"/>
      <c r="F23" s="33"/>
    </row>
    <row r="24" spans="1:6" ht="23.25" customHeight="1">
      <c r="A24" s="36" t="s">
        <v>127</v>
      </c>
      <c r="B24" s="6">
        <f>COUNTIF($C$3:$C$11,$C$9)</f>
        <v>2</v>
      </c>
      <c r="C24" s="32"/>
    </row>
  </sheetData>
  <mergeCells count="3">
    <mergeCell ref="A1:F1"/>
    <mergeCell ref="A13:D13"/>
    <mergeCell ref="A19:B19"/>
  </mergeCells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20"/>
  <sheetViews>
    <sheetView workbookViewId="0">
      <selection activeCell="F23" sqref="F23"/>
    </sheetView>
  </sheetViews>
  <sheetFormatPr defaultRowHeight="15"/>
  <cols>
    <col min="1" max="1" width="14.85546875" customWidth="1"/>
    <col min="2" max="2" width="16.85546875" customWidth="1"/>
    <col min="3" max="3" width="25.5703125" customWidth="1"/>
    <col min="4" max="4" width="13.85546875" customWidth="1"/>
    <col min="5" max="5" width="11.7109375" customWidth="1"/>
    <col min="6" max="6" width="17.140625" customWidth="1"/>
  </cols>
  <sheetData>
    <row r="1" spans="1:6" ht="30" customHeight="1">
      <c r="A1" s="141" t="s">
        <v>130</v>
      </c>
      <c r="B1" s="141"/>
      <c r="C1" s="141"/>
      <c r="D1" s="141"/>
      <c r="E1" s="141"/>
      <c r="F1" s="141"/>
    </row>
    <row r="2" spans="1:6" ht="25.5" customHeight="1">
      <c r="A2" s="1" t="s">
        <v>1</v>
      </c>
      <c r="B2" s="1" t="s">
        <v>131</v>
      </c>
      <c r="C2" s="1" t="s">
        <v>132</v>
      </c>
      <c r="D2" s="29" t="s">
        <v>133</v>
      </c>
      <c r="E2" s="29" t="s">
        <v>134</v>
      </c>
      <c r="F2" s="29" t="s">
        <v>135</v>
      </c>
    </row>
    <row r="3" spans="1:6" ht="23.25" customHeight="1">
      <c r="A3" s="37">
        <v>1</v>
      </c>
      <c r="B3" s="25" t="s">
        <v>136</v>
      </c>
      <c r="C3" s="30" t="s">
        <v>137</v>
      </c>
      <c r="D3" s="38">
        <v>1</v>
      </c>
      <c r="E3" s="6">
        <v>150</v>
      </c>
      <c r="F3" s="6">
        <v>210</v>
      </c>
    </row>
    <row r="4" spans="1:6" ht="23.25" customHeight="1">
      <c r="A4" s="37">
        <v>2</v>
      </c>
      <c r="B4" s="25" t="s">
        <v>138</v>
      </c>
      <c r="C4" s="30" t="s">
        <v>74</v>
      </c>
      <c r="D4" s="38">
        <v>1</v>
      </c>
      <c r="E4" s="6">
        <v>200</v>
      </c>
      <c r="F4" s="6">
        <v>240</v>
      </c>
    </row>
    <row r="5" spans="1:6" ht="23.25" customHeight="1">
      <c r="A5" s="37">
        <v>3</v>
      </c>
      <c r="B5" s="25" t="s">
        <v>136</v>
      </c>
      <c r="C5" s="30" t="s">
        <v>139</v>
      </c>
      <c r="D5" s="38">
        <v>1</v>
      </c>
      <c r="E5" s="6">
        <v>100</v>
      </c>
      <c r="F5" s="6">
        <v>100</v>
      </c>
    </row>
    <row r="6" spans="1:6" ht="23.25" customHeight="1">
      <c r="A6" s="37">
        <v>4</v>
      </c>
      <c r="B6" s="25" t="s">
        <v>138</v>
      </c>
      <c r="C6" s="30" t="s">
        <v>137</v>
      </c>
      <c r="D6" s="38">
        <v>2</v>
      </c>
      <c r="E6" s="6">
        <v>250</v>
      </c>
      <c r="F6" s="6">
        <v>350</v>
      </c>
    </row>
    <row r="7" spans="1:6" ht="23.25" customHeight="1">
      <c r="A7" s="37">
        <v>5</v>
      </c>
      <c r="B7" s="25" t="s">
        <v>138</v>
      </c>
      <c r="C7" s="30" t="s">
        <v>74</v>
      </c>
      <c r="D7" s="38">
        <v>2</v>
      </c>
      <c r="E7" s="6">
        <v>100</v>
      </c>
      <c r="F7" s="6">
        <v>120</v>
      </c>
    </row>
    <row r="8" spans="1:6" ht="23.25" customHeight="1">
      <c r="A8" s="37">
        <v>6</v>
      </c>
      <c r="B8" s="25" t="s">
        <v>140</v>
      </c>
      <c r="C8" s="30" t="s">
        <v>44</v>
      </c>
      <c r="D8" s="38">
        <v>2</v>
      </c>
      <c r="E8" s="6">
        <v>50</v>
      </c>
      <c r="F8" s="6">
        <v>75</v>
      </c>
    </row>
    <row r="9" spans="1:6" ht="23.25" customHeight="1">
      <c r="A9" s="37">
        <v>7</v>
      </c>
      <c r="B9" s="25" t="s">
        <v>136</v>
      </c>
      <c r="C9" s="30" t="s">
        <v>137</v>
      </c>
      <c r="D9" s="38">
        <v>3</v>
      </c>
      <c r="E9" s="6">
        <v>200</v>
      </c>
      <c r="F9" s="6">
        <v>280</v>
      </c>
    </row>
    <row r="10" spans="1:6" ht="23.25" customHeight="1">
      <c r="A10" s="37">
        <v>8</v>
      </c>
      <c r="B10" s="25" t="s">
        <v>138</v>
      </c>
      <c r="C10" s="30" t="s">
        <v>74</v>
      </c>
      <c r="D10" s="38">
        <v>3</v>
      </c>
      <c r="E10" s="6">
        <v>120</v>
      </c>
      <c r="F10" s="6">
        <v>144</v>
      </c>
    </row>
    <row r="11" spans="1:6" ht="23.25" customHeight="1">
      <c r="A11" s="37">
        <v>9</v>
      </c>
      <c r="B11" s="25" t="s">
        <v>136</v>
      </c>
      <c r="C11" s="30" t="s">
        <v>139</v>
      </c>
      <c r="D11" s="38">
        <v>3</v>
      </c>
      <c r="E11" s="6">
        <v>100</v>
      </c>
      <c r="F11" s="6">
        <v>100</v>
      </c>
    </row>
    <row r="12" spans="1:6" ht="23.25" customHeight="1">
      <c r="A12" s="37">
        <v>10</v>
      </c>
      <c r="B12" s="25" t="s">
        <v>140</v>
      </c>
      <c r="C12" s="30" t="s">
        <v>44</v>
      </c>
      <c r="D12" s="38">
        <v>3</v>
      </c>
      <c r="E12" s="6">
        <v>200</v>
      </c>
      <c r="F12" s="6">
        <v>300</v>
      </c>
    </row>
    <row r="13" spans="1:6" ht="15.75">
      <c r="A13" s="33"/>
      <c r="B13" s="33"/>
      <c r="C13" s="33"/>
      <c r="D13" s="33"/>
      <c r="E13" s="33"/>
      <c r="F13" s="33"/>
    </row>
    <row r="14" spans="1:6" ht="27" customHeight="1">
      <c r="A14" s="141" t="s">
        <v>141</v>
      </c>
      <c r="B14" s="141"/>
      <c r="C14" s="141"/>
      <c r="D14" s="35"/>
      <c r="E14" s="33"/>
      <c r="F14" s="33"/>
    </row>
    <row r="15" spans="1:6" ht="15.75">
      <c r="A15" s="29" t="s">
        <v>70</v>
      </c>
      <c r="B15" s="1" t="s">
        <v>142</v>
      </c>
      <c r="C15" s="1" t="s">
        <v>143</v>
      </c>
      <c r="D15" s="39"/>
      <c r="E15" s="33"/>
      <c r="F15" s="33"/>
    </row>
    <row r="16" spans="1:6" ht="26.25" customHeight="1">
      <c r="A16" s="30" t="s">
        <v>137</v>
      </c>
      <c r="B16" s="6"/>
      <c r="C16" s="6"/>
      <c r="D16" s="8"/>
      <c r="E16" s="33"/>
      <c r="F16" s="33"/>
    </row>
    <row r="17" spans="1:6" ht="26.25" customHeight="1">
      <c r="A17" s="5" t="s">
        <v>74</v>
      </c>
      <c r="B17" s="6"/>
      <c r="C17" s="6"/>
      <c r="D17" s="8"/>
      <c r="E17" s="33"/>
      <c r="F17" s="33"/>
    </row>
    <row r="18" spans="1:6" ht="26.25" customHeight="1">
      <c r="A18" s="5" t="s">
        <v>139</v>
      </c>
      <c r="B18" s="6"/>
      <c r="C18" s="6"/>
      <c r="D18" s="8"/>
      <c r="E18" s="33"/>
      <c r="F18" s="33"/>
    </row>
    <row r="19" spans="1:6" ht="24" customHeight="1">
      <c r="A19" s="40" t="s">
        <v>44</v>
      </c>
      <c r="B19" s="6"/>
      <c r="C19" s="6"/>
      <c r="D19" s="41"/>
    </row>
    <row r="20" spans="1:6">
      <c r="D20" s="18"/>
    </row>
  </sheetData>
  <mergeCells count="2">
    <mergeCell ref="A1:F1"/>
    <mergeCell ref="A14:C14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21"/>
  <sheetViews>
    <sheetView showFormulas="1" topLeftCell="A10" workbookViewId="0">
      <selection activeCell="C37" sqref="C37"/>
    </sheetView>
  </sheetViews>
  <sheetFormatPr defaultRowHeight="15"/>
  <cols>
    <col min="1" max="1" width="14.85546875" customWidth="1"/>
    <col min="2" max="2" width="16.85546875" customWidth="1"/>
    <col min="3" max="3" width="25.5703125" customWidth="1"/>
    <col min="4" max="4" width="13.85546875" customWidth="1"/>
    <col min="5" max="5" width="11.7109375" customWidth="1"/>
    <col min="6" max="6" width="17.140625" customWidth="1"/>
  </cols>
  <sheetData>
    <row r="1" spans="1:6" ht="15.75">
      <c r="A1" s="141" t="s">
        <v>130</v>
      </c>
      <c r="B1" s="141"/>
      <c r="C1" s="141"/>
      <c r="D1" s="141"/>
      <c r="E1" s="141"/>
      <c r="F1" s="141"/>
    </row>
    <row r="2" spans="1:6" ht="25.5" customHeight="1">
      <c r="A2" s="1" t="s">
        <v>1</v>
      </c>
      <c r="B2" s="1" t="s">
        <v>131</v>
      </c>
      <c r="C2" s="1" t="s">
        <v>132</v>
      </c>
      <c r="D2" s="29" t="s">
        <v>133</v>
      </c>
      <c r="E2" s="29" t="s">
        <v>134</v>
      </c>
      <c r="F2" s="29" t="s">
        <v>135</v>
      </c>
    </row>
    <row r="3" spans="1:6" ht="25.5" customHeight="1">
      <c r="A3" s="37">
        <v>1</v>
      </c>
      <c r="B3" s="25" t="s">
        <v>136</v>
      </c>
      <c r="C3" s="30" t="s">
        <v>137</v>
      </c>
      <c r="D3" s="38">
        <v>1</v>
      </c>
      <c r="E3" s="6">
        <v>150</v>
      </c>
      <c r="F3" s="6">
        <v>210</v>
      </c>
    </row>
    <row r="4" spans="1:6" ht="25.5" customHeight="1">
      <c r="A4" s="37">
        <v>2</v>
      </c>
      <c r="B4" s="25" t="s">
        <v>138</v>
      </c>
      <c r="C4" s="30" t="s">
        <v>74</v>
      </c>
      <c r="D4" s="38">
        <v>1</v>
      </c>
      <c r="E4" s="6">
        <v>200</v>
      </c>
      <c r="F4" s="6">
        <v>240</v>
      </c>
    </row>
    <row r="5" spans="1:6" ht="25.5" customHeight="1">
      <c r="A5" s="37">
        <v>3</v>
      </c>
      <c r="B5" s="25" t="s">
        <v>136</v>
      </c>
      <c r="C5" s="30" t="s">
        <v>139</v>
      </c>
      <c r="D5" s="38">
        <v>1</v>
      </c>
      <c r="E5" s="6">
        <v>100</v>
      </c>
      <c r="F5" s="6">
        <v>100</v>
      </c>
    </row>
    <row r="6" spans="1:6" ht="25.5" customHeight="1">
      <c r="A6" s="37">
        <v>4</v>
      </c>
      <c r="B6" s="25" t="s">
        <v>138</v>
      </c>
      <c r="C6" s="30" t="s">
        <v>137</v>
      </c>
      <c r="D6" s="38">
        <v>2</v>
      </c>
      <c r="E6" s="6">
        <v>250</v>
      </c>
      <c r="F6" s="6">
        <v>350</v>
      </c>
    </row>
    <row r="7" spans="1:6" ht="25.5" customHeight="1">
      <c r="A7" s="37">
        <v>5</v>
      </c>
      <c r="B7" s="25" t="s">
        <v>138</v>
      </c>
      <c r="C7" s="30" t="s">
        <v>74</v>
      </c>
      <c r="D7" s="38">
        <v>2</v>
      </c>
      <c r="E7" s="6">
        <v>100</v>
      </c>
      <c r="F7" s="6">
        <v>120</v>
      </c>
    </row>
    <row r="8" spans="1:6" ht="25.5" customHeight="1">
      <c r="A8" s="37">
        <v>6</v>
      </c>
      <c r="B8" s="25" t="s">
        <v>140</v>
      </c>
      <c r="C8" s="30" t="s">
        <v>44</v>
      </c>
      <c r="D8" s="38">
        <v>2</v>
      </c>
      <c r="E8" s="6">
        <v>50</v>
      </c>
      <c r="F8" s="6">
        <v>75</v>
      </c>
    </row>
    <row r="9" spans="1:6" ht="25.5" customHeight="1">
      <c r="A9" s="37">
        <v>7</v>
      </c>
      <c r="B9" s="25" t="s">
        <v>136</v>
      </c>
      <c r="C9" s="30" t="s">
        <v>137</v>
      </c>
      <c r="D9" s="38">
        <v>3</v>
      </c>
      <c r="E9" s="6">
        <v>200</v>
      </c>
      <c r="F9" s="6">
        <v>280</v>
      </c>
    </row>
    <row r="10" spans="1:6" ht="25.5" customHeight="1">
      <c r="A10" s="37">
        <v>8</v>
      </c>
      <c r="B10" s="25" t="s">
        <v>138</v>
      </c>
      <c r="C10" s="30" t="s">
        <v>74</v>
      </c>
      <c r="D10" s="38">
        <v>3</v>
      </c>
      <c r="E10" s="6">
        <v>120</v>
      </c>
      <c r="F10" s="6">
        <v>144</v>
      </c>
    </row>
    <row r="11" spans="1:6" ht="25.5" customHeight="1">
      <c r="A11" s="37">
        <v>9</v>
      </c>
      <c r="B11" s="25" t="s">
        <v>136</v>
      </c>
      <c r="C11" s="30" t="s">
        <v>139</v>
      </c>
      <c r="D11" s="38">
        <v>3</v>
      </c>
      <c r="E11" s="6">
        <v>100</v>
      </c>
      <c r="F11" s="6">
        <v>100</v>
      </c>
    </row>
    <row r="12" spans="1:6" ht="25.5" customHeight="1">
      <c r="A12" s="37">
        <v>10</v>
      </c>
      <c r="B12" s="25" t="s">
        <v>144</v>
      </c>
      <c r="C12" s="30" t="s">
        <v>44</v>
      </c>
      <c r="D12" s="38">
        <v>3</v>
      </c>
      <c r="E12" s="6">
        <v>200</v>
      </c>
      <c r="F12" s="6">
        <v>300</v>
      </c>
    </row>
    <row r="13" spans="1:6" ht="15.75">
      <c r="A13" s="33"/>
      <c r="B13" s="33"/>
      <c r="C13" s="33"/>
      <c r="D13" s="33"/>
      <c r="E13" s="33"/>
      <c r="F13" s="33"/>
    </row>
    <row r="14" spans="1:6" ht="15.75">
      <c r="A14" s="141" t="s">
        <v>141</v>
      </c>
      <c r="B14" s="141"/>
      <c r="C14" s="141"/>
      <c r="D14" s="35"/>
      <c r="E14" s="33"/>
      <c r="F14" s="33"/>
    </row>
    <row r="15" spans="1:6" ht="24.75" customHeight="1">
      <c r="A15" s="144"/>
      <c r="B15" s="126" t="s">
        <v>145</v>
      </c>
      <c r="C15" s="127"/>
      <c r="D15" s="39"/>
      <c r="E15" s="33"/>
      <c r="F15" s="33"/>
    </row>
    <row r="16" spans="1:6" ht="24.75" customHeight="1">
      <c r="A16" s="145"/>
      <c r="B16" s="1" t="s">
        <v>146</v>
      </c>
      <c r="C16" s="1" t="s">
        <v>147</v>
      </c>
      <c r="D16" s="39"/>
      <c r="E16" s="33"/>
      <c r="F16" s="33"/>
    </row>
    <row r="17" spans="1:6" ht="24.75" customHeight="1">
      <c r="A17" s="30" t="s">
        <v>137</v>
      </c>
      <c r="B17" s="6"/>
      <c r="C17" s="6"/>
      <c r="D17" s="8"/>
      <c r="E17" s="33"/>
      <c r="F17" s="33"/>
    </row>
    <row r="18" spans="1:6" ht="24.75" customHeight="1">
      <c r="A18" s="5" t="s">
        <v>74</v>
      </c>
      <c r="B18" s="6"/>
      <c r="C18" s="6"/>
      <c r="D18" s="8"/>
      <c r="E18" s="33"/>
      <c r="F18" s="33"/>
    </row>
    <row r="19" spans="1:6" ht="24.75" customHeight="1">
      <c r="A19" s="5" t="s">
        <v>139</v>
      </c>
      <c r="B19" s="6"/>
      <c r="C19" s="6"/>
      <c r="D19" s="8"/>
      <c r="E19" s="33"/>
      <c r="F19" s="33"/>
    </row>
    <row r="20" spans="1:6" ht="24.75" customHeight="1">
      <c r="A20" s="40" t="s">
        <v>44</v>
      </c>
      <c r="B20" s="6"/>
      <c r="C20" s="6"/>
      <c r="D20" s="41"/>
    </row>
    <row r="21" spans="1:6">
      <c r="D21" s="18"/>
    </row>
  </sheetData>
  <mergeCells count="4">
    <mergeCell ref="A1:F1"/>
    <mergeCell ref="A14:C14"/>
    <mergeCell ref="A15:A16"/>
    <mergeCell ref="B15:C15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19"/>
  <sheetViews>
    <sheetView tabSelected="1" workbookViewId="0">
      <selection activeCell="D2" sqref="D2"/>
    </sheetView>
  </sheetViews>
  <sheetFormatPr defaultRowHeight="15"/>
  <cols>
    <col min="1" max="1" width="14.85546875" customWidth="1"/>
    <col min="2" max="2" width="28.7109375" customWidth="1"/>
    <col min="3" max="3" width="24.7109375" customWidth="1"/>
    <col min="4" max="4" width="17" customWidth="1"/>
    <col min="5" max="5" width="13.85546875" customWidth="1"/>
    <col min="6" max="6" width="24.140625" customWidth="1"/>
    <col min="7" max="7" width="19.85546875" customWidth="1"/>
    <col min="8" max="8" width="21.5703125" customWidth="1"/>
  </cols>
  <sheetData>
    <row r="1" spans="1:8" ht="43.5" customHeight="1">
      <c r="A1" s="141" t="s">
        <v>148</v>
      </c>
      <c r="B1" s="141"/>
      <c r="C1" s="141"/>
      <c r="D1" s="141"/>
      <c r="E1" s="141"/>
      <c r="F1" s="141"/>
      <c r="G1" s="141"/>
    </row>
    <row r="2" spans="1:8" ht="25.5" customHeight="1">
      <c r="A2" s="1" t="s">
        <v>117</v>
      </c>
      <c r="B2" s="1" t="s">
        <v>26</v>
      </c>
      <c r="C2" s="1" t="s">
        <v>149</v>
      </c>
      <c r="D2" s="1" t="s">
        <v>68</v>
      </c>
      <c r="E2" s="29" t="s">
        <v>27</v>
      </c>
      <c r="F2" s="29" t="s">
        <v>29</v>
      </c>
      <c r="G2" s="29" t="s">
        <v>30</v>
      </c>
      <c r="H2" s="42" t="s">
        <v>150</v>
      </c>
    </row>
    <row r="3" spans="1:8" ht="25.5" customHeight="1">
      <c r="A3" s="37" t="s">
        <v>151</v>
      </c>
      <c r="B3" s="37"/>
      <c r="C3" s="25" t="s">
        <v>152</v>
      </c>
      <c r="D3" s="30">
        <v>42767</v>
      </c>
      <c r="E3" s="38">
        <v>60</v>
      </c>
      <c r="F3" s="5"/>
      <c r="G3" s="6"/>
      <c r="H3" s="17"/>
    </row>
    <row r="4" spans="1:8" ht="25.5" customHeight="1">
      <c r="A4" s="37" t="s">
        <v>153</v>
      </c>
      <c r="B4" s="37"/>
      <c r="C4" s="25" t="s">
        <v>154</v>
      </c>
      <c r="D4" s="30">
        <v>42769</v>
      </c>
      <c r="E4" s="38">
        <v>13</v>
      </c>
      <c r="F4" s="5"/>
      <c r="G4" s="6"/>
      <c r="H4" s="17"/>
    </row>
    <row r="5" spans="1:8" ht="25.5" customHeight="1">
      <c r="A5" s="37" t="s">
        <v>155</v>
      </c>
      <c r="B5" s="37"/>
      <c r="C5" s="25" t="s">
        <v>156</v>
      </c>
      <c r="D5" s="30">
        <v>42768</v>
      </c>
      <c r="E5" s="38">
        <v>14</v>
      </c>
      <c r="F5" s="5"/>
      <c r="G5" s="6"/>
      <c r="H5" s="17"/>
    </row>
    <row r="6" spans="1:8" ht="25.5" customHeight="1">
      <c r="A6" s="37" t="s">
        <v>157</v>
      </c>
      <c r="B6" s="37"/>
      <c r="C6" s="25" t="s">
        <v>158</v>
      </c>
      <c r="D6" s="30">
        <v>42771</v>
      </c>
      <c r="E6" s="38">
        <v>11</v>
      </c>
      <c r="F6" s="5"/>
      <c r="G6" s="6"/>
      <c r="H6" s="17"/>
    </row>
    <row r="7" spans="1:8" ht="25.5" customHeight="1">
      <c r="A7" s="37" t="s">
        <v>159</v>
      </c>
      <c r="B7" s="37"/>
      <c r="C7" s="25" t="s">
        <v>160</v>
      </c>
      <c r="D7" s="30">
        <v>42771</v>
      </c>
      <c r="E7" s="38">
        <v>30</v>
      </c>
      <c r="F7" s="5"/>
      <c r="G7" s="6"/>
      <c r="H7" s="17"/>
    </row>
    <row r="8" spans="1:8" ht="25.5" customHeight="1">
      <c r="A8" s="37" t="s">
        <v>161</v>
      </c>
      <c r="B8" s="37"/>
      <c r="C8" s="25" t="s">
        <v>162</v>
      </c>
      <c r="D8" s="30">
        <v>42771</v>
      </c>
      <c r="E8" s="38">
        <v>12</v>
      </c>
      <c r="F8" s="5"/>
      <c r="G8" s="6"/>
      <c r="H8" s="17"/>
    </row>
    <row r="9" spans="1:8" ht="25.5" customHeight="1">
      <c r="A9" s="37" t="s">
        <v>163</v>
      </c>
      <c r="B9" s="37"/>
      <c r="C9" s="25" t="s">
        <v>164</v>
      </c>
      <c r="D9" s="30">
        <v>42770</v>
      </c>
      <c r="E9" s="38">
        <v>20</v>
      </c>
      <c r="F9" s="5"/>
      <c r="G9" s="6"/>
      <c r="H9" s="17"/>
    </row>
    <row r="10" spans="1:8" ht="25.5" customHeight="1">
      <c r="A10" s="37" t="s">
        <v>153</v>
      </c>
      <c r="B10" s="37"/>
      <c r="C10" s="25" t="s">
        <v>165</v>
      </c>
      <c r="D10" s="30">
        <v>42770</v>
      </c>
      <c r="E10" s="38">
        <v>15</v>
      </c>
      <c r="F10" s="5"/>
      <c r="G10" s="6"/>
      <c r="H10" s="17"/>
    </row>
    <row r="11" spans="1:8" ht="15.75">
      <c r="A11" s="33"/>
      <c r="B11" s="33"/>
      <c r="C11" s="33"/>
      <c r="D11" s="33"/>
      <c r="E11" s="33"/>
      <c r="F11" s="33"/>
      <c r="G11" s="33"/>
    </row>
    <row r="12" spans="1:8" ht="25.5" customHeight="1">
      <c r="A12" s="146" t="s">
        <v>166</v>
      </c>
      <c r="B12" s="146"/>
      <c r="C12" s="146"/>
      <c r="D12" s="146"/>
      <c r="E12" s="35"/>
      <c r="F12" s="146" t="s">
        <v>167</v>
      </c>
      <c r="G12" s="146"/>
      <c r="H12" s="146"/>
    </row>
    <row r="13" spans="1:8" ht="24.75" customHeight="1">
      <c r="A13" s="144" t="s">
        <v>168</v>
      </c>
      <c r="B13" s="144" t="s">
        <v>26</v>
      </c>
      <c r="C13" s="126" t="s">
        <v>29</v>
      </c>
      <c r="D13" s="127"/>
      <c r="E13" s="39"/>
      <c r="F13" s="6"/>
      <c r="G13" s="6" t="s">
        <v>169</v>
      </c>
      <c r="H13" s="17" t="s">
        <v>170</v>
      </c>
    </row>
    <row r="14" spans="1:8" ht="24.75" customHeight="1">
      <c r="A14" s="145"/>
      <c r="B14" s="145"/>
      <c r="C14" s="6" t="s">
        <v>169</v>
      </c>
      <c r="D14" s="17" t="s">
        <v>170</v>
      </c>
      <c r="E14" s="39"/>
      <c r="F14" s="34" t="s">
        <v>171</v>
      </c>
      <c r="G14" s="34">
        <f>SUMIFS($G$3:$G$10,$A$3:$A$10,"MG*",$A$3:$A$10,"*S")</f>
        <v>0</v>
      </c>
      <c r="H14" s="34">
        <f>SUMIFS($G$3:$G$10,$A$3:$A$10,"MG*",$A$3:$A$10,"*L")</f>
        <v>0</v>
      </c>
    </row>
    <row r="15" spans="1:8" ht="24.75" customHeight="1">
      <c r="A15" s="43" t="s">
        <v>126</v>
      </c>
      <c r="B15" s="30" t="s">
        <v>172</v>
      </c>
      <c r="C15" s="6">
        <v>5510</v>
      </c>
      <c r="D15" s="6">
        <v>5600</v>
      </c>
      <c r="E15" s="8"/>
      <c r="F15" s="34" t="s">
        <v>173</v>
      </c>
      <c r="G15" s="34">
        <f>SUMIFS($G$3:$G$10,$A$3:$A$10,"TL*",$A$3:$A$10,"*S")</f>
        <v>0</v>
      </c>
      <c r="H15" s="34">
        <f>SUMIFS($G$3:$G$10,$A$3:$A$10,"TL*",$A$3:$A$10,"*L")</f>
        <v>0</v>
      </c>
    </row>
    <row r="16" spans="1:8" ht="24.75" customHeight="1">
      <c r="A16" s="25" t="s">
        <v>124</v>
      </c>
      <c r="B16" s="5" t="s">
        <v>174</v>
      </c>
      <c r="C16" s="6">
        <v>3000</v>
      </c>
      <c r="D16" s="6">
        <v>3100</v>
      </c>
      <c r="E16" s="8"/>
      <c r="F16" s="44"/>
      <c r="G16" s="44"/>
      <c r="H16" s="18"/>
    </row>
    <row r="17" spans="1:7" ht="24.75" customHeight="1">
      <c r="A17" s="25" t="s">
        <v>175</v>
      </c>
      <c r="B17" s="5" t="s">
        <v>171</v>
      </c>
      <c r="C17" s="6">
        <v>2500</v>
      </c>
      <c r="D17" s="6">
        <v>2600</v>
      </c>
      <c r="E17" s="8"/>
      <c r="F17" s="33"/>
      <c r="G17" s="33"/>
    </row>
    <row r="18" spans="1:7" ht="24.75" customHeight="1">
      <c r="A18" s="27" t="s">
        <v>122</v>
      </c>
      <c r="B18" s="40" t="s">
        <v>173</v>
      </c>
      <c r="C18" s="17">
        <v>1500</v>
      </c>
      <c r="D18" s="17">
        <v>1550</v>
      </c>
      <c r="E18" s="41"/>
    </row>
    <row r="19" spans="1:7">
      <c r="E19" s="18"/>
    </row>
  </sheetData>
  <mergeCells count="6">
    <mergeCell ref="A1:G1"/>
    <mergeCell ref="A12:D12"/>
    <mergeCell ref="F12:H12"/>
    <mergeCell ref="A13:A14"/>
    <mergeCell ref="B13:B14"/>
    <mergeCell ref="C13:D13"/>
  </mergeCell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2BB61-CB78-42CD-9A8F-2FBEFC470281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bt1</vt:lpstr>
      <vt:lpstr>bt2</vt:lpstr>
      <vt:lpstr>bt3</vt:lpstr>
      <vt:lpstr>bt4</vt:lpstr>
      <vt:lpstr>bt5</vt:lpstr>
      <vt:lpstr>bt7</vt:lpstr>
      <vt:lpstr>bt8</vt:lpstr>
      <vt:lpstr>bt9</vt:lpstr>
      <vt:lpstr>bt10</vt:lpstr>
      <vt:lpstr>bt11</vt:lpstr>
      <vt:lpstr>bt12</vt:lpstr>
      <vt:lpstr>bt13</vt:lpstr>
      <vt:lpstr>bt14</vt:lpstr>
      <vt:lpstr>bt15</vt:lpstr>
      <vt:lpstr>bt16</vt:lpstr>
      <vt:lpstr>bt17</vt:lpstr>
      <vt:lpstr>bt18</vt:lpstr>
      <vt:lpstr>Sheet19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Khoa CNTT</cp:lastModifiedBy>
  <dcterms:created xsi:type="dcterms:W3CDTF">2013-09-30T17:39:15Z</dcterms:created>
  <dcterms:modified xsi:type="dcterms:W3CDTF">2025-10-14T01:34:47Z</dcterms:modified>
</cp:coreProperties>
</file>